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53\Obras\PROCESSOS - EM ANÁLISE\CASAS POPULARES SÃO LUCAS\FINAL último\"/>
    </mc:Choice>
  </mc:AlternateContent>
  <xr:revisionPtr revIDLastSave="0" documentId="13_ncr:1_{4D77111F-995E-4BF5-9CCD-BB2006BD93EE}" xr6:coauthVersionLast="47" xr6:coauthVersionMax="47" xr10:uidLastSave="{00000000-0000-0000-0000-000000000000}"/>
  <bookViews>
    <workbookView xWindow="-108" yWindow="-108" windowWidth="23256" windowHeight="12576" tabRatio="808" activeTab="2" xr2:uid="{00000000-000D-0000-FFFF-FFFF00000000}"/>
  </bookViews>
  <sheets>
    <sheet name="ORÇAMENTO" sheetId="4" r:id="rId1"/>
    <sheet name="COMPOSIÇÃO CANTEIRO" sheetId="8" r:id="rId2"/>
    <sheet name="COMPOSIÇÃO" sheetId="1" r:id="rId3"/>
    <sheet name="MEMÓRIA DE CALCULO" sheetId="2" r:id="rId4"/>
    <sheet name="CRONOGRAMA COMPOSIÇÃO" sheetId="7" r:id="rId5"/>
    <sheet name="CRONOGRAMA FÍSICO-FINANCEIRO" sheetId="11" r:id="rId6"/>
    <sheet name="COMPOSIÇÃO BDI" sheetId="10" r:id="rId7"/>
    <sheet name="COMPOSIÇÃO SUMIDOURO" sheetId="12" r:id="rId8"/>
  </sheets>
  <externalReferences>
    <externalReference r:id="rId9"/>
    <externalReference r:id="rId10"/>
  </externalReferences>
  <definedNames>
    <definedName name="_xlnm.Print_Area" localSheetId="2">COMPOSIÇÃO!$A$1:$J$263</definedName>
    <definedName name="_xlnm.Print_Area" localSheetId="1">'COMPOSIÇÃO CANTEIRO'!$A$1:$J$19</definedName>
    <definedName name="_xlnm.Print_Area" localSheetId="4">'CRONOGRAMA COMPOSIÇÃO'!$A$1:$J$38</definedName>
    <definedName name="_xlnm.Print_Area" localSheetId="0">ORÇAMENTO!$A$1:$J$43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1" l="1"/>
  <c r="I147" i="1" s="1"/>
  <c r="B182" i="2"/>
  <c r="C182" i="2"/>
  <c r="D182" i="2"/>
  <c r="E182" i="2"/>
  <c r="A182" i="2"/>
  <c r="F63" i="1"/>
  <c r="F62" i="1"/>
  <c r="I62" i="1" s="1"/>
  <c r="B95" i="2"/>
  <c r="C95" i="2"/>
  <c r="D95" i="2"/>
  <c r="E95" i="2"/>
  <c r="B94" i="2"/>
  <c r="C94" i="2"/>
  <c r="D94" i="2"/>
  <c r="E94" i="2"/>
  <c r="A94" i="2"/>
  <c r="A95" i="2"/>
  <c r="I63" i="1"/>
  <c r="D87" i="2"/>
  <c r="C87" i="2"/>
  <c r="F54" i="2"/>
  <c r="A14" i="12"/>
  <c r="A13" i="12"/>
  <c r="A12" i="12"/>
  <c r="A11" i="12"/>
  <c r="C7" i="12"/>
  <c r="C6" i="12"/>
  <c r="F12" i="12"/>
  <c r="F13" i="12"/>
  <c r="F14" i="12"/>
  <c r="F18" i="12"/>
  <c r="F19" i="12"/>
  <c r="F20" i="12"/>
  <c r="F21" i="12"/>
  <c r="F22" i="12"/>
  <c r="F23" i="12"/>
  <c r="F24" i="12"/>
  <c r="F25" i="12"/>
  <c r="F26" i="12"/>
  <c r="F27" i="12"/>
  <c r="F11" i="12"/>
  <c r="F146" i="1"/>
  <c r="F145" i="1"/>
  <c r="I145" i="1" s="1"/>
  <c r="B181" i="2"/>
  <c r="C181" i="2"/>
  <c r="D181" i="2"/>
  <c r="E181" i="2"/>
  <c r="A181" i="2"/>
  <c r="B180" i="2"/>
  <c r="C180" i="2"/>
  <c r="D180" i="2"/>
  <c r="E180" i="2"/>
  <c r="A180" i="2"/>
  <c r="F42" i="2"/>
  <c r="F33" i="2"/>
  <c r="C8" i="12" l="1"/>
  <c r="G13" i="12" s="1"/>
  <c r="H13" i="12" s="1"/>
  <c r="G22" i="12"/>
  <c r="H22" i="12" s="1"/>
  <c r="G25" i="12"/>
  <c r="H25" i="12" s="1"/>
  <c r="G26" i="12"/>
  <c r="H26" i="12" s="1"/>
  <c r="G23" i="12"/>
  <c r="H23" i="12" s="1"/>
  <c r="G27" i="12"/>
  <c r="H27" i="12" s="1"/>
  <c r="F15" i="12"/>
  <c r="F28" i="12"/>
  <c r="F9" i="1"/>
  <c r="F252" i="1"/>
  <c r="I252" i="1" s="1"/>
  <c r="B347" i="2"/>
  <c r="C347" i="2"/>
  <c r="D347" i="2"/>
  <c r="E347" i="2"/>
  <c r="A347" i="2"/>
  <c r="F346" i="2"/>
  <c r="F251" i="1" s="1"/>
  <c r="I251" i="1" s="1"/>
  <c r="B346" i="2"/>
  <c r="C346" i="2"/>
  <c r="D346" i="2"/>
  <c r="E346" i="2"/>
  <c r="A346" i="2"/>
  <c r="B9" i="11"/>
  <c r="B7" i="11"/>
  <c r="F61" i="1"/>
  <c r="I61" i="1" s="1"/>
  <c r="B93" i="2"/>
  <c r="C93" i="2"/>
  <c r="D93" i="2"/>
  <c r="E93" i="2"/>
  <c r="A93" i="2"/>
  <c r="B284" i="2"/>
  <c r="C284" i="2"/>
  <c r="D284" i="2"/>
  <c r="E284" i="2"/>
  <c r="A284" i="2"/>
  <c r="F60" i="1"/>
  <c r="I60" i="1" s="1"/>
  <c r="B92" i="2"/>
  <c r="C92" i="2"/>
  <c r="D92" i="2"/>
  <c r="E92" i="2"/>
  <c r="A92" i="2"/>
  <c r="F173" i="1"/>
  <c r="I173" i="1" s="1"/>
  <c r="B208" i="2"/>
  <c r="C208" i="2"/>
  <c r="D208" i="2"/>
  <c r="E208" i="2"/>
  <c r="A208" i="2"/>
  <c r="F171" i="1"/>
  <c r="I171" i="1" s="1"/>
  <c r="F172" i="1"/>
  <c r="I172" i="1" s="1"/>
  <c r="F170" i="1"/>
  <c r="B207" i="2"/>
  <c r="C207" i="2"/>
  <c r="D207" i="2"/>
  <c r="E207" i="2"/>
  <c r="A207" i="2"/>
  <c r="B206" i="2"/>
  <c r="C206" i="2"/>
  <c r="D206" i="2"/>
  <c r="E206" i="2"/>
  <c r="A206" i="2"/>
  <c r="B205" i="2"/>
  <c r="C205" i="2"/>
  <c r="D205" i="2"/>
  <c r="E205" i="2"/>
  <c r="A205" i="2"/>
  <c r="I170" i="1"/>
  <c r="F179" i="2"/>
  <c r="F144" i="1" s="1"/>
  <c r="I144" i="1" s="1"/>
  <c r="B179" i="2"/>
  <c r="C179" i="2"/>
  <c r="D179" i="2"/>
  <c r="E179" i="2"/>
  <c r="A179" i="2"/>
  <c r="F178" i="2"/>
  <c r="F143" i="1" s="1"/>
  <c r="I143" i="1" s="1"/>
  <c r="B178" i="2"/>
  <c r="C178" i="2"/>
  <c r="D178" i="2"/>
  <c r="E178" i="2"/>
  <c r="A178" i="2"/>
  <c r="F177" i="2"/>
  <c r="F142" i="1" s="1"/>
  <c r="B177" i="2"/>
  <c r="C177" i="2"/>
  <c r="D177" i="2"/>
  <c r="A177" i="2"/>
  <c r="F176" i="2"/>
  <c r="F141" i="1" s="1"/>
  <c r="I141" i="1" s="1"/>
  <c r="B176" i="2"/>
  <c r="C176" i="2"/>
  <c r="D176" i="2"/>
  <c r="E176" i="2"/>
  <c r="A174" i="2"/>
  <c r="A176" i="2"/>
  <c r="F169" i="1"/>
  <c r="B204" i="2"/>
  <c r="C204" i="2"/>
  <c r="D204" i="2"/>
  <c r="E204" i="2"/>
  <c r="A204" i="2"/>
  <c r="F168" i="1"/>
  <c r="I168" i="1" s="1"/>
  <c r="B203" i="2"/>
  <c r="C203" i="2"/>
  <c r="D203" i="2"/>
  <c r="E203" i="2"/>
  <c r="A203" i="2"/>
  <c r="I169" i="1"/>
  <c r="F166" i="1"/>
  <c r="I166" i="1" s="1"/>
  <c r="F165" i="1"/>
  <c r="I165" i="1" s="1"/>
  <c r="B201" i="2"/>
  <c r="C201" i="2"/>
  <c r="D201" i="2"/>
  <c r="E201" i="2"/>
  <c r="A201" i="2"/>
  <c r="B200" i="2"/>
  <c r="C200" i="2"/>
  <c r="D200" i="2"/>
  <c r="E200" i="2"/>
  <c r="A200" i="2"/>
  <c r="B199" i="2"/>
  <c r="C199" i="2"/>
  <c r="D199" i="2"/>
  <c r="E199" i="2"/>
  <c r="A199" i="2"/>
  <c r="F164" i="1"/>
  <c r="I164" i="1" s="1"/>
  <c r="F163" i="1"/>
  <c r="I163" i="1" s="1"/>
  <c r="B198" i="2"/>
  <c r="C198" i="2"/>
  <c r="D198" i="2"/>
  <c r="E198" i="2"/>
  <c r="A198" i="2"/>
  <c r="F162" i="1"/>
  <c r="I162" i="1" s="1"/>
  <c r="B197" i="2"/>
  <c r="C197" i="2"/>
  <c r="D197" i="2"/>
  <c r="E197" i="2"/>
  <c r="A197" i="2"/>
  <c r="F160" i="1"/>
  <c r="I160" i="1" s="1"/>
  <c r="B195" i="2"/>
  <c r="C195" i="2"/>
  <c r="D195" i="2"/>
  <c r="E195" i="2"/>
  <c r="A195" i="2"/>
  <c r="F155" i="1"/>
  <c r="I155" i="1" s="1"/>
  <c r="B190" i="2"/>
  <c r="C190" i="2"/>
  <c r="D190" i="2"/>
  <c r="E190" i="2"/>
  <c r="A190" i="2"/>
  <c r="F154" i="1"/>
  <c r="I154" i="1" s="1"/>
  <c r="B189" i="2"/>
  <c r="C189" i="2"/>
  <c r="D189" i="2"/>
  <c r="E189" i="2"/>
  <c r="A189" i="2"/>
  <c r="D118" i="2"/>
  <c r="D131" i="2"/>
  <c r="F108" i="1"/>
  <c r="I108" i="1" s="1"/>
  <c r="E142" i="2"/>
  <c r="B142" i="2"/>
  <c r="C142" i="2"/>
  <c r="D142" i="2"/>
  <c r="A142" i="2"/>
  <c r="F18" i="2"/>
  <c r="F17" i="2"/>
  <c r="F16" i="2"/>
  <c r="F23" i="2"/>
  <c r="F10" i="8" s="1"/>
  <c r="F22" i="2"/>
  <c r="F9" i="8" s="1"/>
  <c r="I8" i="8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G18" i="12" l="1"/>
  <c r="H18" i="12" s="1"/>
  <c r="G19" i="12"/>
  <c r="H19" i="12" s="1"/>
  <c r="H28" i="12" s="1"/>
  <c r="G146" i="1" s="1"/>
  <c r="G21" i="12"/>
  <c r="H21" i="12" s="1"/>
  <c r="G11" i="12"/>
  <c r="H11" i="12" s="1"/>
  <c r="H15" i="12" s="1"/>
  <c r="H146" i="1" s="1"/>
  <c r="G12" i="12"/>
  <c r="H12" i="12" s="1"/>
  <c r="G14" i="12"/>
  <c r="H14" i="12" s="1"/>
  <c r="G24" i="12"/>
  <c r="H24" i="12" s="1"/>
  <c r="G20" i="12"/>
  <c r="H20" i="12" s="1"/>
  <c r="F31" i="12"/>
  <c r="I10" i="8"/>
  <c r="I9" i="8"/>
  <c r="I11" i="8" s="1"/>
  <c r="J11" i="8" s="1"/>
  <c r="I146" i="1" l="1"/>
  <c r="H31" i="12"/>
  <c r="G25" i="4"/>
  <c r="F9" i="2"/>
  <c r="F10" i="2" l="1"/>
  <c r="F59" i="2"/>
  <c r="F56" i="2"/>
  <c r="F215" i="2"/>
  <c r="F38" i="2"/>
  <c r="F39" i="2" s="1"/>
  <c r="F339" i="2"/>
  <c r="F323" i="2"/>
  <c r="F331" i="2" s="1"/>
  <c r="F255" i="2" l="1"/>
  <c r="F312" i="2"/>
  <c r="F318" i="2" s="1"/>
  <c r="F311" i="2" l="1"/>
  <c r="F310" i="2" s="1"/>
  <c r="F223" i="2"/>
  <c r="D193" i="2"/>
  <c r="B211" i="2"/>
  <c r="C211" i="2"/>
  <c r="D211" i="2"/>
  <c r="E211" i="2"/>
  <c r="A211" i="2"/>
  <c r="B13" i="2"/>
  <c r="C13" i="2"/>
  <c r="D13" i="2"/>
  <c r="E13" i="2"/>
  <c r="A13" i="2"/>
  <c r="A20" i="2"/>
  <c r="B12" i="2"/>
  <c r="C12" i="2"/>
  <c r="D12" i="2"/>
  <c r="A12" i="2"/>
  <c r="A11" i="2"/>
  <c r="F234" i="1"/>
  <c r="I234" i="1" s="1"/>
  <c r="B307" i="2"/>
  <c r="C307" i="2"/>
  <c r="D307" i="2"/>
  <c r="E307" i="2"/>
  <c r="A307" i="2"/>
  <c r="F295" i="2"/>
  <c r="F291" i="2"/>
  <c r="F284" i="2"/>
  <c r="F11" i="4"/>
  <c r="I11" i="4" s="1"/>
  <c r="J11" i="4" s="1"/>
  <c r="B10" i="2"/>
  <c r="C10" i="2"/>
  <c r="D10" i="2"/>
  <c r="E10" i="2"/>
  <c r="A10" i="2"/>
  <c r="B341" i="2"/>
  <c r="C341" i="2"/>
  <c r="D341" i="2"/>
  <c r="E341" i="2"/>
  <c r="A341" i="2"/>
  <c r="B340" i="2"/>
  <c r="C340" i="2"/>
  <c r="D340" i="2"/>
  <c r="E340" i="2"/>
  <c r="A340" i="2"/>
  <c r="F225" i="2"/>
  <c r="F193" i="1" s="1"/>
  <c r="B225" i="2"/>
  <c r="C225" i="2"/>
  <c r="D225" i="2"/>
  <c r="E225" i="2"/>
  <c r="A225" i="2"/>
  <c r="F21" i="4"/>
  <c r="I21" i="4" s="1"/>
  <c r="J21" i="4" s="1"/>
  <c r="B21" i="4"/>
  <c r="C21" i="4"/>
  <c r="D21" i="4"/>
  <c r="E21" i="4"/>
  <c r="F20" i="4"/>
  <c r="F19" i="4"/>
  <c r="F37" i="2"/>
  <c r="A38" i="2"/>
  <c r="B38" i="2"/>
  <c r="C38" i="2"/>
  <c r="D38" i="2"/>
  <c r="E38" i="2"/>
  <c r="A39" i="2"/>
  <c r="B39" i="2"/>
  <c r="C39" i="2"/>
  <c r="D39" i="2"/>
  <c r="E39" i="2"/>
  <c r="D47" i="2"/>
  <c r="F48" i="2"/>
  <c r="F49" i="2" l="1"/>
  <c r="F13" i="2"/>
  <c r="F15" i="4" s="1"/>
  <c r="I15" i="4" s="1"/>
  <c r="I16" i="4" s="1"/>
  <c r="J16" i="4" s="1"/>
  <c r="I8" i="11" s="1"/>
  <c r="F340" i="2"/>
  <c r="J15" i="4" l="1"/>
  <c r="F244" i="1"/>
  <c r="F341" i="2"/>
  <c r="F245" i="1" s="1"/>
  <c r="F216" i="2" l="1"/>
  <c r="F182" i="1" s="1"/>
  <c r="B216" i="2"/>
  <c r="C216" i="2"/>
  <c r="D216" i="2"/>
  <c r="E216" i="2"/>
  <c r="A216" i="2"/>
  <c r="I157" i="1"/>
  <c r="F158" i="1"/>
  <c r="I158" i="1" s="1"/>
  <c r="F105" i="1"/>
  <c r="I105" i="1" s="1"/>
  <c r="F113" i="1"/>
  <c r="I113" i="1" s="1"/>
  <c r="B147" i="2"/>
  <c r="C147" i="2"/>
  <c r="D147" i="2"/>
  <c r="E147" i="2"/>
  <c r="A147" i="2"/>
  <c r="F100" i="1"/>
  <c r="I100" i="1" s="1"/>
  <c r="B134" i="2"/>
  <c r="C134" i="2"/>
  <c r="D134" i="2"/>
  <c r="E134" i="2"/>
  <c r="A134" i="2"/>
  <c r="F123" i="1"/>
  <c r="I123" i="1" s="1"/>
  <c r="B157" i="2"/>
  <c r="C157" i="2"/>
  <c r="D157" i="2"/>
  <c r="E157" i="2"/>
  <c r="A158" i="2"/>
  <c r="A159" i="2"/>
  <c r="A160" i="2"/>
  <c r="A161" i="2"/>
  <c r="A157" i="2"/>
  <c r="F136" i="1"/>
  <c r="I136" i="1" s="1"/>
  <c r="B170" i="2"/>
  <c r="C170" i="2"/>
  <c r="D170" i="2"/>
  <c r="E170" i="2"/>
  <c r="A170" i="2"/>
  <c r="F129" i="1"/>
  <c r="I129" i="1" s="1"/>
  <c r="B163" i="2"/>
  <c r="C163" i="2"/>
  <c r="A163" i="2"/>
  <c r="D163" i="2"/>
  <c r="D162" i="2"/>
  <c r="F106" i="1"/>
  <c r="I106" i="1" s="1"/>
  <c r="B140" i="2"/>
  <c r="C140" i="2"/>
  <c r="D140" i="2"/>
  <c r="E140" i="2"/>
  <c r="A140" i="2"/>
  <c r="F112" i="1"/>
  <c r="I112" i="1" s="1"/>
  <c r="E146" i="2"/>
  <c r="B146" i="2"/>
  <c r="C146" i="2"/>
  <c r="D146" i="2"/>
  <c r="A146" i="2"/>
  <c r="F111" i="1"/>
  <c r="I111" i="1" s="1"/>
  <c r="B111" i="1"/>
  <c r="C111" i="1"/>
  <c r="D111" i="1"/>
  <c r="F122" i="1"/>
  <c r="I122" i="1" s="1"/>
  <c r="E156" i="2"/>
  <c r="B156" i="2"/>
  <c r="C156" i="2"/>
  <c r="A156" i="2"/>
  <c r="D156" i="2"/>
  <c r="F127" i="1"/>
  <c r="I127" i="1" s="1"/>
  <c r="F126" i="1"/>
  <c r="I126" i="1" s="1"/>
  <c r="B161" i="2"/>
  <c r="C161" i="2"/>
  <c r="D161" i="2"/>
  <c r="E161" i="2"/>
  <c r="B160" i="2"/>
  <c r="C160" i="2"/>
  <c r="D160" i="2"/>
  <c r="E160" i="2"/>
  <c r="F121" i="1"/>
  <c r="I121" i="1" s="1"/>
  <c r="B155" i="2"/>
  <c r="C155" i="2"/>
  <c r="D155" i="2"/>
  <c r="E155" i="2"/>
  <c r="A155" i="2"/>
  <c r="F120" i="1"/>
  <c r="I120" i="1" s="1"/>
  <c r="B154" i="2"/>
  <c r="C154" i="2"/>
  <c r="D154" i="2"/>
  <c r="E154" i="2"/>
  <c r="A154" i="2"/>
  <c r="F119" i="1"/>
  <c r="I119" i="1" s="1"/>
  <c r="B153" i="2"/>
  <c r="C153" i="2"/>
  <c r="A153" i="2"/>
  <c r="D153" i="2"/>
  <c r="F117" i="1"/>
  <c r="I117" i="1" s="1"/>
  <c r="C151" i="2"/>
  <c r="B151" i="2"/>
  <c r="A151" i="2"/>
  <c r="F116" i="1"/>
  <c r="I116" i="1" s="1"/>
  <c r="B150" i="2"/>
  <c r="C150" i="2"/>
  <c r="D150" i="2"/>
  <c r="E150" i="2"/>
  <c r="A150" i="2"/>
  <c r="F110" i="1"/>
  <c r="I110" i="1" s="1"/>
  <c r="F109" i="1"/>
  <c r="B144" i="2"/>
  <c r="C144" i="2"/>
  <c r="D144" i="2"/>
  <c r="E144" i="2"/>
  <c r="A144" i="2"/>
  <c r="B143" i="2"/>
  <c r="C143" i="2"/>
  <c r="D143" i="2"/>
  <c r="E143" i="2"/>
  <c r="A143" i="2"/>
  <c r="F104" i="1"/>
  <c r="I104" i="1" s="1"/>
  <c r="B139" i="2"/>
  <c r="C139" i="2"/>
  <c r="D139" i="2"/>
  <c r="E139" i="2"/>
  <c r="B138" i="2"/>
  <c r="C138" i="2"/>
  <c r="D138" i="2"/>
  <c r="E138" i="2"/>
  <c r="A139" i="2"/>
  <c r="A138" i="2"/>
  <c r="E133" i="2"/>
  <c r="F99" i="1"/>
  <c r="I99" i="1" s="1"/>
  <c r="B133" i="2"/>
  <c r="C133" i="2"/>
  <c r="D133" i="2"/>
  <c r="A133" i="2"/>
  <c r="F32" i="1"/>
  <c r="I32" i="1" s="1"/>
  <c r="F37" i="1"/>
  <c r="B62" i="2"/>
  <c r="C62" i="2"/>
  <c r="D62" i="2"/>
  <c r="E62" i="2"/>
  <c r="A62" i="2"/>
  <c r="B60" i="2"/>
  <c r="C60" i="2"/>
  <c r="D60" i="2"/>
  <c r="E60" i="2"/>
  <c r="A60" i="2"/>
  <c r="B59" i="2"/>
  <c r="C59" i="2"/>
  <c r="D59" i="2"/>
  <c r="E59" i="2"/>
  <c r="A59" i="2"/>
  <c r="C58" i="2"/>
  <c r="D58" i="2"/>
  <c r="E58" i="2"/>
  <c r="B58" i="2"/>
  <c r="A58" i="2"/>
  <c r="C57" i="2"/>
  <c r="D57" i="2"/>
  <c r="E57" i="2"/>
  <c r="B57" i="2"/>
  <c r="A57" i="2"/>
  <c r="B61" i="2"/>
  <c r="C61" i="2"/>
  <c r="D61" i="2"/>
  <c r="E61" i="2"/>
  <c r="A61" i="2"/>
  <c r="F263" i="2" l="1"/>
  <c r="F258" i="2"/>
  <c r="F19" i="1"/>
  <c r="D56" i="2"/>
  <c r="F20" i="1" l="1"/>
  <c r="F53" i="2"/>
  <c r="F52" i="2"/>
  <c r="F51" i="2"/>
  <c r="F50" i="2"/>
  <c r="A184" i="2"/>
  <c r="A185" i="2"/>
  <c r="A186" i="2"/>
  <c r="A187" i="2"/>
  <c r="A191" i="2"/>
  <c r="A192" i="2"/>
  <c r="A193" i="2"/>
  <c r="A173" i="2"/>
  <c r="A175" i="2"/>
  <c r="A183" i="2"/>
  <c r="A172" i="2"/>
  <c r="A166" i="2"/>
  <c r="A167" i="2"/>
  <c r="A168" i="2"/>
  <c r="A169" i="2"/>
  <c r="A171" i="2"/>
  <c r="A165" i="2"/>
  <c r="E193" i="2"/>
  <c r="E192" i="2"/>
  <c r="D192" i="2"/>
  <c r="D191" i="2"/>
  <c r="C192" i="2"/>
  <c r="C193" i="2"/>
  <c r="C191" i="2"/>
  <c r="F55" i="2" l="1"/>
  <c r="F47" i="2" s="1"/>
  <c r="F30" i="1" s="1"/>
  <c r="I25" i="4"/>
  <c r="J25" i="4" s="1"/>
  <c r="F58" i="2" l="1"/>
  <c r="I26" i="4"/>
  <c r="J26" i="4" l="1"/>
  <c r="I10" i="11" s="1"/>
  <c r="I20" i="4"/>
  <c r="J20" i="4" s="1"/>
  <c r="I19" i="4"/>
  <c r="I10" i="4"/>
  <c r="I12" i="4" s="1"/>
  <c r="J12" i="4" s="1"/>
  <c r="F268" i="2"/>
  <c r="F242" i="2"/>
  <c r="I88" i="1"/>
  <c r="F85" i="1"/>
  <c r="F75" i="1"/>
  <c r="I7" i="11" l="1"/>
  <c r="J19" i="4"/>
  <c r="I22" i="4"/>
  <c r="J10" i="4"/>
  <c r="J22" i="4" l="1"/>
  <c r="I9" i="11" s="1"/>
  <c r="C101" i="2"/>
  <c r="D101" i="2"/>
  <c r="E101" i="2"/>
  <c r="C121" i="2"/>
  <c r="D121" i="2"/>
  <c r="E121" i="2"/>
  <c r="F233" i="2"/>
  <c r="F237" i="2"/>
  <c r="F299" i="2"/>
  <c r="F242" i="1" l="1"/>
  <c r="F241" i="1"/>
  <c r="F240" i="1"/>
  <c r="F239" i="1"/>
  <c r="F233" i="1"/>
  <c r="F232" i="1"/>
  <c r="F220" i="1"/>
  <c r="F219" i="1"/>
  <c r="F214" i="1"/>
  <c r="F212" i="1"/>
  <c r="F70" i="1"/>
  <c r="I70" i="1" s="1"/>
  <c r="F59" i="1"/>
  <c r="F55" i="1"/>
  <c r="F213" i="1" l="1"/>
  <c r="F215" i="1"/>
  <c r="I239" i="1" l="1"/>
  <c r="F238" i="1"/>
  <c r="I241" i="1"/>
  <c r="I242" i="1"/>
  <c r="F243" i="1"/>
  <c r="F225" i="1" l="1"/>
  <c r="F227" i="1"/>
  <c r="F228" i="1"/>
  <c r="F226" i="1"/>
  <c r="F224" i="1"/>
  <c r="F177" i="1"/>
  <c r="F208" i="1"/>
  <c r="F250" i="1"/>
  <c r="F249" i="1"/>
  <c r="I233" i="1"/>
  <c r="F203" i="1"/>
  <c r="F202" i="1"/>
  <c r="F198" i="1"/>
  <c r="F197" i="1"/>
  <c r="F190" i="1"/>
  <c r="F186" i="1"/>
  <c r="F204" i="1"/>
  <c r="F224" i="2"/>
  <c r="F192" i="1" s="1"/>
  <c r="F191" i="1"/>
  <c r="F181" i="1"/>
  <c r="F151" i="1" l="1"/>
  <c r="F150" i="1"/>
  <c r="F149" i="1"/>
  <c r="F140" i="1"/>
  <c r="F139" i="1"/>
  <c r="F138" i="1"/>
  <c r="F137" i="1"/>
  <c r="F134" i="1"/>
  <c r="F132" i="1"/>
  <c r="F125" i="1"/>
  <c r="F118" i="1"/>
  <c r="F115" i="1"/>
  <c r="F103" i="1"/>
  <c r="F97" i="1"/>
  <c r="F94" i="1"/>
  <c r="F93" i="1"/>
  <c r="F92" i="1"/>
  <c r="F91" i="1"/>
  <c r="F87" i="1"/>
  <c r="F84" i="1"/>
  <c r="F83" i="1"/>
  <c r="F82" i="1"/>
  <c r="F80" i="1"/>
  <c r="F79" i="1"/>
  <c r="F78" i="1"/>
  <c r="I78" i="1" s="1"/>
  <c r="F77" i="1"/>
  <c r="F76" i="1"/>
  <c r="F73" i="1"/>
  <c r="F72" i="1"/>
  <c r="F71" i="1"/>
  <c r="F6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5" i="1"/>
  <c r="F36" i="1" s="1"/>
  <c r="I36" i="1" s="1"/>
  <c r="F34" i="1"/>
  <c r="F33" i="1"/>
  <c r="F31" i="1"/>
  <c r="F26" i="1"/>
  <c r="F25" i="1"/>
  <c r="F24" i="1"/>
  <c r="F18" i="1"/>
  <c r="F17" i="1"/>
  <c r="F13" i="1"/>
  <c r="I13" i="1" s="1"/>
  <c r="I14" i="1" s="1"/>
  <c r="J14" i="1" s="1"/>
  <c r="I8" i="7" l="1"/>
  <c r="I250" i="1"/>
  <c r="I249" i="1"/>
  <c r="I238" i="1"/>
  <c r="I240" i="1"/>
  <c r="I243" i="1"/>
  <c r="I232" i="1"/>
  <c r="I235" i="1" s="1"/>
  <c r="I225" i="1"/>
  <c r="I226" i="1"/>
  <c r="I227" i="1"/>
  <c r="I228" i="1"/>
  <c r="I224" i="1"/>
  <c r="I220" i="1"/>
  <c r="I219" i="1"/>
  <c r="I212" i="1"/>
  <c r="I208" i="1"/>
  <c r="I209" i="1" s="1"/>
  <c r="I203" i="1"/>
  <c r="I204" i="1"/>
  <c r="I202" i="1"/>
  <c r="I197" i="1"/>
  <c r="I198" i="1"/>
  <c r="I186" i="1"/>
  <c r="I191" i="1"/>
  <c r="I192" i="1"/>
  <c r="I190" i="1"/>
  <c r="I177" i="1"/>
  <c r="I71" i="1"/>
  <c r="I72" i="1"/>
  <c r="I73" i="1"/>
  <c r="I75" i="1"/>
  <c r="I76" i="1"/>
  <c r="I77" i="1"/>
  <c r="I79" i="1"/>
  <c r="I80" i="1"/>
  <c r="I82" i="1"/>
  <c r="I83" i="1"/>
  <c r="I84" i="1"/>
  <c r="I85" i="1"/>
  <c r="I87" i="1"/>
  <c r="I89" i="1"/>
  <c r="I91" i="1"/>
  <c r="I92" i="1"/>
  <c r="I93" i="1"/>
  <c r="I94" i="1"/>
  <c r="I96" i="1"/>
  <c r="I97" i="1"/>
  <c r="I98" i="1"/>
  <c r="I103" i="1"/>
  <c r="I109" i="1"/>
  <c r="I115" i="1"/>
  <c r="I118" i="1"/>
  <c r="I125" i="1"/>
  <c r="I132" i="1"/>
  <c r="I134" i="1"/>
  <c r="I137" i="1"/>
  <c r="I138" i="1"/>
  <c r="I139" i="1"/>
  <c r="I140" i="1"/>
  <c r="I149" i="1"/>
  <c r="I150" i="1"/>
  <c r="I151" i="1"/>
  <c r="I152" i="1"/>
  <c r="I69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41" i="1"/>
  <c r="I34" i="1"/>
  <c r="I35" i="1"/>
  <c r="I37" i="1"/>
  <c r="I31" i="1"/>
  <c r="I25" i="1"/>
  <c r="I26" i="1"/>
  <c r="I24" i="1"/>
  <c r="I18" i="1"/>
  <c r="I17" i="1"/>
  <c r="I9" i="1"/>
  <c r="I10" i="1" s="1"/>
  <c r="J10" i="1" s="1"/>
  <c r="I64" i="1" l="1"/>
  <c r="I253" i="1"/>
  <c r="I174" i="1"/>
  <c r="I194" i="1"/>
  <c r="I178" i="1"/>
  <c r="J178" i="1" s="1"/>
  <c r="J209" i="1"/>
  <c r="J235" i="1"/>
  <c r="I246" i="1"/>
  <c r="J246" i="1" s="1"/>
  <c r="I183" i="1"/>
  <c r="I21" i="1"/>
  <c r="I221" i="1"/>
  <c r="I38" i="1"/>
  <c r="I216" i="1"/>
  <c r="I187" i="1"/>
  <c r="I229" i="1"/>
  <c r="J253" i="1"/>
  <c r="I26" i="7" s="1"/>
  <c r="I199" i="1"/>
  <c r="I205" i="1"/>
  <c r="I27" i="1"/>
  <c r="I20" i="7" l="1"/>
  <c r="I14" i="7"/>
  <c r="I7" i="7"/>
  <c r="I24" i="7"/>
  <c r="I25" i="7"/>
  <c r="J194" i="1"/>
  <c r="J187" i="1"/>
  <c r="J221" i="1"/>
  <c r="J174" i="1"/>
  <c r="J21" i="1"/>
  <c r="J205" i="1"/>
  <c r="J199" i="1"/>
  <c r="J27" i="1"/>
  <c r="J64" i="1"/>
  <c r="J229" i="1"/>
  <c r="J38" i="1"/>
  <c r="J183" i="1"/>
  <c r="J216" i="1"/>
  <c r="I255" i="1"/>
  <c r="J255" i="1" s="1"/>
  <c r="I21" i="7" l="1"/>
  <c r="I9" i="7"/>
  <c r="I17" i="7"/>
  <c r="I10" i="7"/>
  <c r="I13" i="7"/>
  <c r="I11" i="7"/>
  <c r="I18" i="7"/>
  <c r="I22" i="7"/>
  <c r="I12" i="7"/>
  <c r="I15" i="7"/>
  <c r="I23" i="7"/>
  <c r="I19" i="7"/>
  <c r="I16" i="7"/>
  <c r="G29" i="4"/>
  <c r="I29" i="4" s="1"/>
  <c r="C27" i="7" l="1"/>
  <c r="I27" i="7"/>
  <c r="J26" i="7" s="1"/>
  <c r="J30" i="4"/>
  <c r="I11" i="11" s="1"/>
  <c r="J29" i="4"/>
  <c r="I30" i="4"/>
  <c r="J32" i="4" s="1"/>
  <c r="C12" i="11" l="1"/>
  <c r="I12" i="11"/>
  <c r="J11" i="11" s="1"/>
  <c r="D27" i="7"/>
  <c r="C28" i="7"/>
  <c r="J33" i="4"/>
  <c r="J8" i="11" l="1"/>
  <c r="J10" i="11"/>
  <c r="J9" i="11"/>
  <c r="J7" i="11"/>
  <c r="D12" i="11"/>
  <c r="C13" i="11"/>
  <c r="E27" i="7"/>
  <c r="F27" i="7" s="1"/>
  <c r="D28" i="7"/>
  <c r="J34" i="4"/>
  <c r="E12" i="11" l="1"/>
  <c r="D13" i="11"/>
  <c r="E28" i="7"/>
  <c r="D117" i="1"/>
  <c r="F12" i="11" l="1"/>
  <c r="E13" i="11"/>
  <c r="G27" i="7"/>
  <c r="F28" i="7"/>
  <c r="G12" i="11" l="1"/>
  <c r="F13" i="11"/>
  <c r="H27" i="7"/>
  <c r="H28" i="7" s="1"/>
  <c r="G28" i="7"/>
  <c r="H12" i="11" l="1"/>
  <c r="H13" i="11" s="1"/>
  <c r="G13" i="11"/>
  <c r="J11" i="7" l="1"/>
  <c r="J14" i="7"/>
  <c r="J24" i="7"/>
  <c r="J20" i="7"/>
  <c r="J18" i="7"/>
  <c r="J25" i="7"/>
  <c r="J16" i="7"/>
  <c r="J21" i="7"/>
  <c r="J10" i="7"/>
  <c r="J8" i="7"/>
  <c r="J19" i="7"/>
  <c r="J17" i="7"/>
  <c r="J15" i="7"/>
  <c r="J12" i="7"/>
  <c r="J23" i="7"/>
  <c r="J9" i="7"/>
  <c r="J22" i="7"/>
  <c r="J7" i="7"/>
  <c r="J13" i="7"/>
</calcChain>
</file>

<file path=xl/sharedStrings.xml><?xml version="1.0" encoding="utf-8"?>
<sst xmlns="http://schemas.openxmlformats.org/spreadsheetml/2006/main" count="1808" uniqueCount="735">
  <si>
    <t>SERVIÇOS PRELIMINARES</t>
  </si>
  <si>
    <t>LOCAÇÃO DE OBRAS DE PEQUENO PORTE COM CAVALETE INCLUSO PINTURA (FASE INTERNA DO SARRAFO 10CM E PIQUETE COM TESTEMUNHA</t>
  </si>
  <si>
    <t>m2</t>
  </si>
  <si>
    <t>MÊS</t>
  </si>
  <si>
    <t>SUBTOTAL</t>
  </si>
  <si>
    <t xml:space="preserve">SERVIÇO EM TERRA </t>
  </si>
  <si>
    <t>APILOAMENTO</t>
  </si>
  <si>
    <t xml:space="preserve">ATERRO INTERNO SEM APILOAMENTO EM CARRINHO DE MÃO </t>
  </si>
  <si>
    <t>m3</t>
  </si>
  <si>
    <t>FUNDACOES E SONDAGENS</t>
  </si>
  <si>
    <t>ESTACA A TRADO DIAM.25 CM SEM FERRO</t>
  </si>
  <si>
    <t>m</t>
  </si>
  <si>
    <t>ACO CA 50-A - 8,0 MM (5/16") - (OBRAS CIVIS)</t>
  </si>
  <si>
    <t>Kg</t>
  </si>
  <si>
    <t>ACO CA 60-B 4,2 MM - (OBRAS CIVIS)</t>
  </si>
  <si>
    <t>ESTRUTURA</t>
  </si>
  <si>
    <t>ACO CA-50 A - 8,0 MM (5/16") - (OBRAS CIVIS)</t>
  </si>
  <si>
    <t>FORRO EM LAJE PRE-MOLDADA INC.CAPEAMENTO/FERR.DISTRIB./ESCORAMENTO E FORMA/DESFORMA</t>
  </si>
  <si>
    <t>INST. ELET./TELEFONICA/CABEAMENTO ESTRUTURADO</t>
  </si>
  <si>
    <t>CAIXA METALICA OCTOGONAL FUNDO MOVEL, SIMPLES 2"</t>
  </si>
  <si>
    <t>Un</t>
  </si>
  <si>
    <t>CAIXA METALICA RET. 4" X 2" X 2"</t>
  </si>
  <si>
    <t>DISJUNTOR MONOPOLAR DE 10 A 30-A</t>
  </si>
  <si>
    <t>DISJUNTOR MONOPOLAR DE 35 A 50-A</t>
  </si>
  <si>
    <t>ELETRODUTO PVC FLEXÍVEL - MANGUEIRA CORRUGADA - DIAM. 3/4"</t>
  </si>
  <si>
    <t>M</t>
  </si>
  <si>
    <t>FIO DE COBRE NU No. 6 MM2 (18,00 M/KG)</t>
  </si>
  <si>
    <t>FIO ISOLADO PVC 750 V, No. 1,5 MM2</t>
  </si>
  <si>
    <t>FIO ISOLADO PVC 750 V, No. 2,5 MM2</t>
  </si>
  <si>
    <t>FIO ISOLADO PVC 750 V, No. 4 MM2</t>
  </si>
  <si>
    <t>FIO ISOLADO PVC 750 V, No. 6 MM2</t>
  </si>
  <si>
    <t>FIO ISOLADO PVC 750 V, No. 10 MM2</t>
  </si>
  <si>
    <t>FITA ISOLANTE, ROLO DE 5,00 M</t>
  </si>
  <si>
    <t>HASTE REV.COBRE(COPPERWELD) 3/4" X 2,40 M C/CONECTOR</t>
  </si>
  <si>
    <t>INTERRUPTOR SIMPLES 1 SEÇÃO E 1 TOMADA HEXAGONAL 2P + T - 10A CONJUGADOS</t>
  </si>
  <si>
    <t>LAMPADA COMPACTA ELETRÔNICA COM REATOR INTEGRADO 25/26 W</t>
  </si>
  <si>
    <t>LUMINARIA PLAFON SOBREPOR P/LÂMP.COMPACTA ELETRÔNICA 2 X 26W</t>
  </si>
  <si>
    <t>PADRAO MONOFASICO 10 MM2 H=5 METROS</t>
  </si>
  <si>
    <t>TOMADA HEXAGONAL 2P + T - 10A - 250V</t>
  </si>
  <si>
    <t>INSTALAÇÕES HIDROSSANITÁRIAS</t>
  </si>
  <si>
    <t>S/U</t>
  </si>
  <si>
    <t>L O U C A S E M E T A I S</t>
  </si>
  <si>
    <t>V A S O S A N I T A R I O / A C E S S O R I O S</t>
  </si>
  <si>
    <t>VASO SANITÁRIO COM CAIXA ACOPLADA COMPLETO - EXCLUSO ASSENTO</t>
  </si>
  <si>
    <t>CONJUNTO DE FIXACAO P/VASO SANITARIO (PAR)</t>
  </si>
  <si>
    <t>CJ</t>
  </si>
  <si>
    <t>ASSENTO PARA VASO SANITÁRIO</t>
  </si>
  <si>
    <t>PORTA PAPEL HIGIENICO EM INOX</t>
  </si>
  <si>
    <t>L A V A T O R I O / A C E S S O R I O S</t>
  </si>
  <si>
    <t>FIXACAO P/LAVATORIO (PAR)</t>
  </si>
  <si>
    <t>PAR</t>
  </si>
  <si>
    <t>LIGAÇÃO FLEXÍVEL PVC DIAM.1/2" (ENGATE)</t>
  </si>
  <si>
    <t>SIFAO FLEXIVEL UNIVERSAL ( SANFONADO) EM PVC PARA LAVATORIO</t>
  </si>
  <si>
    <t>TORNEIRA PARA LAVATÓRIO DIÂMETRO 1/2"</t>
  </si>
  <si>
    <t>VALVULA P/LAVATORIO OU BEBEDOURO METALICO DIAMETRO 1"</t>
  </si>
  <si>
    <t>P I A / A C E S S O R I O S</t>
  </si>
  <si>
    <t>PIA MARMORE/GRANITO SINTÉTICO 1,20X0,60 M</t>
  </si>
  <si>
    <t>TORNEIRA P/PIA OU BEBEDOURO DIAM. 1/2" E 3/4" PAREDE</t>
  </si>
  <si>
    <t>SIFAO PVC P/PIA 1.1/2" X 2"</t>
  </si>
  <si>
    <t>F I L T R O / C H U V E I R O</t>
  </si>
  <si>
    <t>CHUVEIRO ELÉTRICO EM PVC COM BRAÇO METÁLICO</t>
  </si>
  <si>
    <t>SABONETEIRA EM INOX</t>
  </si>
  <si>
    <t>un</t>
  </si>
  <si>
    <t>T A N Q U E S / T O R N E I R A S J A R D I M S</t>
  </si>
  <si>
    <t>TANQUE MARMORE/GRANITO SINTÉTICO / 1 BATEDOR</t>
  </si>
  <si>
    <t>TORNEIRA DE PAREDE P/TANQUE DIAM.1/2" E 3/4"</t>
  </si>
  <si>
    <t>SIFAO P/TANQUE 1" X 1.1/2" - PVC</t>
  </si>
  <si>
    <t>VALVULA P/TANQUE METALICA DIAM.1" S/LADRAO</t>
  </si>
  <si>
    <t>R E G I S T R O S</t>
  </si>
  <si>
    <t>REGISTRO DE GAVETA BRUTO DIAMETRO 3/4"</t>
  </si>
  <si>
    <t>REGISTRO DE PRESSAO C/CANOPLA CROMADA DIAM.3/4"</t>
  </si>
  <si>
    <t>AGUA FRIA</t>
  </si>
  <si>
    <t>T U B O S DE P V C S O L D A V E L</t>
  </si>
  <si>
    <t>TUBO SOLDAVEL PVC MARROM DIAMETRO 25 mm</t>
  </si>
  <si>
    <t>A D A P T A D O R E S DE P V C S O L D A V E</t>
  </si>
  <si>
    <t>J O E L H O S</t>
  </si>
  <si>
    <t>JOELHO 90 GRAUS SOLDAVEL DIAMETRO 25 MM</t>
  </si>
  <si>
    <t>JOELHO 90 GRAUS SOLD. C/BUCHA LATAO 25 X 3/4"</t>
  </si>
  <si>
    <t>T E</t>
  </si>
  <si>
    <t>TE 90 GRAUS SOLDAVEL DIAMETRO 25 mm</t>
  </si>
  <si>
    <t>E S G O T O S A N I T A R I O</t>
  </si>
  <si>
    <t>C O R P O DE C A I X A S I F O N A D A/R A L O</t>
  </si>
  <si>
    <t>CORPO CX. SIFONADA DIAM. 100 X 100 X 50</t>
  </si>
  <si>
    <t>G R E L H A S</t>
  </si>
  <si>
    <t>GRELHA QUADRADA BRANCA DIAM. 100 MM</t>
  </si>
  <si>
    <t>D I V E R S O S</t>
  </si>
  <si>
    <t>KIT CAVALETE D=25MM P/HIDRÔMETRO 1,5-3,0-5,0 M3/MURETA/CAIXA</t>
  </si>
  <si>
    <t>CAIXA DE GORDURA E INSPEÇÃO EM PVC/ABS 19 LITROS COM TAMPA E PORTA TAMPA E CESTO DE LIMPEZA REMOVÍVEL</t>
  </si>
  <si>
    <t>TERMINAL DE VENTILACAO DIAMETRO 50 MM</t>
  </si>
  <si>
    <t>CAIXA DAGUA POLIETILENO 500 LTS.C/TAMPA</t>
  </si>
  <si>
    <t>TORNEIRA BOIA DIAMETRO (3/4") 20 MM</t>
  </si>
  <si>
    <t>T U B O S</t>
  </si>
  <si>
    <t>TUBO SOLD.P/ESGOTO DIAM. 40 MM</t>
  </si>
  <si>
    <t>TUBO SOLD. P/ESGOTO DIAM. 50 MM</t>
  </si>
  <si>
    <t>TUBO SOLDAVEL P/ESGOTO DIAM.75 MM</t>
  </si>
  <si>
    <t>TUBO SOLDAVEL P/ESGOTO DIAM. 100 MM</t>
  </si>
  <si>
    <t>100000</t>
  </si>
  <si>
    <t>ALVENARIAS E DIVISORIAS</t>
  </si>
  <si>
    <t>IMPERMEABILIZAÇÃO</t>
  </si>
  <si>
    <t>IMPERMEABILIZAÇÃO VIGAS BALDRAMES E=2,0 CM</t>
  </si>
  <si>
    <t>ESTRUTURA DE MADEIRA</t>
  </si>
  <si>
    <t>140000</t>
  </si>
  <si>
    <t>140200</t>
  </si>
  <si>
    <t>EST.MAD.TELHA FIBROCIM. COM APOIOS EM LAJES/VIGAS OU PAREDES(SOMENTE TERÇAS ) C/FERRAGENS</t>
  </si>
  <si>
    <t>COBERTURAS</t>
  </si>
  <si>
    <t>160000</t>
  </si>
  <si>
    <t>160501</t>
  </si>
  <si>
    <t>COBERTURA C/TELHA ONDULADA OU EQUIV.</t>
  </si>
  <si>
    <t xml:space="preserve">CALHA DE CHAPA GALVANIZADA </t>
  </si>
  <si>
    <t xml:space="preserve">RUFO DE CHAPA GALVANIZADA </t>
  </si>
  <si>
    <t>170000</t>
  </si>
  <si>
    <t>ESQUADRIAS DE MADEIRA</t>
  </si>
  <si>
    <t>170101</t>
  </si>
  <si>
    <t>PORTA LISA 60x210 C/PORTAL E ALISAR S/FERRAGENS</t>
  </si>
  <si>
    <t>PORTA LISA 80x210 C/PORTAL E ALISAR S/FERRAGENS</t>
  </si>
  <si>
    <t>180000</t>
  </si>
  <si>
    <t>ESQUADRIAS METÁLICAS - ( OBS.: OS VIDROS NÃO ESTÃO INCLUSOS NAS ESQUADRIAS )</t>
  </si>
  <si>
    <t>ESQ. MAXIMO AR CHAPA/VIDRO J4 C/FERRAGENS</t>
  </si>
  <si>
    <t>ESQ.VENEZIANA CHAPA/VIDRO J11 e J16 C/FERRAGENS</t>
  </si>
  <si>
    <t>180504</t>
  </si>
  <si>
    <t>PORTA ABRIR/VENEZIANA PF-4 C/FERRAGENS</t>
  </si>
  <si>
    <t>VIDROS</t>
  </si>
  <si>
    <t>190000</t>
  </si>
  <si>
    <t>190105</t>
  </si>
  <si>
    <t>VIDRO MINI-BOREAL - COLOCADO 4.0mm</t>
  </si>
  <si>
    <t>REVESTIMENTO DE PAREDES</t>
  </si>
  <si>
    <t>200000</t>
  </si>
  <si>
    <t>200101</t>
  </si>
  <si>
    <t>CHAPISCO COMUM</t>
  </si>
  <si>
    <t>200201</t>
  </si>
  <si>
    <t>EMBOÇO (1CI:4 ARML)</t>
  </si>
  <si>
    <t>200403</t>
  </si>
  <si>
    <t>REBOCO (1 CALH:4 ARFC+100kgCI/M3)</t>
  </si>
  <si>
    <t>201302</t>
  </si>
  <si>
    <t>REVESTIMENTO COM CERÂMICA</t>
  </si>
  <si>
    <t>FORROS</t>
  </si>
  <si>
    <t>210000</t>
  </si>
  <si>
    <t>210101</t>
  </si>
  <si>
    <t>CHAPISCO EM FORRO (1CI: 3 ARG)</t>
  </si>
  <si>
    <t>210301</t>
  </si>
  <si>
    <t>REBOCO FINO EM FORRO (1 CALH:4 ARFC+100 KG CI/M3)</t>
  </si>
  <si>
    <t>REVESTIMENTO DE PISO</t>
  </si>
  <si>
    <t>220000</t>
  </si>
  <si>
    <t>PISO CONCRETO DESEMPENADO ESPESSURA = 5 CM 1:2,5:3,5 (Passeio proteção)</t>
  </si>
  <si>
    <t>220309</t>
  </si>
  <si>
    <t>PISO EM CERÂMICA PEI MAIOR OU IGUAL A 4 COM CONTRA PISO (1CI:3ARML) E ARGAMASSA COLANTE</t>
  </si>
  <si>
    <t>220310</t>
  </si>
  <si>
    <t>RODAPÉ DE CERÂMICA COM ARGAMASSA COLANTE</t>
  </si>
  <si>
    <t>220311</t>
  </si>
  <si>
    <t>CERÂMICA ANTIDERRAPANTE PEI MAIOR OU IGUAL A 4 COM CONTRA PISO (1CI:3ARML) E ARGAMASSA COLANTE</t>
  </si>
  <si>
    <t>FERRAGENS</t>
  </si>
  <si>
    <t>230000</t>
  </si>
  <si>
    <t>230102</t>
  </si>
  <si>
    <t>FECH.(ALAV.) LAFONTE 6236 I /8766- I18 IMAB OU EQUIV.</t>
  </si>
  <si>
    <t>PINTURA</t>
  </si>
  <si>
    <t>260000</t>
  </si>
  <si>
    <t>261307</t>
  </si>
  <si>
    <t>PINTURA PVA LATEX 2 DEMAOS SEM SELADOR</t>
  </si>
  <si>
    <t>PINTURA VERNIZ EM MADEIRA 2 DEMAOS</t>
  </si>
  <si>
    <t>DIVERSOS</t>
  </si>
  <si>
    <t>270000</t>
  </si>
  <si>
    <t>270501</t>
  </si>
  <si>
    <t>LIMPEZA FINAL DE OBRA - (OBRAS CIVIS)</t>
  </si>
  <si>
    <t>PREFEITURA MUNICIPAL DE CATALÃO</t>
  </si>
  <si>
    <t>SECRETARIA MUNICIPAL DE OBRAS</t>
  </si>
  <si>
    <t>ITEM</t>
  </si>
  <si>
    <t>DESCRIÇÃO</t>
  </si>
  <si>
    <t>CODIGO</t>
  </si>
  <si>
    <t>UND</t>
  </si>
  <si>
    <t>QUANT.</t>
  </si>
  <si>
    <t>MATERIAL</t>
  </si>
  <si>
    <t>MÃO DE OBRA</t>
  </si>
  <si>
    <t>TOTAL</t>
  </si>
  <si>
    <t>GRUPO DE SERVIÇO: 164- SERVIÇOS PRELIMINARES</t>
  </si>
  <si>
    <t xml:space="preserve"> m2</t>
  </si>
  <si>
    <t>GRUPO DE SERVIÇO: 166- SERVIÇOS EM TERRA</t>
  </si>
  <si>
    <t>GRUPO DE SERVIÇO: 165- TRANSPORTES</t>
  </si>
  <si>
    <t>TRANSPORTES</t>
  </si>
  <si>
    <t xml:space="preserve">m3 </t>
  </si>
  <si>
    <t>GRUPO DE SERVIÇO:167- FUNDAÇÕES E SONDAGENS</t>
  </si>
  <si>
    <t>GRUPO DE SERVIÇO:168- ESTRUTURA</t>
  </si>
  <si>
    <t>GRUPO DE SERVIÇO:169-INST. ELET./TELEFONICA/CABEAMENTO ESTRUTURADO</t>
  </si>
  <si>
    <t>QUADRO DE DISTRIBUIÇÃO DE EMBUTIR EM PVC CB 12E - 80A</t>
  </si>
  <si>
    <t>GRUPO DE SERVIÇO:170-INSTALAÇÕES HIDROSSANITÁRIAS</t>
  </si>
  <si>
    <t>GRUPO DE SERVIÇO:172- ALVENARIAS E DIVISORIAS</t>
  </si>
  <si>
    <t>GRUPO DE SERVIÇO:174- IMPERMEABILIZAÇÃO</t>
  </si>
  <si>
    <t>GRUPO DE SERVIÇO:176- ESTRUTURA DE MADEIRA</t>
  </si>
  <si>
    <t>GRUPO DE SERVIÇO:178- COBERTURAS</t>
  </si>
  <si>
    <t>GRUPO DE SERVIÇO:179- ESQUADRIAS DE MADEIRA</t>
  </si>
  <si>
    <t>GRUPO DE SERVIÇO:180- ESQUADRIAS METÁLICAS</t>
  </si>
  <si>
    <t>GRUPO DE SERVIÇO:181- VIDROS</t>
  </si>
  <si>
    <t>GRUPO DE SERVIÇO:182- REVESTIMENTO DE PAREDES</t>
  </si>
  <si>
    <t>GRUPO DE SERVIÇO:183- FORROS</t>
  </si>
  <si>
    <t>GRUPO DE SERVIÇO:184-REVESTIMENTO DE PISO</t>
  </si>
  <si>
    <t>GRUPO DE SERVIÇO:185- FERRAGENS</t>
  </si>
  <si>
    <t xml:space="preserve">GRUPO DE SERVIÇO:188- PINTURA </t>
  </si>
  <si>
    <t>GRUPO DE SERVIÇO:189- DIVERSOS</t>
  </si>
  <si>
    <t xml:space="preserve">PLACA INAUGURACAO ACO INOXIDAVEL (40 X 25) </t>
  </si>
  <si>
    <t>AGETOP</t>
  </si>
  <si>
    <t>TOTAL PARA 01 CASA</t>
  </si>
  <si>
    <t>15 estacas com 3,00m cada, Total 45,00 m</t>
  </si>
  <si>
    <t xml:space="preserve">Projeto Estrutural </t>
  </si>
  <si>
    <t>Projeto Estrutural</t>
  </si>
  <si>
    <t xml:space="preserve">4 Cicuitos </t>
  </si>
  <si>
    <t>1 Geral</t>
  </si>
  <si>
    <t>Fio para aterramento 3,00m</t>
  </si>
  <si>
    <t>Fio para iluminação 100,00m</t>
  </si>
  <si>
    <t>Fio para chuveiro 20,00m</t>
  </si>
  <si>
    <t>Fio para entrada de energia</t>
  </si>
  <si>
    <t>Hastes para aterramento 2,00</t>
  </si>
  <si>
    <t>CÓDIGO</t>
  </si>
  <si>
    <t>CALCULO</t>
  </si>
  <si>
    <t>GRUPO DE SERVIÇO: 164- SERVIÇOS PRELIMINARES164</t>
  </si>
  <si>
    <t>PLACA DE OBRA EM CHAPA METÁLICA 28 COM PINTURA, AFIXADA EM CAVALETES DE MADEIRA DE LEI (VIGOTAS 6X12CM - PADRÃO AGETOP)</t>
  </si>
  <si>
    <t>BANHEIRO: 2,00</t>
  </si>
  <si>
    <t>QUARTOS: 2,00</t>
  </si>
  <si>
    <t>BANHEIRO: 1,00</t>
  </si>
  <si>
    <t>ÁREA DA EDIFICAÇÃO</t>
  </si>
  <si>
    <t>4,86+2,6+3,89</t>
  </si>
  <si>
    <t>2,71+11,35+2,71+2,53+2,53</t>
  </si>
  <si>
    <t>PORTA DE ENTRADA: 2,10 X 0,80</t>
  </si>
  <si>
    <t>COZINHA: 2,10 X 0,80</t>
  </si>
  <si>
    <t>PORTINHOLA ALÇAPÃO: 0,60 X 0,60</t>
  </si>
  <si>
    <t>BANHEIRO 0,5 X 0,5</t>
  </si>
  <si>
    <t>ESQUADRIA MAXIMO AR: 0,50 X 0,50</t>
  </si>
  <si>
    <t xml:space="preserve">DOBRADICA 3" x 3 1/2" FERRO POLIDO </t>
  </si>
  <si>
    <t>BANHEIRO: 3,00</t>
  </si>
  <si>
    <t>QUARTOS: 6,00</t>
  </si>
  <si>
    <t>GRUPO DE SERVIÇO:188- PINTURA</t>
  </si>
  <si>
    <t>GRUPO DE SERVIÇO</t>
  </si>
  <si>
    <t>MÊS 1</t>
  </si>
  <si>
    <t>MÊS 2</t>
  </si>
  <si>
    <t>MÊS 3</t>
  </si>
  <si>
    <t>MÊS 4</t>
  </si>
  <si>
    <t>MÊS 5</t>
  </si>
  <si>
    <t>MÊS 6</t>
  </si>
  <si>
    <t>QUARTO 2: 1,50 X 1,00</t>
  </si>
  <si>
    <t>COZINHA 1,20 X 1,00</t>
  </si>
  <si>
    <t>SALA: 2* (1,20 X 1,00)</t>
  </si>
  <si>
    <t>QUARTO 1: 1,50 X 1,00</t>
  </si>
  <si>
    <t>HALL: 1,85 M²</t>
  </si>
  <si>
    <t>QUARTO: 8,15M²</t>
  </si>
  <si>
    <t>SALA: 11,94M²</t>
  </si>
  <si>
    <t>COZINHA: 10,05M²</t>
  </si>
  <si>
    <t>QUARTO: 7,11M²</t>
  </si>
  <si>
    <t>BANHEIRO: 3,16 M²</t>
  </si>
  <si>
    <t xml:space="preserve">m2 </t>
  </si>
  <si>
    <t xml:space="preserve"> EMASSAMENTO ACRÍLICO 1 DEMÃO EM PAREDE</t>
  </si>
  <si>
    <t xml:space="preserve"> PINTURA LATEX ACRILICA 2 DEMAOS C/SELADOR </t>
  </si>
  <si>
    <t>FUNDO ANTICORROSIVO PARA ESQUADRIAS METÁLICAS</t>
  </si>
  <si>
    <t xml:space="preserve">PINTURA ESMALTE 1 DEMÃO ESQUADRIA METALICA S/FUNDO ANTICORR. </t>
  </si>
  <si>
    <t>ÁREA EXTERNA : 17,19M²</t>
  </si>
  <si>
    <t>TOTAL C/ BDI</t>
  </si>
  <si>
    <t xml:space="preserve">TRANSPORTE DE ENTULHO EM CAÇAMBA ESTACIONÁRIA INCLUSO A CARGA MANUAL </t>
  </si>
  <si>
    <t xml:space="preserve">VERGA/CONTRAVERGA EM CONCRETO ARMADO FCK = 20 MPA </t>
  </si>
  <si>
    <t xml:space="preserve">ANEL DE VEDAÇÃO PARA VASO SANITÁRIO </t>
  </si>
  <si>
    <t xml:space="preserve">PORTA TOALHA HASTE CURTA EM METAL/ACABAMENTO CROMADO </t>
  </si>
  <si>
    <t>QUARTO:(2,85+ 2,85 + 2,85 +2,85)* 2,80 = 31,92                 DESCONTO PORTAS E JANELAS: (0,80 * 2,10)+(1,50 * 1,00) = 3,18</t>
  </si>
  <si>
    <t>1.1</t>
  </si>
  <si>
    <t>1.2</t>
  </si>
  <si>
    <t>2.1</t>
  </si>
  <si>
    <t>3.1</t>
  </si>
  <si>
    <t>3.2</t>
  </si>
  <si>
    <t>4.1</t>
  </si>
  <si>
    <t>4.2</t>
  </si>
  <si>
    <t>4.3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</si>
  <si>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</si>
  <si>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</si>
  <si>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</si>
  <si>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</si>
  <si>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</si>
  <si>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</si>
  <si>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</si>
  <si>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</si>
  <si>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</si>
  <si>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</si>
  <si>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</si>
  <si>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</si>
  <si>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</si>
  <si>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</si>
  <si>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</si>
  <si>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</si>
  <si>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</si>
  <si>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</si>
  <si>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</si>
  <si>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</si>
  <si>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</si>
  <si>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</si>
  <si>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</si>
  <si>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</si>
  <si>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7.1</t>
  </si>
  <si>
    <t>7.1.2</t>
  </si>
  <si>
    <t>7.1.3</t>
  </si>
  <si>
    <t>7.1.4</t>
  </si>
  <si>
    <t>7.1.5</t>
  </si>
  <si>
    <t>7.1.6</t>
  </si>
  <si>
    <t>7.2</t>
  </si>
  <si>
    <t>7.2.1</t>
  </si>
  <si>
    <t>7.2.2</t>
  </si>
  <si>
    <t>7.2.3</t>
  </si>
  <si>
    <t>7.2.4</t>
  </si>
  <si>
    <t>7.2.5</t>
  </si>
  <si>
    <t>7.2.6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</si>
  <si>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</si>
  <si>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</si>
  <si>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</si>
  <si>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</si>
  <si>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</si>
  <si>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</si>
  <si>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</si>
  <si>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</si>
  <si>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</si>
  <si>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7.5</t>
  </si>
  <si>
    <t>7.5.1</t>
  </si>
  <si>
    <t>7.5.2</t>
  </si>
  <si>
    <t>7.5.3</t>
  </si>
  <si>
    <t>7.5.4</t>
  </si>
  <si>
    <t>7.6</t>
  </si>
  <si>
    <t>7.6.1</t>
  </si>
  <si>
    <t>7.6.2</t>
  </si>
  <si>
    <t>7.6.3</t>
  </si>
  <si>
    <t>A.</t>
  </si>
  <si>
    <t>B.</t>
  </si>
  <si>
    <t>7.7</t>
  </si>
  <si>
    <t>7.7.1</t>
  </si>
  <si>
    <t>7.7.2</t>
  </si>
  <si>
    <t>7.8</t>
  </si>
  <si>
    <t>7.8.1</t>
  </si>
  <si>
    <t>7.9</t>
  </si>
  <si>
    <t>7.9.1</t>
  </si>
  <si>
    <t>7.9.2</t>
  </si>
  <si>
    <t>7.9.3</t>
  </si>
  <si>
    <t>7.10</t>
  </si>
  <si>
    <t>7.10.1</t>
  </si>
  <si>
    <t>C.</t>
  </si>
  <si>
    <t>7.11</t>
  </si>
  <si>
    <t>7.11.1</t>
  </si>
  <si>
    <t>7.12</t>
  </si>
  <si>
    <t>7.12.1</t>
  </si>
  <si>
    <t>7.13</t>
  </si>
  <si>
    <t>7.13.1</t>
  </si>
  <si>
    <t>7.14</t>
  </si>
  <si>
    <t>7.14.1</t>
  </si>
  <si>
    <t>7.14.2</t>
  </si>
  <si>
    <t>7.14.3</t>
  </si>
  <si>
    <t>7.14.4</t>
  </si>
  <si>
    <t>8.1</t>
  </si>
  <si>
    <t>9.1</t>
  </si>
  <si>
    <t>10.1</t>
  </si>
  <si>
    <t>11.1</t>
  </si>
  <si>
    <t>11.2</t>
  </si>
  <si>
    <t>11.3</t>
  </si>
  <si>
    <t>12.1</t>
  </si>
  <si>
    <t>12.2</t>
  </si>
  <si>
    <t>13.1</t>
  </si>
  <si>
    <t>13.2</t>
  </si>
  <si>
    <t>13.3</t>
  </si>
  <si>
    <t>14.1</t>
  </si>
  <si>
    <t>15.1</t>
  </si>
  <si>
    <t>15.2</t>
  </si>
  <si>
    <t>15.3</t>
  </si>
  <si>
    <t>15.4</t>
  </si>
  <si>
    <t>16.1</t>
  </si>
  <si>
    <t>16.2</t>
  </si>
  <si>
    <t>17.1</t>
  </si>
  <si>
    <t>17.2</t>
  </si>
  <si>
    <t>17.3</t>
  </si>
  <si>
    <t>17.4</t>
  </si>
  <si>
    <t>17.5</t>
  </si>
  <si>
    <t>18.1</t>
  </si>
  <si>
    <t>19.1</t>
  </si>
  <si>
    <t>19.2</t>
  </si>
  <si>
    <t>19.3</t>
  </si>
  <si>
    <t>19.4</t>
  </si>
  <si>
    <t>19.5</t>
  </si>
  <si>
    <t>19.6</t>
  </si>
  <si>
    <t>19.7</t>
  </si>
  <si>
    <t>20.1</t>
  </si>
  <si>
    <t>VALOR DO SERVIÇO</t>
  </si>
  <si>
    <t>% DO SERVIÇO</t>
  </si>
  <si>
    <t>VALOR DO SERVIÇO EXECUTADO</t>
  </si>
  <si>
    <t>PORCENTAGEM DO SERVIÇO EXECUTADO</t>
  </si>
  <si>
    <t>5.6</t>
  </si>
  <si>
    <t>18.2</t>
  </si>
  <si>
    <t xml:space="preserve"> ADMINISTRAÇÃO - MENSALISTAS</t>
  </si>
  <si>
    <t xml:space="preserve">ENGENHEIRO - (OBRAS CIVIS) </t>
  </si>
  <si>
    <t xml:space="preserve">H </t>
  </si>
  <si>
    <t xml:space="preserve"> ENCARREGADO - (OBRAS CIVIS)</t>
  </si>
  <si>
    <t>20.2</t>
  </si>
  <si>
    <t>H</t>
  </si>
  <si>
    <t>QUARTOS: 4,00</t>
  </si>
  <si>
    <t>SALA: 2,00</t>
  </si>
  <si>
    <t>COZINHA: 2,00</t>
  </si>
  <si>
    <t xml:space="preserve"> LAVATÓRIO MÉDIO COM COLUNA</t>
  </si>
  <si>
    <t xml:space="preserve">ESQUADRIAS VENEZIANAS: 6,30 /2 </t>
  </si>
  <si>
    <t>BEIRAL: 35,20 *0,10= 3,52 M²</t>
  </si>
  <si>
    <t>TETO: 42,26M²</t>
  </si>
  <si>
    <t xml:space="preserve"> EMASSAMENTO COM MASSA PVA UMA DEMAO</t>
  </si>
  <si>
    <t>COMPOSIÇÃO</t>
  </si>
  <si>
    <t>TOTAL COM BDI</t>
  </si>
  <si>
    <t>GRUPO DE SERVIÇO: COMPOSIÇÃO</t>
  </si>
  <si>
    <t xml:space="preserve">LEONARDO MARTINS DE CASTRO TEIXEIRA </t>
  </si>
  <si>
    <t>SECRETÁRIO MUNICIPAL DE OBRAS</t>
  </si>
  <si>
    <t>ENGENHEIRO CIVIL</t>
  </si>
  <si>
    <t>CREA: 7455/D-GO</t>
  </si>
  <si>
    <t>_______________________________________________________________</t>
  </si>
  <si>
    <t>CONSTRUÇÃO DAS UNIDADES HABITACIONAIS</t>
  </si>
  <si>
    <t>COMPOSIÇÃO PARA EXECUÇÃO DE 1 CASA PADRÃO POPULAR</t>
  </si>
  <si>
    <t xml:space="preserve">GRUPO DE SERVIÇO: 187- ADMINISTRAÇÃO - MENSALISTAS </t>
  </si>
  <si>
    <t xml:space="preserve">GRUPO DE SERVIÇO: 164- SERVIÇOS PRELIMINARES </t>
  </si>
  <si>
    <t>J U N C O E S</t>
  </si>
  <si>
    <t xml:space="preserve">JUNCAO SIMPLES DIAMETRO 100 X 75 MM </t>
  </si>
  <si>
    <t xml:space="preserve">JUNCAO SIMPLES DIAM. 100 X 50 MM </t>
  </si>
  <si>
    <t>7.15</t>
  </si>
  <si>
    <t>7.15.1</t>
  </si>
  <si>
    <t>7.15.2</t>
  </si>
  <si>
    <t>7.9.4</t>
  </si>
  <si>
    <t>7.15.3</t>
  </si>
  <si>
    <t>7.15.4</t>
  </si>
  <si>
    <t>7.16</t>
  </si>
  <si>
    <t>7.16.1</t>
  </si>
  <si>
    <t>7.16.2</t>
  </si>
  <si>
    <t>PLACA DE OBRA EM CHAPA METÁLICA 26 COM PINTURA, AFIXADA EM CAVALETES DE MADEIRA DE LEI (VIGOTAS 6X12CM - PADRÃO AGETOP)</t>
  </si>
  <si>
    <t>2 portas P1 (80x210cm) - 20 cm para cada lado</t>
  </si>
  <si>
    <t>2 portas P2 (80x210cm) - 20 cm para cada lado</t>
  </si>
  <si>
    <t>1 porta P3 (60x210 cm) - 20 cm para cada lado</t>
  </si>
  <si>
    <t>2 Janelas J2 (150x100cm) - 30 cm para cada lado</t>
  </si>
  <si>
    <t>3 Janelas J1 (120x100cm)</t>
  </si>
  <si>
    <t>1 Janela J3 (50x50cm)</t>
  </si>
  <si>
    <t>Verga e Contra Verga com 15 cm de altura</t>
  </si>
  <si>
    <t>Comprimento total de vergas e contra vergas</t>
  </si>
  <si>
    <t>FORMA - CH.COMPENSADA 17MM PLAST REAP 7 V. - (OBRAS CIVIS)</t>
  </si>
  <si>
    <t xml:space="preserve">ÁREA DE PISO: 48 </t>
  </si>
  <si>
    <t>48* 0,15</t>
  </si>
  <si>
    <t>3.3</t>
  </si>
  <si>
    <t>ESCAVACAO MANUAL DE VALAS &lt; 1 MTS. (OBRAS CIVIS)</t>
  </si>
  <si>
    <t>Volume de terra das baldrames</t>
  </si>
  <si>
    <t>3.4</t>
  </si>
  <si>
    <t>REATERRO COM APILOAMENTO</t>
  </si>
  <si>
    <t>ACO CA-60 - 5,0 MM - (OBRAS CIVIS)</t>
  </si>
  <si>
    <t>9.2</t>
  </si>
  <si>
    <t>IMPERMEABILIZAÇÃO-REBAIXO BANHEIRO COM 4 DEMÃOS DE EMULSÃO ASFÁLTICA</t>
  </si>
  <si>
    <t>5.7</t>
  </si>
  <si>
    <t>LANÇAMENTO/APLICAÇÃO/ADENSAMENTO DE CONCRETO EM ESTRUTURA - (O.C.)</t>
  </si>
  <si>
    <t>ACO CA-60B - 5,0 MM - (OBRAS CIVIS)</t>
  </si>
  <si>
    <t>ACO CA-50A - 10,0 MM (3/8") - (OBRAS CIVIS)</t>
  </si>
  <si>
    <t>5.8</t>
  </si>
  <si>
    <t>kg</t>
  </si>
  <si>
    <t>,</t>
  </si>
  <si>
    <t>Projeto Estrutural + Armadura Negativa balanço</t>
  </si>
  <si>
    <t>TORNEIRA DE PAREDE PARA PIA OU BEBEDOURO DIÂMETRO DE 1/2" E 3/4"</t>
  </si>
  <si>
    <t xml:space="preserve">SABONETEIRA EM METAL / ACABAMENTO CROMADO </t>
  </si>
  <si>
    <t xml:space="preserve">TANQUE MARMORE/GRANITO SINTÉTICO C/UMA CUBA E 1 BATEDOR </t>
  </si>
  <si>
    <t>TORNEIRA DE PAREDE PARA TANQUE COM AREJADOR DIÂMETRO DE 1/2" E 3/4"</t>
  </si>
  <si>
    <t>REGISTRO DE ESFERA DIAMETRO 1"</t>
  </si>
  <si>
    <t>7.6.4</t>
  </si>
  <si>
    <t>und</t>
  </si>
  <si>
    <t>7.7.3</t>
  </si>
  <si>
    <t>7.7.4</t>
  </si>
  <si>
    <t>TUBO SOLDAVEL PVC MARROM DIAMETRO 32 mm</t>
  </si>
  <si>
    <t>TUBO SOLDAVEL PVC MARROM DIAM.(40 mm)</t>
  </si>
  <si>
    <t>7.8.2</t>
  </si>
  <si>
    <t>7.8.3</t>
  </si>
  <si>
    <t>ADAPTADOR SOLD.C/FLANGES LIVRES P/CX.DAGUA 32X1"</t>
  </si>
  <si>
    <t>ADAPTADOR SOLD.C/FLANGES LIV.P/CX.DAGUA 40X1.1/4"</t>
  </si>
  <si>
    <t>JOELHO 90 GRAUS SOLDAVEL DIAMETRO 32 MM (1")</t>
  </si>
  <si>
    <t>7.9.5</t>
  </si>
  <si>
    <t>JOELHO 90 GRAUS SOLDAVEL DIAMETRO 20 MM</t>
  </si>
  <si>
    <t>JOELHO RED.90 GRAUS SOLD.C/BUCHA LATAO 25X1/2"</t>
  </si>
  <si>
    <t>JOELHO REDUÇÃO 90º SOLDÁVEL 32 mm X 25 mm</t>
  </si>
  <si>
    <t>7.9.6</t>
  </si>
  <si>
    <t>JOELHO 90 GRAUS SOLDAVEL DIAMETRO 40 mm (1.1/4")</t>
  </si>
  <si>
    <t>7.9.7</t>
  </si>
  <si>
    <t>TE 90 GRAUS SOLDAVEL DIAMETRO 32 mm</t>
  </si>
  <si>
    <t>TE 90 GRAUS SOLDAVEL DIAMETRO 40 mm</t>
  </si>
  <si>
    <t>7.10.2</t>
  </si>
  <si>
    <t>7.10.3</t>
  </si>
  <si>
    <t>JOELHO REDUCAO 90 GRAUS SOLD./ROSCA 25 X 1/2"</t>
  </si>
  <si>
    <t>7.9.8</t>
  </si>
  <si>
    <t>ADAPTAD.SOLD.CURTO C/BOLSA E ROSCA P/REG.25X3/4"</t>
  </si>
  <si>
    <t>ADAPTAD.SOLD.CURTO C/BOLSA E ROSCA P/REG.20X1/2"</t>
  </si>
  <si>
    <t>TUBO SOLDAVEL PVC MARROM DIAMETRO 20 mm</t>
  </si>
  <si>
    <t>A D A P T A D O R E S DE P V C S O L D A V E L</t>
  </si>
  <si>
    <t>UNIAO SOLDAVEL DIAMETRO 20 mm</t>
  </si>
  <si>
    <t>U N I Ã O</t>
  </si>
  <si>
    <t>7.14.6</t>
  </si>
  <si>
    <t>JOELHO 90 GRAUS SOLDAVEL/ROSCA DIAM.20 X 1/2"</t>
  </si>
  <si>
    <t>7.9.9</t>
  </si>
  <si>
    <t>REGISTRO DE ESFERA DIAM.1/2"</t>
  </si>
  <si>
    <t>7.6.5</t>
  </si>
  <si>
    <t>ADAPTAD.SOLD.CURTO C/BOLSA/ROSCA P/REG.40X1 1/4"</t>
  </si>
  <si>
    <t>7.8.4</t>
  </si>
  <si>
    <t>CORPO CX. SIFONADA DIAM. 150 X 150 X 50</t>
  </si>
  <si>
    <t>GRELHA QUADRADA BRANCA DIAM. 150 MM</t>
  </si>
  <si>
    <t>DESCONTO PORTAS E JANELAS: 15,3 m2</t>
  </si>
  <si>
    <t>-</t>
  </si>
  <si>
    <t>BDI (23,88%)</t>
  </si>
  <si>
    <t>END.: CATALÃO/GO</t>
  </si>
  <si>
    <t>GRUPO DE SERVIÇO: 164- SERVIÇOS PRELIMINARES ( PARA 60 CASAS)</t>
  </si>
  <si>
    <t>GRUPO DE SERVIÇO: 187- ADMINISTRAÇÃO - MENSALISTAS ( PARA 60 CASAS)</t>
  </si>
  <si>
    <t>GRUPO DE SERVIÇO: COMPOSIÇÃO CANTEIRO DE OBRAS ( PARA 60 CASAS)</t>
  </si>
  <si>
    <t>CANTEIRO DE OBRAS</t>
  </si>
  <si>
    <t>BANHEIROS QUÍMICOS (COM LAVATÓRIO)</t>
  </si>
  <si>
    <t>CONSUMO DE ENERGIA (CANTEIRO/ ALOJAMENTO)</t>
  </si>
  <si>
    <t>KWH</t>
  </si>
  <si>
    <t>COMPOSIÇÃO PARA CANTEIRO DE OBRAS</t>
  </si>
  <si>
    <t>REF.: ADMINISTRAÇÃO - CANTEIRO - MOBILIZAÇÃO - T135</t>
  </si>
  <si>
    <t>GRUPO DE SERVIÇO: COMPOSIÇÃO CANTEIRO DE OBRAS</t>
  </si>
  <si>
    <t>GRUPO DE SERVIÇO: 189 - COMPOSIÇÃO CANTEIRO DE OBRAS</t>
  </si>
  <si>
    <t>GRUPO DE SERVIÇO: COMPOSIÇÃO UNIDADES HABITACIONAIS</t>
  </si>
  <si>
    <t>COMPOSIÇÃO CANTEIRO DE OBRAS</t>
  </si>
  <si>
    <t>COMPOSIÇÃO UNIDADES HABITACIONAIS</t>
  </si>
  <si>
    <t>VIGIA DE OBRAS - (NOTURNO E NO SÁBADO/DOMINGO DIURNO) - O.C</t>
  </si>
  <si>
    <t>11.4</t>
  </si>
  <si>
    <t>CALHA DE CHAPA GALVANIZADA</t>
  </si>
  <si>
    <t>3 Calhas pluviais 9 x 5 cm + 20%</t>
  </si>
  <si>
    <t>FUNDO ADERENTE PARA SUPERFÍCIES GALVANIZADAS - 1 DEMAO</t>
  </si>
  <si>
    <t>19.8</t>
  </si>
  <si>
    <t>Área de calhas galvanizadas</t>
  </si>
  <si>
    <t>PINTURA LATEX ACRILICO 2 DEMAOS</t>
  </si>
  <si>
    <t>19.9</t>
  </si>
  <si>
    <t>Área total de terreno</t>
  </si>
  <si>
    <t>TRANSPORTE DE ENTULHO EM CAMINHÃO INCLUSO A CARGA MANUAL</t>
  </si>
  <si>
    <t>RASPAGEM E LIMPEZA MANUAL DO TERRENO</t>
  </si>
  <si>
    <t>ENCARREGADO - (OBRAS CIVIS)</t>
  </si>
  <si>
    <t>SALA: (2,60+4,43)*2,80*2 = 39,37</t>
  </si>
  <si>
    <t>DESCONTOS: (0,90*2,10*2) + (1,20*1,00*2)+(0,80*2,10) = 1,68 m2</t>
  </si>
  <si>
    <t>COZINHA: (3,50+2,85)*2*2,80 = 35,56 m2</t>
  </si>
  <si>
    <t>DESCONTOS: (1,20*1,00) + (0,80*2,10) + (0,90*2,10) = 4,77 m2</t>
  </si>
  <si>
    <t>QUARTO 1: (2,50+2,85)*2*2,80 = 29,96 m2</t>
  </si>
  <si>
    <t>DESCONTOS: (0,80*2,10) + (1,50*1,00) = 3,18 m2</t>
  </si>
  <si>
    <t>QUARTO 2: (2,85+2,85)*2*2,80 - 1,68 - 1,50</t>
  </si>
  <si>
    <t>PLATIBANDA = 34,38 *1,20 * 2 = 82,51 m2</t>
  </si>
  <si>
    <t>ÁREA EXTERNA: 2,00 * 1,10 = 2,2 m2</t>
  </si>
  <si>
    <t>Área de Chapisco - Área de emboço</t>
  </si>
  <si>
    <t>QUARTO:  2,84 + 2,50 + 2,50 + 2,50 - 0,80</t>
  </si>
  <si>
    <t>QUARTO: 2,85 + 2,86 + 2,86 + 2,86 - 0,80</t>
  </si>
  <si>
    <t>HALL: 1,84 + 1,00 + 1,00 + 1,84 - 0,90 - 0,80 - 0,80 - 0,60</t>
  </si>
  <si>
    <t>SALA:  2,60 + 4,43 + 2,60 + 4,43 - 0,80 - 0,90 - 0,90</t>
  </si>
  <si>
    <t>CADEADO 20 MM</t>
  </si>
  <si>
    <t>18.3</t>
  </si>
  <si>
    <t>Portinhola Alçapão</t>
  </si>
  <si>
    <t>4.4</t>
  </si>
  <si>
    <t>4.10</t>
  </si>
  <si>
    <t>4.11</t>
  </si>
  <si>
    <t>5 cm da Área total do terreno</t>
  </si>
  <si>
    <t>Volume de terra das valas - Volume das baldrames</t>
  </si>
  <si>
    <t>((11,35+3,11+4,06+2,73+4,69+2,73+2,60+3,11+2,85+2,85+2,85+1,84+2,50) * 2,8) + ((11,35+3,11+4,06+2,73+4,69+2,73+2,60+3,11) * 1,20)</t>
  </si>
  <si>
    <t xml:space="preserve">Área Externa conforme 15.1 - Revestimento Externo                  </t>
  </si>
  <si>
    <t>Área conforme 19.3</t>
  </si>
  <si>
    <t>ÁREA EXTERNA: 11,35+3,11+4,06+2,73+4,69+2,73+2,60+3,11 = 34,38 * 2,80 = 96,26 - (2*0,80*2,1) - (1,20*1*3) - (1,50*1*2) - (0,60*0,60) = 85,7</t>
  </si>
  <si>
    <t>HALL: (1,00 + 1,00 + 1,84 + 1,84) * 2,80 = 15,91            DESCONTO PORTAS: 2*(0,80 * 2,10)+ (0,60*2,10)+(0,9*2,10) = 8,40</t>
  </si>
  <si>
    <t>QUARTO: (2,85 + 2,85 + 2,50 + 2,50)*2,80 = 29,96                              DESCONTO PORTAS E JANELAS: (0,80 * 2,10)+(1,50 * 1,00) = 3,18</t>
  </si>
  <si>
    <t>COZINHA: ((3,50+2,85)*2,80)+((2,85+3,50)*(2,80-1,10)) = 28,57 - (0,80*2,10) * (1,20*1,00) = 25,69</t>
  </si>
  <si>
    <t>BANHEIRO: (1,72 + 1,80 +1,72 +1,80)*2,80 = 19,71              DESCONTO PORTAS E JANELAS:(0,60*2,10)+(0,60*0,60) = 1,62</t>
  </si>
  <si>
    <t xml:space="preserve">COZINHA: (2,60 + 2,85)*1,10 =  6,00           </t>
  </si>
  <si>
    <t>ÁREA EXTERNA: 2,0 * 1,1 = 2,20</t>
  </si>
  <si>
    <t>PORTA DE ENTRADA: 2,10 X 0,80 *2 = 3,36</t>
  </si>
  <si>
    <t>PORTA COZINHA: 2,10 X 0,80 *2 = 3,36</t>
  </si>
  <si>
    <t>BANHEIRO 0,5 X 0,5 * 2 = 0,50</t>
  </si>
  <si>
    <t>QUARTO 2: (1,50 X 1,00)*2 = 3</t>
  </si>
  <si>
    <t>QUARTO 1: (1,50 X 1,00)*2 = 3</t>
  </si>
  <si>
    <t>PORTINHOLA ALÇAPÃO: 0,60 X 0,60 *2 = 0,72</t>
  </si>
  <si>
    <t>COZINHA:(1,20 X 1,00)*2 = 2,4</t>
  </si>
  <si>
    <t>SALA:  2 *(1,20 X 1,00)*2 = 4,8</t>
  </si>
  <si>
    <t>Área conforme 19.5</t>
  </si>
  <si>
    <t>BANHEIRO: 0,60 * 2,10 *2 = 2,52                                                          QUARTO: 0,80*2,10 *2 = 3,36                                                       QUARTO: 0,80*2,10 *2 = 3,36</t>
  </si>
  <si>
    <t>Área do banheiro</t>
  </si>
  <si>
    <t xml:space="preserve"> CHUVEIRO ELÉTRICO EM PVC COM BRAÇO METÁLICO </t>
  </si>
  <si>
    <t>COMPRIMENTO BALDRAME: (2*0,15*49,52) + (0,09*49,52)</t>
  </si>
  <si>
    <t>SALA : (2,73+4,60)*2* 2,80 = 41,00                         DESCONTO PORTAS E JANELAS: (0,80 * 2,10)+ 2*( 0,90 * 2,10) +2*(1,20 *1,0) = 7,86</t>
  </si>
  <si>
    <t>ALVENARIA DE TIJOLO FURADO 1/2 VEZ 14X29X9 - 6 FUROS - ARG. (1CALH:4ARML+100KG
DE CI/M3)</t>
  </si>
  <si>
    <t>'</t>
  </si>
  <si>
    <t>1 PLACA (1,50*2,00)</t>
  </si>
  <si>
    <t>CRONOGRAMA FISICO-FINANCEIRO: COMPOSIÇÃO</t>
  </si>
  <si>
    <t>CONSUMO DE ÁGUA</t>
  </si>
  <si>
    <t>3,29517 * 1540,49</t>
  </si>
  <si>
    <t>0,4628 * 1540,49</t>
  </si>
  <si>
    <t>CONSUMO DE ENERGIA ELÉTRICA</t>
  </si>
  <si>
    <t>6 MESES * 20 DIAS * 1H</t>
  </si>
  <si>
    <t>ADAPTAD.PVC SOLD.LONGO C/FLANGES LIVRES P/CX.DAGUA 25X3/4"</t>
  </si>
  <si>
    <t xml:space="preserve">REGISTRO DE GAVETA BRUTO DIAMETRO 1.1/4" </t>
  </si>
  <si>
    <t>JOELHO 90 GRAUS DIAMETRO 50 MM</t>
  </si>
  <si>
    <t>7.17</t>
  </si>
  <si>
    <t>7.17.1</t>
  </si>
  <si>
    <t>7.17.2</t>
  </si>
  <si>
    <t>JOELHO 90 GRAUS C/ANEL 40 mm</t>
  </si>
  <si>
    <t xml:space="preserve">T E </t>
  </si>
  <si>
    <t>TE SANITARIO DIAMETRO 50 X 50 MM</t>
  </si>
  <si>
    <t>7.18.1</t>
  </si>
  <si>
    <t>7.18</t>
  </si>
  <si>
    <t>C U R V A S</t>
  </si>
  <si>
    <t>7.19</t>
  </si>
  <si>
    <t>7.19.1</t>
  </si>
  <si>
    <t>H634</t>
  </si>
  <si>
    <t>CURVA 45º DIAMETRO 50 MM</t>
  </si>
  <si>
    <t>CURVA 45 GRAUS DIAMETRO 40 mm (ESGOTO)</t>
  </si>
  <si>
    <t>H350</t>
  </si>
  <si>
    <t>7.19.2</t>
  </si>
  <si>
    <t>7.19.3</t>
  </si>
  <si>
    <t>H635</t>
  </si>
  <si>
    <t>CURVA 45 GRAUS SOLDAVEL DIAMETRO 75 MM</t>
  </si>
  <si>
    <t>7.19.4</t>
  </si>
  <si>
    <t>CURVA 90 GRAUS CURTA DIAM. 100 MM</t>
  </si>
  <si>
    <t>CURVA 90 GRAUS CURTA DIAM. 40 MM</t>
  </si>
  <si>
    <t>7.19.5</t>
  </si>
  <si>
    <t>L U V A S</t>
  </si>
  <si>
    <t>7.20</t>
  </si>
  <si>
    <t>LUVA SIMPLES DIAMETRO 50 MM</t>
  </si>
  <si>
    <t>7.20.1</t>
  </si>
  <si>
    <t>7.20.2</t>
  </si>
  <si>
    <t>LUVA SIMPLES DIAM. 100 MM</t>
  </si>
  <si>
    <t>CAIXA DE INSPEÇÃO - TAMPA EM CONCRETO ARMADO 25 MPA E=5CM</t>
  </si>
  <si>
    <t>7.14.7</t>
  </si>
  <si>
    <t>7.14.5</t>
  </si>
  <si>
    <t>0,60 * 0,60</t>
  </si>
  <si>
    <t>CAIXA DE INSPEÇÃO - LASTRO DE CONCRETO (COM ADIÇÃO DE IMPERMEABILIZANTE) 20 MPA E=5CM PARA O FUNDO</t>
  </si>
  <si>
    <t>0,60*0,60*0,05</t>
  </si>
  <si>
    <t>CAIXA DE INSPEÇÃO - ALVENARIA DE 1/2 VEZ COM REVESTIMENTO INTERNO EM REBOCO PAULISTA A-14 (COM ADIÇÃO DE IMPERMEABILIZANTE)</t>
  </si>
  <si>
    <t>7.14.8</t>
  </si>
  <si>
    <t>0,60*0,50*4</t>
  </si>
  <si>
    <t>CAIXA DE INSPEÇÃO - ESCAVAÇÃO MANUAL / REATERRO/ APILOAMENTO DO FUNDO</t>
  </si>
  <si>
    <t>7.14.9</t>
  </si>
  <si>
    <t>0,6*0,60*0,50</t>
  </si>
  <si>
    <t>7.20.3</t>
  </si>
  <si>
    <t>7.20.4</t>
  </si>
  <si>
    <t>LUVA SOLDAVEL DIAMETRO 40 mm</t>
  </si>
  <si>
    <t>LUVA DE REDUCAO SOLDAVEL DIAMETRO 32 X 25 mm</t>
  </si>
  <si>
    <t>LUVA SOLDAVEL DIAMETRO 25 mm</t>
  </si>
  <si>
    <t>7.20.5</t>
  </si>
  <si>
    <t>LUVA SOLDAVEL C/ROSCA DIAMETRO 25 X 3/4"</t>
  </si>
  <si>
    <t>7.20.6</t>
  </si>
  <si>
    <t>HALL: 2</t>
  </si>
  <si>
    <t>6.20</t>
  </si>
  <si>
    <t>LUMINÁRIA TIPO ARANDELA DE USO EXTERNO - BASE E-27</t>
  </si>
  <si>
    <t>Área externa</t>
  </si>
  <si>
    <t>ÁREA EXTERNA: 2</t>
  </si>
  <si>
    <t>PREPARO COM BETONEIRA E TRANSPORTE MANUAL DE CONCRETO FCK=25 MPA</t>
  </si>
  <si>
    <t>LASTRO DE CONCRETO REGULARIZADO IMPERMEABILIZADO 1:3:6 ESP=5CM (BASE)</t>
  </si>
  <si>
    <t>COMPOSIÇÃO BDI-06 UNIDADES HABITACIONAIS PADRÃO POPULAR</t>
  </si>
  <si>
    <t>END.: RUA CONGONHAS - LOTEAMENTO SÃO LUCAS</t>
  </si>
  <si>
    <t>COMPOSIÇÃO DO BDI (AGETOP/DESONERADO/2021)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</si>
  <si>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</si>
  <si>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</si>
  <si>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</si>
  <si>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</si>
  <si>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</si>
  <si>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</si>
  <si>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</si>
  <si>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</si>
  <si>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</si>
  <si>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</si>
  <si>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adotada é a mesma que foi aplicada para obtenção das tabelas contidas no Acórdão n. 2622/2013 - TCUPlenário</t>
  </si>
  <si>
    <t>DISJUNTOR MONOPOLAR DE 10 A 32-A</t>
  </si>
  <si>
    <t>INTERRUPTOR SIMPLES (1 SECAO)</t>
  </si>
  <si>
    <t>6.21</t>
  </si>
  <si>
    <t>Banheiro, Hall e 2 Área externa</t>
  </si>
  <si>
    <t>4,00 Interruptores com tomadas</t>
  </si>
  <si>
    <t>LEOVIL EVANGELISTA FONSECA JÚNIOR</t>
  </si>
  <si>
    <t>SECRETÁRIO MUNICIPAL DE HABITAÇÃO</t>
  </si>
  <si>
    <t>REF.: TABELA 155 - CUSTOS DE OBRAS CIVIS - OUTUBRO/2021 - DESONERADA</t>
  </si>
  <si>
    <t>18 DE NOVEMBRO DE 2021</t>
  </si>
  <si>
    <t>REF.: TABELA 155- CUSTOS DE OBRAS CIVIS - OUTUBRO/2021 - DESONERADA</t>
  </si>
  <si>
    <t>ORÇAMENTO-  06 CASAS PADRÃO POPULAR</t>
  </si>
  <si>
    <t>CRONOGRAMA FISICO-FINANCEIRO: 6 CASAS PADRÃO POPULAR</t>
  </si>
  <si>
    <t>END.: LOTEAMENTO SÃO LUCAS</t>
  </si>
  <si>
    <t>6 MESES * 20 DIAS * 8 H</t>
  </si>
  <si>
    <t>MEMÓRIA DE CALCULO: 6 CASAS PADRÃO POPULAR</t>
  </si>
  <si>
    <t>6 MESES</t>
  </si>
  <si>
    <t>7% da área construída</t>
  </si>
  <si>
    <t>Fio para tomadas 145,00m</t>
  </si>
  <si>
    <t>20.3</t>
  </si>
  <si>
    <t>BANCADA DE GRANITINA</t>
  </si>
  <si>
    <t>20.4</t>
  </si>
  <si>
    <t>SUPORTE PARA BANCADA EM FERRO "T" 1/8" X 1 1/4</t>
  </si>
  <si>
    <t>Bancada 1,20 x 0,60 m</t>
  </si>
  <si>
    <t>2 suportes</t>
  </si>
  <si>
    <t>Fio para Rede Geral 20,00m</t>
  </si>
  <si>
    <t>ÁREA DE LAJE (imcluso beiral 10cm)</t>
  </si>
  <si>
    <t>Embutidas na laje para 6,00 Luminarias</t>
  </si>
  <si>
    <t>Pontos de interruptor e tomadas 16,00</t>
  </si>
  <si>
    <t>________________________________________________</t>
  </si>
  <si>
    <t>___________________________________________</t>
  </si>
  <si>
    <t>MURILO CARNEIRO RODRIGUES</t>
  </si>
  <si>
    <t>CREA: 1020499656 AP-GO</t>
  </si>
  <si>
    <t>4 circuitos</t>
  </si>
  <si>
    <t>7.14.10</t>
  </si>
  <si>
    <t>7.14.11</t>
  </si>
  <si>
    <t>FOSSA SEPTICA 1500 LITROS COM IMPERMEABILIZAÇÃO</t>
  </si>
  <si>
    <t xml:space="preserve">PINTURA LATEX ACRILICA 2 DEMAOS C/SELADOR </t>
  </si>
  <si>
    <t xml:space="preserve">EMASSAMENTO COM MASSA PVA UMA DEMAO </t>
  </si>
  <si>
    <t>SERVENTE</t>
  </si>
  <si>
    <t>PEDREIRO</t>
  </si>
  <si>
    <t>POCEIRO</t>
  </si>
  <si>
    <t>ARMADOR</t>
  </si>
  <si>
    <t>AREIA GROSSA</t>
  </si>
  <si>
    <t>BRITA 3 E 4</t>
  </si>
  <si>
    <t>PREGO 18x24</t>
  </si>
  <si>
    <t>SARRAFO DE MADEIRA 10CM</t>
  </si>
  <si>
    <t>TIJOLO COMUM MACIÇO (4,5x9x19cm)</t>
  </si>
  <si>
    <t>AÇO CA-50 - 6,3 MM (1/4")</t>
  </si>
  <si>
    <t>ARAME RECOZIDO 18</t>
  </si>
  <si>
    <t>BRITA No. 2</t>
  </si>
  <si>
    <t>BRITA No. 1</t>
  </si>
  <si>
    <t>CIMENTO PORTLAND C.P. 32</t>
  </si>
  <si>
    <t>um</t>
  </si>
  <si>
    <t>Volume Sumidouro GOINFRA</t>
  </si>
  <si>
    <t>Volume Sumidouro PROJETO</t>
  </si>
  <si>
    <t>Porcentagem equivalente PROJETO e GOINFRA</t>
  </si>
  <si>
    <t>TOTAL SERVIÇOS</t>
  </si>
  <si>
    <t>TOTAL MATERIAIS</t>
  </si>
  <si>
    <t>Mãos-de-obra</t>
  </si>
  <si>
    <t>Código</t>
  </si>
  <si>
    <t>Materiais</t>
  </si>
  <si>
    <t>Unidade</t>
  </si>
  <si>
    <t>Valor Unitário</t>
  </si>
  <si>
    <t>Valor total - GOINFRA</t>
  </si>
  <si>
    <t>Consumo GOINFRA</t>
  </si>
  <si>
    <t>Consumo COMPOSIÇÃO</t>
  </si>
  <si>
    <t>Valor total - COMPOSIÇÃO</t>
  </si>
  <si>
    <t>Eq. Salarial</t>
  </si>
  <si>
    <t>Sal/Hora</t>
  </si>
  <si>
    <t>Custo Horário - GOINFRA</t>
  </si>
  <si>
    <t>Custo Horário - COMPOSIÇÃO</t>
  </si>
  <si>
    <t>2 aberturas (90 cm cada) - 20 cm para cada lado</t>
  </si>
  <si>
    <t>6.22</t>
  </si>
  <si>
    <t>6.23</t>
  </si>
  <si>
    <t>INTERRUPTOR DIFERENCIAL RESIDUAL (D.R.) BIPOLAR DE 40A-30mA</t>
  </si>
  <si>
    <t>DISPOSITIVO DE PROTEÇÃO CONTRA SURTOS (D.P.S.) 275V DE 8 A 40KA</t>
  </si>
  <si>
    <t>SUMIDOURO COM DIÂMETRO=0,60M E PROFUNDIDADE=4,00 M</t>
  </si>
  <si>
    <t>1 MES * 30 DIAS * 12 H</t>
  </si>
  <si>
    <t>COMPOSIÇÃO SUMIDOURO RESIDÊNCIAS HABITACIONAIS PADRÃO POPULAR</t>
  </si>
  <si>
    <t>7.14.12</t>
  </si>
  <si>
    <t>TAMPÃO DE FERRO FUNDIDO PARA POÇO DE VISITA T-60 SIMPLES PARA TRÁFEGO LEVE</t>
  </si>
  <si>
    <t>Tampa 60 cm fossa séptica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</si>
</sst>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  <numFmt numFmtId="166" formatCode="&quot;R$&quot;#,##0.00"/>
    <numFmt numFmtId="167" formatCode="0.000"/>
    <numFmt numFmtId="168" formatCode="_-&quot;R$&quot;* #,##0.000_-;\-&quot;R$&quot;* #,##0.000_-;_-&quot;R$&quot;* &quot;-&quot;???_-;_-@_-"/>
    <numFmt numFmtId="169" formatCode="0.0000%"/>
    <numFmt numFmtId="170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6" fillId="4" borderId="1" xfId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left" vertical="center"/>
    </xf>
    <xf numFmtId="165" fontId="3" fillId="0" borderId="0" xfId="0" applyNumberFormat="1" applyFont="1"/>
    <xf numFmtId="0" fontId="6" fillId="2" borderId="1" xfId="1" applyFont="1" applyFill="1" applyBorder="1" applyAlignment="1">
      <alignment horizontal="justify" vertical="center"/>
    </xf>
    <xf numFmtId="0" fontId="3" fillId="0" borderId="0" xfId="0" applyFont="1" applyAlignment="1">
      <alignment horizontal="center"/>
    </xf>
    <xf numFmtId="165" fontId="4" fillId="3" borderId="1" xfId="0" applyNumberFormat="1" applyFont="1" applyFill="1" applyBorder="1"/>
    <xf numFmtId="49" fontId="6" fillId="6" borderId="1" xfId="1" applyNumberFormat="1" applyFont="1" applyFill="1" applyBorder="1" applyAlignment="1">
      <alignment horizontal="left" vertical="top"/>
    </xf>
    <xf numFmtId="0" fontId="6" fillId="6" borderId="1" xfId="1" applyFont="1" applyFill="1" applyBorder="1" applyAlignment="1">
      <alignment horizontal="center" vertical="center"/>
    </xf>
    <xf numFmtId="2" fontId="6" fillId="6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2" fontId="3" fillId="0" borderId="0" xfId="0" applyNumberFormat="1" applyFont="1"/>
    <xf numFmtId="0" fontId="3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justify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4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Border="1"/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justify" vertical="center"/>
    </xf>
    <xf numFmtId="0" fontId="5" fillId="2" borderId="9" xfId="1" applyFont="1" applyFill="1" applyBorder="1" applyAlignment="1">
      <alignment horizontal="center" vertical="center"/>
    </xf>
    <xf numFmtId="2" fontId="5" fillId="2" borderId="9" xfId="1" applyNumberFormat="1" applyFont="1" applyFill="1" applyBorder="1" applyAlignment="1">
      <alignment horizontal="center" vertical="center"/>
    </xf>
    <xf numFmtId="165" fontId="5" fillId="2" borderId="9" xfId="4" applyNumberFormat="1" applyFont="1" applyFill="1" applyBorder="1" applyAlignment="1">
      <alignment horizontal="center" vertical="center"/>
    </xf>
    <xf numFmtId="165" fontId="5" fillId="2" borderId="9" xfId="4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5" fontId="4" fillId="0" borderId="4" xfId="0" applyNumberFormat="1" applyFont="1" applyFill="1" applyBorder="1"/>
    <xf numFmtId="165" fontId="4" fillId="0" borderId="1" xfId="0" applyNumberFormat="1" applyFont="1" applyBorder="1"/>
    <xf numFmtId="9" fontId="4" fillId="0" borderId="1" xfId="5" applyFont="1" applyBorder="1"/>
    <xf numFmtId="9" fontId="3" fillId="0" borderId="1" xfId="5" applyFont="1" applyBorder="1"/>
    <xf numFmtId="10" fontId="3" fillId="0" borderId="1" xfId="5" applyNumberFormat="1" applyFont="1" applyBorder="1"/>
    <xf numFmtId="10" fontId="4" fillId="0" borderId="1" xfId="5" applyNumberFormat="1" applyFont="1" applyBorder="1"/>
    <xf numFmtId="10" fontId="8" fillId="7" borderId="1" xfId="5" applyNumberFormat="1" applyFont="1" applyFill="1" applyBorder="1"/>
    <xf numFmtId="10" fontId="8" fillId="0" borderId="1" xfId="5" applyNumberFormat="1" applyFont="1" applyBorder="1"/>
    <xf numFmtId="10" fontId="3" fillId="0" borderId="0" xfId="5" applyNumberFormat="1" applyFont="1"/>
    <xf numFmtId="0" fontId="4" fillId="6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6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justify"/>
    </xf>
    <xf numFmtId="0" fontId="5" fillId="0" borderId="1" xfId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left" vertical="justify"/>
    </xf>
    <xf numFmtId="2" fontId="5" fillId="2" borderId="1" xfId="1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justify"/>
    </xf>
    <xf numFmtId="2" fontId="5" fillId="2" borderId="1" xfId="1" applyNumberFormat="1" applyFont="1" applyFill="1" applyBorder="1" applyAlignment="1">
      <alignment horizontal="left" vertical="justify"/>
    </xf>
    <xf numFmtId="2" fontId="3" fillId="0" borderId="1" xfId="0" applyNumberFormat="1" applyFont="1" applyBorder="1" applyAlignment="1">
      <alignment horizontal="left"/>
    </xf>
    <xf numFmtId="0" fontId="5" fillId="2" borderId="4" xfId="1" applyFont="1" applyFill="1" applyBorder="1" applyAlignment="1">
      <alignment horizontal="left" vertical="justify"/>
    </xf>
    <xf numFmtId="0" fontId="5" fillId="2" borderId="9" xfId="1" applyFont="1" applyFill="1" applyBorder="1" applyAlignment="1">
      <alignment horizontal="left" vertical="center" wrapText="1"/>
    </xf>
    <xf numFmtId="165" fontId="0" fillId="0" borderId="0" xfId="0" applyNumberFormat="1"/>
    <xf numFmtId="0" fontId="0" fillId="0" borderId="0" xfId="0" applyFill="1"/>
    <xf numFmtId="165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/>
    <xf numFmtId="10" fontId="8" fillId="8" borderId="1" xfId="0" applyNumberFormat="1" applyFont="1" applyFill="1" applyBorder="1"/>
    <xf numFmtId="9" fontId="3" fillId="0" borderId="1" xfId="0" applyNumberFormat="1" applyFont="1" applyBorder="1"/>
    <xf numFmtId="0" fontId="5" fillId="2" borderId="1" xfId="1" applyFont="1" applyFill="1" applyBorder="1" applyAlignment="1">
      <alignment horizontal="left" vertical="center"/>
    </xf>
    <xf numFmtId="10" fontId="8" fillId="0" borderId="1" xfId="5" applyNumberFormat="1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/>
    <xf numFmtId="0" fontId="5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4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left" vertical="center"/>
    </xf>
    <xf numFmtId="2" fontId="5" fillId="2" borderId="4" xfId="1" applyNumberFormat="1" applyFont="1" applyFill="1" applyBorder="1" applyAlignment="1">
      <alignment horizontal="left" vertical="center" wrapText="1"/>
    </xf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/>
    </xf>
    <xf numFmtId="2" fontId="5" fillId="2" borderId="1" xfId="1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1" xfId="4" applyNumberFormat="1" applyFont="1" applyFill="1" applyBorder="1" applyAlignment="1">
      <alignment horizontal="center" vertical="center"/>
    </xf>
    <xf numFmtId="165" fontId="5" fillId="2" borderId="1" xfId="4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6" fillId="4" borderId="2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2" xfId="4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center" vertical="center"/>
    </xf>
    <xf numFmtId="165" fontId="6" fillId="3" borderId="2" xfId="4" applyNumberFormat="1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165" fontId="3" fillId="0" borderId="1" xfId="0" applyNumberFormat="1" applyFont="1" applyBorder="1"/>
    <xf numFmtId="165" fontId="6" fillId="0" borderId="3" xfId="4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/>
    </xf>
    <xf numFmtId="165" fontId="5" fillId="2" borderId="1" xfId="4" applyNumberFormat="1" applyFont="1" applyFill="1" applyBorder="1" applyAlignment="1">
      <alignment horizontal="center" vertical="center"/>
    </xf>
    <xf numFmtId="165" fontId="5" fillId="2" borderId="2" xfId="4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left" vertical="justify"/>
    </xf>
    <xf numFmtId="0" fontId="5" fillId="2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5" fillId="2" borderId="14" xfId="4" applyNumberFormat="1" applyFont="1" applyFill="1" applyBorder="1" applyAlignment="1">
      <alignment horizontal="center" vertical="center"/>
    </xf>
    <xf numFmtId="165" fontId="6" fillId="3" borderId="1" xfId="4" applyNumberFormat="1" applyFont="1" applyFill="1" applyBorder="1" applyAlignment="1">
      <alignment horizontal="center" vertical="center"/>
    </xf>
    <xf numFmtId="165" fontId="6" fillId="0" borderId="1" xfId="4" applyNumberFormat="1" applyFont="1" applyFill="1" applyBorder="1" applyAlignment="1">
      <alignment horizontal="center" vertical="center"/>
    </xf>
    <xf numFmtId="165" fontId="5" fillId="0" borderId="1" xfId="4" applyNumberFormat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justify" vertical="center"/>
    </xf>
    <xf numFmtId="2" fontId="11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/>
    <xf numFmtId="0" fontId="5" fillId="0" borderId="3" xfId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165" fontId="5" fillId="0" borderId="4" xfId="4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5" fillId="2" borderId="4" xfId="4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3" fillId="0" borderId="9" xfId="0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0" xfId="0" applyFill="1"/>
    <xf numFmtId="4" fontId="5" fillId="2" borderId="1" xfId="1" applyNumberFormat="1" applyFont="1" applyFill="1" applyBorder="1" applyAlignment="1">
      <alignment horizontal="left" vertical="justify"/>
    </xf>
    <xf numFmtId="165" fontId="4" fillId="9" borderId="1" xfId="0" applyNumberFormat="1" applyFont="1" applyFill="1" applyBorder="1" applyAlignment="1">
      <alignment horizontal="center"/>
    </xf>
    <xf numFmtId="165" fontId="4" fillId="9" borderId="1" xfId="0" applyNumberFormat="1" applyFont="1" applyFill="1" applyBorder="1"/>
    <xf numFmtId="166" fontId="0" fillId="0" borderId="0" xfId="0" applyNumberFormat="1"/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left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2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justify" vertical="center"/>
    </xf>
    <xf numFmtId="165" fontId="5" fillId="0" borderId="2" xfId="2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justify" vertical="center"/>
    </xf>
    <xf numFmtId="0" fontId="5" fillId="0" borderId="1" xfId="1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5" fillId="2" borderId="3" xfId="1" applyNumberFormat="1" applyFont="1" applyFill="1" applyBorder="1" applyAlignment="1">
      <alignment horizontal="center" vertical="center"/>
    </xf>
    <xf numFmtId="165" fontId="5" fillId="2" borderId="3" xfId="4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left" vertical="center"/>
    </xf>
    <xf numFmtId="0" fontId="5" fillId="0" borderId="1" xfId="1" quotePrefix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justify" vertical="center"/>
    </xf>
    <xf numFmtId="0" fontId="11" fillId="0" borderId="1" xfId="1" applyFont="1" applyFill="1" applyBorder="1" applyAlignment="1">
      <alignment horizontal="justify" vertical="center"/>
    </xf>
    <xf numFmtId="0" fontId="5" fillId="2" borderId="2" xfId="1" applyNumberFormat="1" applyFont="1" applyFill="1" applyBorder="1" applyAlignment="1">
      <alignment horizontal="center" vertical="center"/>
    </xf>
    <xf numFmtId="10" fontId="0" fillId="0" borderId="0" xfId="0" applyNumberFormat="1"/>
    <xf numFmtId="2" fontId="5" fillId="0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4" fillId="0" borderId="16" xfId="7" applyNumberFormat="1" applyFont="1" applyBorder="1" applyAlignment="1">
      <alignment horizontal="center" vertical="center"/>
    </xf>
    <xf numFmtId="4" fontId="14" fillId="0" borderId="17" xfId="7" applyNumberFormat="1" applyFont="1" applyBorder="1" applyAlignment="1">
      <alignment horizontal="center" vertical="center"/>
    </xf>
    <xf numFmtId="43" fontId="13" fillId="0" borderId="18" xfId="7" applyFont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5" fillId="2" borderId="1" xfId="1" applyFont="1" applyFill="1" applyBorder="1" applyAlignment="1">
      <alignment horizontal="left" vertical="center"/>
    </xf>
    <xf numFmtId="9" fontId="0" fillId="0" borderId="1" xfId="5" applyFont="1" applyBorder="1"/>
    <xf numFmtId="9" fontId="4" fillId="0" borderId="0" xfId="0" applyNumberFormat="1" applyFont="1" applyFill="1" applyBorder="1" applyAlignment="1"/>
    <xf numFmtId="10" fontId="3" fillId="0" borderId="0" xfId="5" applyNumberFormat="1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9" fontId="5" fillId="2" borderId="1" xfId="1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164" fontId="0" fillId="0" borderId="1" xfId="6" applyFont="1" applyBorder="1"/>
    <xf numFmtId="167" fontId="0" fillId="0" borderId="1" xfId="0" applyNumberFormat="1" applyFont="1" applyBorder="1" applyAlignment="1">
      <alignment horizontal="center"/>
    </xf>
    <xf numFmtId="44" fontId="0" fillId="0" borderId="1" xfId="0" applyNumberFormat="1" applyBorder="1"/>
    <xf numFmtId="168" fontId="0" fillId="0" borderId="1" xfId="0" applyNumberFormat="1" applyBorder="1"/>
    <xf numFmtId="167" fontId="16" fillId="0" borderId="1" xfId="0" applyNumberFormat="1" applyFont="1" applyBorder="1" applyAlignment="1">
      <alignment horizontal="center"/>
    </xf>
    <xf numFmtId="0" fontId="9" fillId="0" borderId="1" xfId="0" applyFont="1" applyBorder="1"/>
    <xf numFmtId="164" fontId="0" fillId="0" borderId="1" xfId="6" applyFont="1" applyBorder="1" applyAlignment="1">
      <alignment horizontal="center"/>
    </xf>
    <xf numFmtId="170" fontId="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7" fontId="9" fillId="0" borderId="1" xfId="0" applyNumberFormat="1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0" fontId="16" fillId="0" borderId="1" xfId="0" applyFont="1" applyBorder="1"/>
    <xf numFmtId="44" fontId="9" fillId="0" borderId="1" xfId="0" applyNumberFormat="1" applyFont="1" applyFill="1" applyBorder="1"/>
    <xf numFmtId="0" fontId="0" fillId="0" borderId="1" xfId="0" applyBorder="1" applyAlignment="1"/>
    <xf numFmtId="169" fontId="0" fillId="0" borderId="1" xfId="5" applyNumberFormat="1" applyFont="1" applyBorder="1"/>
    <xf numFmtId="2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/>
    <xf numFmtId="0" fontId="3" fillId="0" borderId="5" xfId="0" applyFont="1" applyBorder="1" applyAlignment="1"/>
    <xf numFmtId="0" fontId="3" fillId="0" borderId="12" xfId="0" applyFont="1" applyBorder="1" applyAlignment="1"/>
    <xf numFmtId="168" fontId="9" fillId="10" borderId="1" xfId="0" applyNumberFormat="1" applyFont="1" applyFill="1" applyBorder="1"/>
    <xf numFmtId="0" fontId="0" fillId="0" borderId="13" xfId="0" applyBorder="1" applyAlignment="1"/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0" borderId="0" xfId="0" applyBorder="1"/>
    <xf numFmtId="0" fontId="0" fillId="0" borderId="8" xfId="0" applyBorder="1"/>
    <xf numFmtId="0" fontId="0" fillId="0" borderId="14" xfId="0" applyBorder="1"/>
    <xf numFmtId="0" fontId="0" fillId="0" borderId="5" xfId="0" applyBorder="1"/>
    <xf numFmtId="0" fontId="0" fillId="0" borderId="12" xfId="0" applyBorder="1"/>
    <xf numFmtId="0" fontId="5" fillId="2" borderId="1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6" fillId="3" borderId="1" xfId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center"/>
    </xf>
    <xf numFmtId="0" fontId="6" fillId="5" borderId="4" xfId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right"/>
    </xf>
    <xf numFmtId="0" fontId="6" fillId="4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right" vertical="center"/>
    </xf>
    <xf numFmtId="0" fontId="6" fillId="3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5" borderId="1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5" fillId="2" borderId="2" xfId="6" applyNumberFormat="1" applyFont="1" applyFill="1" applyBorder="1" applyAlignment="1">
      <alignment horizontal="center" vertical="center"/>
    </xf>
    <xf numFmtId="165" fontId="5" fillId="2" borderId="4" xfId="6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right"/>
    </xf>
    <xf numFmtId="0" fontId="6" fillId="5" borderId="2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5" borderId="4" xfId="1" applyFont="1" applyFill="1" applyBorder="1" applyAlignment="1">
      <alignment horizontal="left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right" vertical="center"/>
    </xf>
    <xf numFmtId="0" fontId="6" fillId="5" borderId="2" xfId="1" applyFont="1" applyFill="1" applyBorder="1" applyAlignment="1"/>
    <xf numFmtId="0" fontId="6" fillId="5" borderId="3" xfId="1" applyFont="1" applyFill="1" applyBorder="1" applyAlignment="1"/>
    <xf numFmtId="0" fontId="6" fillId="5" borderId="4" xfId="1" applyFont="1" applyFill="1" applyBorder="1" applyAlignment="1"/>
    <xf numFmtId="0" fontId="6" fillId="5" borderId="2" xfId="1" applyFont="1" applyFill="1" applyBorder="1" applyAlignment="1">
      <alignment horizontal="left" wrapText="1"/>
    </xf>
    <xf numFmtId="0" fontId="6" fillId="5" borderId="3" xfId="1" applyFont="1" applyFill="1" applyBorder="1" applyAlignment="1">
      <alignment horizontal="left" wrapText="1"/>
    </xf>
    <xf numFmtId="0" fontId="6" fillId="5" borderId="4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6" fillId="5" borderId="4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" fontId="5" fillId="2" borderId="7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left" vertical="justify"/>
    </xf>
    <xf numFmtId="0" fontId="6" fillId="5" borderId="3" xfId="1" applyFont="1" applyFill="1" applyBorder="1" applyAlignment="1">
      <alignment horizontal="left" vertical="justify"/>
    </xf>
    <xf numFmtId="0" fontId="6" fillId="5" borderId="4" xfId="1" applyFont="1" applyFill="1" applyBorder="1" applyAlignment="1">
      <alignment horizontal="left" vertical="justify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2" borderId="7" xfId="1" applyFont="1" applyFill="1" applyBorder="1" applyAlignment="1">
      <alignment horizontal="justify" vertical="center"/>
    </xf>
    <xf numFmtId="0" fontId="5" fillId="2" borderId="9" xfId="1" applyFont="1" applyFill="1" applyBorder="1" applyAlignment="1">
      <alignment horizontal="justify" vertical="center"/>
    </xf>
    <xf numFmtId="2" fontId="6" fillId="5" borderId="2" xfId="1" applyNumberFormat="1" applyFont="1" applyFill="1" applyBorder="1" applyAlignment="1">
      <alignment horizontal="left" vertical="center" wrapText="1"/>
    </xf>
    <xf numFmtId="2" fontId="6" fillId="5" borderId="3" xfId="1" applyNumberFormat="1" applyFont="1" applyFill="1" applyBorder="1" applyAlignment="1">
      <alignment horizontal="left" vertical="center" wrapText="1"/>
    </xf>
    <xf numFmtId="2" fontId="6" fillId="5" borderId="4" xfId="1" applyNumberFormat="1" applyFont="1" applyFill="1" applyBorder="1" applyAlignment="1">
      <alignment horizontal="left" vertical="center" wrapText="1"/>
    </xf>
    <xf numFmtId="0" fontId="5" fillId="2" borderId="7" xfId="1" applyNumberFormat="1" applyFont="1" applyFill="1" applyBorder="1" applyAlignment="1">
      <alignment horizontal="left" vertical="center"/>
    </xf>
    <xf numFmtId="0" fontId="5" fillId="2" borderId="10" xfId="1" applyNumberFormat="1" applyFont="1" applyFill="1" applyBorder="1" applyAlignment="1">
      <alignment horizontal="left" vertical="center"/>
    </xf>
    <xf numFmtId="0" fontId="5" fillId="2" borderId="9" xfId="1" applyNumberFormat="1" applyFont="1" applyFill="1" applyBorder="1" applyAlignment="1">
      <alignment horizontal="left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5" xfId="0" applyFont="1" applyBorder="1"/>
    <xf numFmtId="0" fontId="3" fillId="0" borderId="12" xfId="0" applyFont="1" applyBorder="1"/>
    <xf numFmtId="0" fontId="15" fillId="0" borderId="19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</cellXfs>
  <cellStyles count="8">
    <cellStyle name="Moeda" xfId="6" builtinId="4"/>
    <cellStyle name="Moeda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gem" xfId="5" builtinId="5"/>
    <cellStyle name="Vírgula" xfId="7" builtinId="3"/>
    <cellStyle name="Vírgula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240367</xdr:colOff>
      <xdr:row>0</xdr:row>
      <xdr:rowOff>138394</xdr:rowOff>
    </xdr:from>
    <xdr:to>
      <xdr:col>3</xdr:col>
      <xdr:colOff>509195</xdr:colOff>
      <xdr:row>5</xdr:row>
      <xdr:rowOff>56253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7" y="138394"/>
          <a:ext cx="2527038" cy="818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47626</xdr:rowOff>
    </xdr:from>
    <xdr:to>
      <xdr:col>3</xdr:col>
      <xdr:colOff>901065</xdr:colOff>
      <xdr:row>2</xdr:row>
      <xdr:rowOff>167640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B6956C-F834-4B1C-A6C1-6DB2AFD61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47626"/>
          <a:ext cx="240601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183045</xdr:colOff>
      <xdr:row>0</xdr:row>
      <xdr:rowOff>147017</xdr:rowOff>
    </xdr:from>
    <xdr:to>
      <xdr:col>3</xdr:col>
      <xdr:colOff>97818</xdr:colOff>
      <xdr:row>3</xdr:row>
      <xdr:rowOff>98728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" y="147017"/>
          <a:ext cx="2461592" cy="5404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104776</xdr:rowOff>
    </xdr:from>
    <xdr:to>
      <xdr:col>3</xdr:col>
      <xdr:colOff>781051</xdr:colOff>
      <xdr:row>4</xdr:row>
      <xdr:rowOff>93346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2DC652F-29FA-4BC7-A494-0A6FE222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2871"/>
          <a:ext cx="2444116" cy="723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329565</xdr:colOff>
      <xdr:row>0</xdr:row>
      <xdr:rowOff>53341</xdr:rowOff>
    </xdr:from>
    <xdr:to>
      <xdr:col>1</xdr:col>
      <xdr:colOff>2293620</xdr:colOff>
      <xdr:row>3</xdr:row>
      <xdr:rowOff>144948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36469A-D28D-4149-B4E1-1618F855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" y="53341"/>
          <a:ext cx="2573655" cy="640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1809274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9FCE92-5A82-434C-9958-73FDB9D1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2163604" cy="628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57151</xdr:rowOff>
    </xdr:from>
    <xdr:to>
      <xdr:col>2</xdr:col>
      <xdr:colOff>171450</xdr:colOff>
      <xdr:row>3</xdr:row>
      <xdr:rowOff>15565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B1E19C-B10A-4FAD-ACF3-919ACB2A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" y="53341"/>
          <a:ext cx="1764030" cy="5051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57151</xdr:rowOff>
    </xdr:from>
    <xdr:to>
      <xdr:col>1</xdr:col>
      <xdr:colOff>1390650</xdr:colOff>
      <xdr:row>3</xdr:row>
      <xdr:rowOff>15565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CE86DC-7C96-4CC8-9683-D4F2C5B7D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7151"/>
          <a:ext cx="1781175" cy="507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SOS%20-%20EM%20AN&#193;LISE/CASAS%20PIRES%20BELO/DOCUMENTOS/OR&#199;AMENTO%20LOTE%2010-%20PIRES%20BELO%20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SOS%20-%20EM%20AN&#193;LISE/CASAS%20POPULARES%20CIDADE%20JARDIM/OR&#199;AMENTO%2060%20CASAS%20CIDADE%20JARDIM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OMPOSIÇÃO"/>
      <sheetName val="MEMÓRIA DE CALCULO"/>
      <sheetName val="CRONOGRAMA COMPOSIÇÃO"/>
      <sheetName val="CRONOGRAMA- ORÇAMENTO"/>
    </sheetNames>
    <sheetDataSet>
      <sheetData sheetId="0" refreshError="1"/>
      <sheetData sheetId="1" refreshError="1">
        <row r="8">
          <cell r="D8" t="str">
            <v>SERVIÇOS PRELIMINARES</v>
          </cell>
        </row>
        <row r="13">
          <cell r="D13" t="str">
            <v>TRANSPORTES</v>
          </cell>
        </row>
        <row r="17">
          <cell r="D17" t="str">
            <v xml:space="preserve">SERVIÇO EM TERRA </v>
          </cell>
        </row>
        <row r="22">
          <cell r="D22" t="str">
            <v>FUNDACOES E SONDAGENS</v>
          </cell>
        </row>
        <row r="28">
          <cell r="D28" t="str">
            <v>ESTRUTURA</v>
          </cell>
        </row>
        <row r="37">
          <cell r="D37" t="str">
            <v>INST. ELET./TELEFONICA/CABEAMENTO ESTRUTURADO</v>
          </cell>
        </row>
        <row r="59">
          <cell r="D59" t="str">
            <v>INSTALAÇÕES HIDROSSANITÁRIAS</v>
          </cell>
        </row>
        <row r="128">
          <cell r="D128" t="str">
            <v>ALVENARIAS E DIVISORIAS</v>
          </cell>
        </row>
        <row r="132">
          <cell r="D132" t="str">
            <v>IMPERMEABILIZAÇÃO</v>
          </cell>
        </row>
        <row r="136">
          <cell r="D136" t="str">
            <v>ESTRUTURA DE MADEIRA</v>
          </cell>
        </row>
        <row r="140">
          <cell r="D140" t="str">
            <v>COBERTURAS</v>
          </cell>
        </row>
        <row r="146">
          <cell r="D146" t="str">
            <v>ESQUADRIAS DE MADEIRA</v>
          </cell>
        </row>
        <row r="151">
          <cell r="D151" t="str">
            <v>ESQUADRIAS METÁLICAS - ( OBS.: OS VIDROS NÃO ESTÃO INCLUSOS NAS ESQUADRIAS )</v>
          </cell>
        </row>
        <row r="157">
          <cell r="D157" t="str">
            <v>VIDROS</v>
          </cell>
        </row>
        <row r="161">
          <cell r="D161" t="str">
            <v>REVESTIMENTO DE PAREDES</v>
          </cell>
        </row>
        <row r="168">
          <cell r="D168" t="str">
            <v>FORROS</v>
          </cell>
        </row>
        <row r="173">
          <cell r="D173" t="str">
            <v>REVESTIMENTO DE PISO</v>
          </cell>
        </row>
        <row r="181">
          <cell r="D181" t="str">
            <v>FERRAGENS</v>
          </cell>
        </row>
        <row r="186">
          <cell r="D186" t="str">
            <v>PINTURA</v>
          </cell>
        </row>
        <row r="195">
          <cell r="D195" t="str">
            <v>DIVERSOS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OMPOSIÇÃO 1"/>
      <sheetName val="COMPOSIÇÃO 2"/>
      <sheetName val="MEMÓRIA DE CALCULO"/>
      <sheetName val="CRONOGRAMA COMPOSIÇÃO"/>
      <sheetName val="CRONOGRAMA- ORÇAMENTO"/>
    </sheetNames>
    <sheetDataSet>
      <sheetData sheetId="0">
        <row r="9">
          <cell r="D9" t="str">
            <v>SERVIÇOS PRELIMINARES</v>
          </cell>
        </row>
        <row r="13">
          <cell r="D13" t="str">
            <v xml:space="preserve"> ADMINISTRAÇÃO - MENSALISTAS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GridLines="0" view="pageLayout" topLeftCell="A10" zoomScale="85" zoomScalePageLayoutView="85" workbookViewId="0">
      <selection activeCell="K28" sqref="K28"/>
    </sheetView>
  </sheetViews>
  <sheetFormatPr defaultRowHeight="14.4" x14ac:dyDescent="0.3"/>
  <cols>
    <col min="1" max="1" width="4.6640625" style="89" bestFit="1" customWidth="1"/>
    <col min="2" max="2" width="14.5546875" style="89" customWidth="1"/>
    <col min="3" max="3" width="12.5546875" style="171" customWidth="1"/>
    <col min="4" max="4" width="61.88671875" customWidth="1"/>
    <col min="5" max="5" width="9.109375" style="141"/>
    <col min="6" max="6" width="9.109375" style="147"/>
    <col min="7" max="7" width="9.33203125" style="152" bestFit="1" customWidth="1"/>
    <col min="8" max="8" width="16.33203125" style="152" customWidth="1"/>
    <col min="9" max="9" width="14.33203125" style="152" bestFit="1" customWidth="1"/>
    <col min="10" max="10" width="14.6640625" style="165" bestFit="1" customWidth="1"/>
    <col min="11" max="11" width="12.6640625" bestFit="1" customWidth="1"/>
  </cols>
  <sheetData>
    <row r="1" spans="1:10" x14ac:dyDescent="0.3">
      <c r="A1" s="172"/>
      <c r="B1" s="167"/>
      <c r="C1" s="169"/>
      <c r="D1" s="353" t="s">
        <v>163</v>
      </c>
      <c r="E1" s="353"/>
      <c r="F1" s="353"/>
      <c r="G1" s="353"/>
      <c r="H1" s="353"/>
      <c r="I1" s="353"/>
      <c r="J1" s="354"/>
    </row>
    <row r="2" spans="1:10" x14ac:dyDescent="0.3">
      <c r="A2" s="173"/>
      <c r="B2" s="168"/>
      <c r="C2" s="170"/>
      <c r="D2" s="355" t="s">
        <v>164</v>
      </c>
      <c r="E2" s="355"/>
      <c r="F2" s="355"/>
      <c r="G2" s="355"/>
      <c r="H2" s="355"/>
      <c r="I2" s="355"/>
      <c r="J2" s="356"/>
    </row>
    <row r="3" spans="1:10" x14ac:dyDescent="0.3">
      <c r="A3" s="173"/>
      <c r="B3" s="168"/>
      <c r="C3" s="170"/>
      <c r="D3" s="355" t="s">
        <v>663</v>
      </c>
      <c r="E3" s="355"/>
      <c r="F3" s="355"/>
      <c r="G3" s="355"/>
      <c r="H3" s="355"/>
      <c r="I3" s="355"/>
      <c r="J3" s="356"/>
    </row>
    <row r="4" spans="1:10" x14ac:dyDescent="0.3">
      <c r="A4" s="173"/>
      <c r="B4" s="168"/>
      <c r="C4" s="170"/>
      <c r="D4" s="355" t="s">
        <v>497</v>
      </c>
      <c r="E4" s="355"/>
      <c r="F4" s="355"/>
      <c r="G4" s="355"/>
      <c r="H4" s="355"/>
      <c r="I4" s="355"/>
      <c r="J4" s="356"/>
    </row>
    <row r="5" spans="1:10" x14ac:dyDescent="0.3">
      <c r="A5" s="173"/>
      <c r="B5" s="168"/>
      <c r="C5" s="170"/>
      <c r="D5" s="357" t="s">
        <v>662</v>
      </c>
      <c r="E5" s="357"/>
      <c r="F5" s="357"/>
      <c r="G5" s="357"/>
      <c r="H5" s="357"/>
      <c r="I5" s="357"/>
      <c r="J5" s="358"/>
    </row>
    <row r="6" spans="1:10" x14ac:dyDescent="0.3">
      <c r="A6" s="336" t="s">
        <v>661</v>
      </c>
      <c r="B6" s="337"/>
      <c r="C6" s="337"/>
      <c r="D6" s="337"/>
      <c r="E6" s="337"/>
      <c r="F6" s="337"/>
      <c r="G6" s="337"/>
      <c r="H6" s="337"/>
      <c r="I6" s="337"/>
      <c r="J6" s="338"/>
    </row>
    <row r="7" spans="1:10" s="76" customFormat="1" ht="18" customHeight="1" x14ac:dyDescent="0.3">
      <c r="A7" s="132" t="s">
        <v>165</v>
      </c>
      <c r="B7" s="347" t="s">
        <v>167</v>
      </c>
      <c r="C7" s="347"/>
      <c r="D7" s="26" t="s">
        <v>166</v>
      </c>
      <c r="E7" s="139" t="s">
        <v>168</v>
      </c>
      <c r="F7" s="4" t="s">
        <v>169</v>
      </c>
      <c r="G7" s="104" t="s">
        <v>170</v>
      </c>
      <c r="H7" s="105" t="s">
        <v>171</v>
      </c>
      <c r="I7" s="112" t="s">
        <v>172</v>
      </c>
      <c r="J7" s="77" t="s">
        <v>252</v>
      </c>
    </row>
    <row r="8" spans="1:10" x14ac:dyDescent="0.3">
      <c r="A8" s="339" t="s">
        <v>409</v>
      </c>
      <c r="B8" s="340"/>
      <c r="C8" s="340"/>
      <c r="D8" s="340"/>
      <c r="E8" s="340"/>
      <c r="F8" s="340"/>
      <c r="G8" s="340"/>
      <c r="H8" s="340"/>
      <c r="I8" s="340"/>
      <c r="J8" s="341"/>
    </row>
    <row r="9" spans="1:10" ht="18" customHeight="1" x14ac:dyDescent="0.3">
      <c r="A9" s="64">
        <v>1</v>
      </c>
      <c r="B9" s="64"/>
      <c r="C9" s="137">
        <v>20000</v>
      </c>
      <c r="D9" s="12" t="s">
        <v>0</v>
      </c>
      <c r="E9" s="140"/>
      <c r="F9" s="143"/>
      <c r="G9" s="148"/>
      <c r="H9" s="148"/>
      <c r="I9" s="148"/>
      <c r="J9" s="158"/>
    </row>
    <row r="10" spans="1:10" ht="27.6" x14ac:dyDescent="0.3">
      <c r="A10" s="22" t="s">
        <v>258</v>
      </c>
      <c r="B10" s="215" t="s">
        <v>198</v>
      </c>
      <c r="C10" s="92">
        <v>21301</v>
      </c>
      <c r="D10" s="74" t="s">
        <v>422</v>
      </c>
      <c r="E10" s="42" t="s">
        <v>2</v>
      </c>
      <c r="F10" s="43">
        <v>3</v>
      </c>
      <c r="G10" s="44">
        <v>194.14</v>
      </c>
      <c r="H10" s="45">
        <v>2.02</v>
      </c>
      <c r="I10" s="153">
        <f t="shared" ref="I10:I11" si="0">(H10+G10)*F10</f>
        <v>588.48</v>
      </c>
      <c r="J10" s="159">
        <f>I10+(I10*0.2388)</f>
        <v>729.00902400000007</v>
      </c>
    </row>
    <row r="11" spans="1:10" s="123" customFormat="1" x14ac:dyDescent="0.3">
      <c r="A11" s="134" t="s">
        <v>259</v>
      </c>
      <c r="B11" s="134" t="s">
        <v>198</v>
      </c>
      <c r="C11" s="335">
        <v>20202</v>
      </c>
      <c r="D11" s="236" t="s">
        <v>523</v>
      </c>
      <c r="E11" s="42" t="s">
        <v>2</v>
      </c>
      <c r="F11" s="43">
        <f>'MEMÓRIA DE CALCULO'!F10</f>
        <v>1540.49</v>
      </c>
      <c r="G11" s="156">
        <v>0</v>
      </c>
      <c r="H11" s="190">
        <v>1.93</v>
      </c>
      <c r="I11" s="191">
        <f t="shared" si="0"/>
        <v>2973.1457</v>
      </c>
      <c r="J11" s="159">
        <f>I11*1.2388</f>
        <v>3683.1328931599996</v>
      </c>
    </row>
    <row r="12" spans="1:10" x14ac:dyDescent="0.3">
      <c r="A12" s="342" t="s">
        <v>4</v>
      </c>
      <c r="B12" s="342"/>
      <c r="C12" s="342"/>
      <c r="D12" s="342"/>
      <c r="E12" s="342"/>
      <c r="F12" s="342"/>
      <c r="G12" s="342"/>
      <c r="H12" s="342"/>
      <c r="I12" s="154">
        <f>SUM(I10:I11)</f>
        <v>3561.6257000000001</v>
      </c>
      <c r="J12" s="161">
        <f>I12*1.2388</f>
        <v>4412.14191716</v>
      </c>
    </row>
    <row r="13" spans="1:10" s="123" customFormat="1" x14ac:dyDescent="0.3">
      <c r="A13" s="339" t="s">
        <v>176</v>
      </c>
      <c r="B13" s="340"/>
      <c r="C13" s="340"/>
      <c r="D13" s="340"/>
      <c r="E13" s="340"/>
      <c r="F13" s="340"/>
      <c r="G13" s="340"/>
      <c r="H13" s="340"/>
      <c r="I13" s="340"/>
      <c r="J13" s="341"/>
    </row>
    <row r="14" spans="1:10" s="123" customFormat="1" x14ac:dyDescent="0.3">
      <c r="A14" s="64">
        <v>2</v>
      </c>
      <c r="B14" s="64"/>
      <c r="C14" s="137">
        <v>30000</v>
      </c>
      <c r="D14" s="12" t="s">
        <v>177</v>
      </c>
      <c r="E14" s="140"/>
      <c r="F14" s="143"/>
      <c r="G14" s="148"/>
      <c r="H14" s="148"/>
      <c r="I14" s="148"/>
      <c r="J14" s="158"/>
    </row>
    <row r="15" spans="1:10" s="123" customFormat="1" x14ac:dyDescent="0.3">
      <c r="A15" s="22" t="s">
        <v>260</v>
      </c>
      <c r="B15" s="238" t="s">
        <v>198</v>
      </c>
      <c r="C15" s="233">
        <v>30101</v>
      </c>
      <c r="D15" s="234" t="s">
        <v>522</v>
      </c>
      <c r="E15" s="42" t="s">
        <v>8</v>
      </c>
      <c r="F15" s="43">
        <f>'MEMÓRIA DE CALCULO'!F13</f>
        <v>77.024500000000003</v>
      </c>
      <c r="G15" s="44">
        <v>33.340000000000003</v>
      </c>
      <c r="H15" s="45">
        <v>6.94</v>
      </c>
      <c r="I15" s="153">
        <f t="shared" ref="I15" si="1">(H15+G15)*F15</f>
        <v>3102.5468600000004</v>
      </c>
      <c r="J15" s="159">
        <f>I15+(I15*0.2388)</f>
        <v>3843.4350501680005</v>
      </c>
    </row>
    <row r="16" spans="1:10" s="123" customFormat="1" x14ac:dyDescent="0.3">
      <c r="A16" s="342" t="s">
        <v>4</v>
      </c>
      <c r="B16" s="342"/>
      <c r="C16" s="342"/>
      <c r="D16" s="342"/>
      <c r="E16" s="342"/>
      <c r="F16" s="342"/>
      <c r="G16" s="342"/>
      <c r="H16" s="342"/>
      <c r="I16" s="154">
        <f>SUM(I15:I15)</f>
        <v>3102.5468600000004</v>
      </c>
      <c r="J16" s="161">
        <f>I16*1.2388</f>
        <v>3843.4350501680001</v>
      </c>
    </row>
    <row r="17" spans="1:11" x14ac:dyDescent="0.3">
      <c r="A17" s="343" t="s">
        <v>408</v>
      </c>
      <c r="B17" s="344"/>
      <c r="C17" s="344"/>
      <c r="D17" s="344"/>
      <c r="E17" s="344"/>
      <c r="F17" s="344"/>
      <c r="G17" s="344"/>
      <c r="H17" s="344"/>
      <c r="I17" s="344"/>
      <c r="J17" s="345"/>
    </row>
    <row r="18" spans="1:11" x14ac:dyDescent="0.3">
      <c r="A18" s="62">
        <v>3</v>
      </c>
      <c r="B18" s="62"/>
      <c r="C18" s="62">
        <v>250000</v>
      </c>
      <c r="D18" s="58" t="s">
        <v>384</v>
      </c>
      <c r="E18" s="60"/>
      <c r="F18" s="144"/>
      <c r="G18" s="149"/>
      <c r="H18" s="149"/>
      <c r="I18" s="155"/>
      <c r="J18" s="158"/>
    </row>
    <row r="19" spans="1:11" x14ac:dyDescent="0.3">
      <c r="A19" s="60" t="s">
        <v>261</v>
      </c>
      <c r="B19" s="22" t="s">
        <v>198</v>
      </c>
      <c r="C19" s="60">
        <v>250101</v>
      </c>
      <c r="D19" s="59" t="s">
        <v>385</v>
      </c>
      <c r="E19" s="60" t="s">
        <v>386</v>
      </c>
      <c r="F19" s="145">
        <f>'MEMÓRIA DE CALCULO'!F16</f>
        <v>120</v>
      </c>
      <c r="G19" s="150">
        <v>0</v>
      </c>
      <c r="H19" s="150">
        <v>64.48</v>
      </c>
      <c r="I19" s="156">
        <f>H19*F19</f>
        <v>7737.6</v>
      </c>
      <c r="J19" s="162">
        <f>I19+(I19*0.2388)</f>
        <v>9585.3388800000012</v>
      </c>
      <c r="K19" s="230"/>
    </row>
    <row r="20" spans="1:11" x14ac:dyDescent="0.3">
      <c r="A20" s="60" t="s">
        <v>262</v>
      </c>
      <c r="B20" s="22" t="s">
        <v>198</v>
      </c>
      <c r="C20" s="60">
        <v>250103</v>
      </c>
      <c r="D20" s="59" t="s">
        <v>524</v>
      </c>
      <c r="E20" s="60" t="s">
        <v>389</v>
      </c>
      <c r="F20" s="145">
        <f>'MEMÓRIA DE CALCULO'!F17</f>
        <v>960</v>
      </c>
      <c r="G20" s="150">
        <v>0</v>
      </c>
      <c r="H20" s="150">
        <v>18.21</v>
      </c>
      <c r="I20" s="156">
        <f>(H20*F20)</f>
        <v>17481.600000000002</v>
      </c>
      <c r="J20" s="162">
        <f>I20+(I20*0.2388)</f>
        <v>21656.206080000004</v>
      </c>
      <c r="K20" s="230"/>
    </row>
    <row r="21" spans="1:11" s="123" customFormat="1" x14ac:dyDescent="0.3">
      <c r="A21" s="231" t="s">
        <v>434</v>
      </c>
      <c r="B21" s="231" t="str">
        <f>'MEMÓRIA DE CALCULO'!B18</f>
        <v>AGETOP</v>
      </c>
      <c r="C21" s="231">
        <f>'MEMÓRIA DE CALCULO'!C18</f>
        <v>250110</v>
      </c>
      <c r="D21" s="232" t="str">
        <f>'MEMÓRIA DE CALCULO'!D18</f>
        <v>VIGIA DE OBRAS - (NOTURNO E NO SÁBADO/DOMINGO DIURNO) - O.C</v>
      </c>
      <c r="E21" s="231" t="str">
        <f>'MEMÓRIA DE CALCULO'!E18</f>
        <v xml:space="preserve">H </v>
      </c>
      <c r="F21" s="145">
        <f>'MEMÓRIA DE CALCULO'!F18</f>
        <v>720</v>
      </c>
      <c r="G21" s="150">
        <v>0</v>
      </c>
      <c r="H21" s="150">
        <v>12.27</v>
      </c>
      <c r="I21" s="156">
        <f>(H21*F21)</f>
        <v>8834.4</v>
      </c>
      <c r="J21" s="162">
        <f>I21+(I21*0.2388)</f>
        <v>10944.05472</v>
      </c>
    </row>
    <row r="22" spans="1:11" x14ac:dyDescent="0.3">
      <c r="A22" s="348" t="s">
        <v>4</v>
      </c>
      <c r="B22" s="349"/>
      <c r="C22" s="349"/>
      <c r="D22" s="349"/>
      <c r="E22" s="349"/>
      <c r="F22" s="349"/>
      <c r="G22" s="349"/>
      <c r="H22" s="350"/>
      <c r="I22" s="154">
        <f>SUM(I19:I21)</f>
        <v>34053.600000000006</v>
      </c>
      <c r="J22" s="163">
        <f>I22*1.2388</f>
        <v>42185.599680000007</v>
      </c>
    </row>
    <row r="23" spans="1:11" x14ac:dyDescent="0.3">
      <c r="A23" s="343" t="s">
        <v>508</v>
      </c>
      <c r="B23" s="344"/>
      <c r="C23" s="344"/>
      <c r="D23" s="344"/>
      <c r="E23" s="344"/>
      <c r="F23" s="344"/>
      <c r="G23" s="344"/>
      <c r="H23" s="344"/>
      <c r="I23" s="344"/>
      <c r="J23" s="345"/>
    </row>
    <row r="24" spans="1:11" x14ac:dyDescent="0.3">
      <c r="A24" s="88">
        <v>4</v>
      </c>
      <c r="B24" s="88"/>
      <c r="C24" s="88"/>
      <c r="D24" s="12" t="s">
        <v>398</v>
      </c>
      <c r="E24" s="124"/>
      <c r="F24" s="146"/>
      <c r="G24" s="88"/>
      <c r="H24" s="88"/>
      <c r="I24" s="157"/>
      <c r="J24" s="164"/>
    </row>
    <row r="25" spans="1:11" x14ac:dyDescent="0.3">
      <c r="A25" s="124" t="s">
        <v>263</v>
      </c>
      <c r="B25" s="351" t="s">
        <v>398</v>
      </c>
      <c r="C25" s="352"/>
      <c r="D25" s="83" t="s">
        <v>501</v>
      </c>
      <c r="E25" s="124" t="s">
        <v>168</v>
      </c>
      <c r="F25" s="125">
        <v>1</v>
      </c>
      <c r="G25" s="363">
        <f>'COMPOSIÇÃO CANTEIRO'!I11</f>
        <v>16844.479520526002</v>
      </c>
      <c r="H25" s="364"/>
      <c r="I25" s="127">
        <f>(H25+G25)*F25</f>
        <v>16844.479520526002</v>
      </c>
      <c r="J25" s="184">
        <f>I25*1.2388</f>
        <v>20866.941230027609</v>
      </c>
    </row>
    <row r="26" spans="1:11" x14ac:dyDescent="0.3">
      <c r="A26" s="348" t="s">
        <v>4</v>
      </c>
      <c r="B26" s="349"/>
      <c r="C26" s="349"/>
      <c r="D26" s="349"/>
      <c r="E26" s="349"/>
      <c r="F26" s="349"/>
      <c r="G26" s="349"/>
      <c r="H26" s="350"/>
      <c r="I26" s="154">
        <f>SUM(I25:I25)</f>
        <v>16844.479520526002</v>
      </c>
      <c r="J26" s="163">
        <f>I26*1.2388</f>
        <v>20866.941230027609</v>
      </c>
    </row>
    <row r="27" spans="1:11" x14ac:dyDescent="0.3">
      <c r="A27" s="359" t="s">
        <v>509</v>
      </c>
      <c r="B27" s="359"/>
      <c r="C27" s="359"/>
      <c r="D27" s="359"/>
      <c r="E27" s="359"/>
      <c r="F27" s="359"/>
      <c r="G27" s="359"/>
      <c r="H27" s="359"/>
      <c r="I27" s="359"/>
      <c r="J27" s="359"/>
    </row>
    <row r="28" spans="1:11" x14ac:dyDescent="0.3">
      <c r="A28" s="142">
        <v>5</v>
      </c>
      <c r="B28" s="22"/>
      <c r="C28" s="133"/>
      <c r="D28" s="25" t="s">
        <v>398</v>
      </c>
      <c r="E28" s="22"/>
      <c r="F28" s="24"/>
      <c r="G28" s="151"/>
      <c r="H28" s="151"/>
      <c r="I28" s="151"/>
      <c r="J28" s="160"/>
    </row>
    <row r="29" spans="1:11" x14ac:dyDescent="0.3">
      <c r="A29" s="22" t="s">
        <v>266</v>
      </c>
      <c r="B29" s="351" t="s">
        <v>398</v>
      </c>
      <c r="C29" s="352"/>
      <c r="D29" s="39" t="s">
        <v>406</v>
      </c>
      <c r="E29" s="22">
        <v>6</v>
      </c>
      <c r="F29" s="24" t="s">
        <v>168</v>
      </c>
      <c r="G29" s="360">
        <f>COMPOSIÇÃO!I255</f>
        <v>78034.178703500002</v>
      </c>
      <c r="H29" s="361"/>
      <c r="I29" s="151">
        <f>G29*E29</f>
        <v>468205.07222099998</v>
      </c>
      <c r="J29" s="160">
        <f>I29*1.2388</f>
        <v>580012.44346737477</v>
      </c>
    </row>
    <row r="30" spans="1:11" x14ac:dyDescent="0.3">
      <c r="A30" s="348" t="s">
        <v>4</v>
      </c>
      <c r="B30" s="349"/>
      <c r="C30" s="349"/>
      <c r="D30" s="349"/>
      <c r="E30" s="349"/>
      <c r="F30" s="349"/>
      <c r="G30" s="349"/>
      <c r="H30" s="350"/>
      <c r="I30" s="120">
        <f>I29</f>
        <v>468205.07222099998</v>
      </c>
      <c r="J30" s="161">
        <f>I29*1.2388</f>
        <v>580012.44346737477</v>
      </c>
    </row>
    <row r="31" spans="1:11" x14ac:dyDescent="0.3">
      <c r="A31" s="174"/>
      <c r="B31" s="174"/>
      <c r="C31" s="175"/>
      <c r="D31" s="176"/>
      <c r="E31" s="177"/>
      <c r="F31" s="178"/>
      <c r="G31" s="179"/>
      <c r="H31" s="179"/>
      <c r="I31" s="179"/>
      <c r="J31" s="180"/>
      <c r="K31" s="75"/>
    </row>
    <row r="32" spans="1:11" x14ac:dyDescent="0.3">
      <c r="A32" s="346" t="s">
        <v>172</v>
      </c>
      <c r="B32" s="346"/>
      <c r="C32" s="346"/>
      <c r="D32" s="346"/>
      <c r="E32" s="346"/>
      <c r="F32" s="346"/>
      <c r="G32" s="346"/>
      <c r="H32" s="346"/>
      <c r="I32" s="346"/>
      <c r="J32" s="166">
        <f>I12+I16+I22+I26+I30</f>
        <v>525767.32430152595</v>
      </c>
      <c r="K32" s="230"/>
    </row>
    <row r="33" spans="1:11" x14ac:dyDescent="0.3">
      <c r="A33" s="346" t="s">
        <v>496</v>
      </c>
      <c r="B33" s="346"/>
      <c r="C33" s="346"/>
      <c r="D33" s="346"/>
      <c r="E33" s="346"/>
      <c r="F33" s="346"/>
      <c r="G33" s="346"/>
      <c r="H33" s="346"/>
      <c r="I33" s="346"/>
      <c r="J33" s="166">
        <f>J32*0.2388</f>
        <v>125553.2370432044</v>
      </c>
      <c r="K33" s="75"/>
    </row>
    <row r="34" spans="1:11" x14ac:dyDescent="0.3">
      <c r="A34" s="346" t="s">
        <v>399</v>
      </c>
      <c r="B34" s="346"/>
      <c r="C34" s="346"/>
      <c r="D34" s="346"/>
      <c r="E34" s="346"/>
      <c r="F34" s="346"/>
      <c r="G34" s="346"/>
      <c r="H34" s="346"/>
      <c r="I34" s="346"/>
      <c r="J34" s="166">
        <f>J32+J33</f>
        <v>651320.56134473032</v>
      </c>
    </row>
    <row r="37" spans="1:11" x14ac:dyDescent="0.3">
      <c r="A37" s="362" t="s">
        <v>682</v>
      </c>
      <c r="B37" s="362"/>
      <c r="C37" s="362"/>
      <c r="D37" s="362" t="s">
        <v>681</v>
      </c>
      <c r="E37" s="362"/>
      <c r="F37" s="362"/>
      <c r="G37" s="362"/>
      <c r="H37" s="362" t="s">
        <v>681</v>
      </c>
      <c r="I37" s="362"/>
      <c r="J37" s="362"/>
    </row>
    <row r="38" spans="1:11" x14ac:dyDescent="0.3">
      <c r="A38" s="365" t="s">
        <v>401</v>
      </c>
      <c r="B38" s="365"/>
      <c r="C38" s="365"/>
      <c r="D38" s="362" t="s">
        <v>658</v>
      </c>
      <c r="E38" s="362"/>
      <c r="F38" s="362"/>
      <c r="G38" s="362"/>
      <c r="H38" s="362" t="s">
        <v>683</v>
      </c>
      <c r="I38" s="362"/>
      <c r="J38" s="362"/>
    </row>
    <row r="39" spans="1:11" x14ac:dyDescent="0.3">
      <c r="A39" s="365" t="s">
        <v>402</v>
      </c>
      <c r="B39" s="365"/>
      <c r="C39" s="365"/>
      <c r="D39" s="362" t="s">
        <v>659</v>
      </c>
      <c r="E39" s="362"/>
      <c r="F39" s="362"/>
      <c r="G39" s="362"/>
      <c r="H39" s="362" t="s">
        <v>403</v>
      </c>
      <c r="I39" s="362"/>
      <c r="J39" s="362"/>
    </row>
    <row r="40" spans="1:11" x14ac:dyDescent="0.3">
      <c r="A40" s="365" t="s">
        <v>403</v>
      </c>
      <c r="B40" s="365"/>
      <c r="C40" s="365"/>
      <c r="D40" s="282"/>
      <c r="E40" s="123"/>
      <c r="F40" s="123"/>
      <c r="G40" s="123"/>
      <c r="H40" s="365" t="s">
        <v>684</v>
      </c>
      <c r="I40" s="365"/>
      <c r="J40" s="365"/>
    </row>
    <row r="41" spans="1:11" x14ac:dyDescent="0.3">
      <c r="A41" s="365" t="s">
        <v>404</v>
      </c>
      <c r="B41" s="365"/>
      <c r="C41" s="365"/>
      <c r="D41" s="282"/>
      <c r="E41" s="362"/>
      <c r="F41" s="362"/>
      <c r="G41" s="362"/>
      <c r="H41" s="362"/>
      <c r="I41" s="362"/>
      <c r="J41" s="362"/>
    </row>
    <row r="42" spans="1:11" x14ac:dyDescent="0.3">
      <c r="A42" s="365"/>
      <c r="B42" s="365"/>
      <c r="C42" s="365"/>
      <c r="D42" s="365"/>
      <c r="E42" s="362"/>
      <c r="F42" s="362"/>
      <c r="G42" s="362"/>
      <c r="H42" s="362"/>
      <c r="I42" s="362"/>
      <c r="J42" s="362"/>
    </row>
    <row r="43" spans="1:11" x14ac:dyDescent="0.3">
      <c r="A43" s="366"/>
      <c r="B43" s="366"/>
      <c r="C43" s="366"/>
      <c r="D43" s="366"/>
      <c r="E43" s="366"/>
      <c r="F43" s="366"/>
      <c r="G43" s="366"/>
      <c r="H43" s="366"/>
      <c r="I43" s="366"/>
      <c r="J43" s="366"/>
    </row>
  </sheetData>
  <mergeCells count="40">
    <mergeCell ref="A43:J43"/>
    <mergeCell ref="A34:I34"/>
    <mergeCell ref="A41:C41"/>
    <mergeCell ref="A42:D42"/>
    <mergeCell ref="E42:J42"/>
    <mergeCell ref="E41:J41"/>
    <mergeCell ref="A39:C39"/>
    <mergeCell ref="D39:G39"/>
    <mergeCell ref="H39:J39"/>
    <mergeCell ref="A40:C40"/>
    <mergeCell ref="H40:J40"/>
    <mergeCell ref="A37:C37"/>
    <mergeCell ref="A26:H26"/>
    <mergeCell ref="H38:J38"/>
    <mergeCell ref="G25:H25"/>
    <mergeCell ref="D37:G37"/>
    <mergeCell ref="H37:J37"/>
    <mergeCell ref="A38:C38"/>
    <mergeCell ref="D38:G38"/>
    <mergeCell ref="D1:J1"/>
    <mergeCell ref="D2:J2"/>
    <mergeCell ref="D3:J3"/>
    <mergeCell ref="D4:J4"/>
    <mergeCell ref="D5:J5"/>
    <mergeCell ref="A6:J6"/>
    <mergeCell ref="A8:J8"/>
    <mergeCell ref="A12:H12"/>
    <mergeCell ref="A17:J17"/>
    <mergeCell ref="A33:I33"/>
    <mergeCell ref="B7:C7"/>
    <mergeCell ref="A22:H22"/>
    <mergeCell ref="B25:C25"/>
    <mergeCell ref="A13:J13"/>
    <mergeCell ref="A16:H16"/>
    <mergeCell ref="A27:J27"/>
    <mergeCell ref="B29:C29"/>
    <mergeCell ref="G29:H29"/>
    <mergeCell ref="A30:H30"/>
    <mergeCell ref="A32:I32"/>
    <mergeCell ref="A23:J2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D940-384E-4F2E-89E5-0A08C987120D}">
  <dimension ref="A1:K19"/>
  <sheetViews>
    <sheetView workbookViewId="0">
      <selection activeCell="J19" sqref="A1:J19"/>
    </sheetView>
  </sheetViews>
  <sheetFormatPr defaultRowHeight="14.4" x14ac:dyDescent="0.3"/>
  <cols>
    <col min="1" max="1" width="5" bestFit="1" customWidth="1"/>
    <col min="4" max="4" width="42.33203125" bestFit="1" customWidth="1"/>
    <col min="7" max="7" width="10.33203125" bestFit="1" customWidth="1"/>
    <col min="9" max="10" width="11.5546875" bestFit="1" customWidth="1"/>
  </cols>
  <sheetData>
    <row r="1" spans="1:11" x14ac:dyDescent="0.3">
      <c r="A1" s="375" t="s">
        <v>163</v>
      </c>
      <c r="B1" s="353"/>
      <c r="C1" s="353"/>
      <c r="D1" s="353"/>
      <c r="E1" s="353"/>
      <c r="F1" s="353"/>
      <c r="G1" s="353"/>
      <c r="H1" s="353"/>
      <c r="I1" s="353"/>
      <c r="J1" s="354"/>
      <c r="K1" s="123"/>
    </row>
    <row r="2" spans="1:11" x14ac:dyDescent="0.3">
      <c r="A2" s="376" t="s">
        <v>164</v>
      </c>
      <c r="B2" s="377"/>
      <c r="C2" s="377"/>
      <c r="D2" s="377"/>
      <c r="E2" s="377"/>
      <c r="F2" s="377"/>
      <c r="G2" s="377"/>
      <c r="H2" s="377"/>
      <c r="I2" s="377"/>
      <c r="J2" s="356"/>
      <c r="K2" s="123"/>
    </row>
    <row r="3" spans="1:11" x14ac:dyDescent="0.3">
      <c r="A3" s="376" t="s">
        <v>505</v>
      </c>
      <c r="B3" s="377"/>
      <c r="C3" s="377"/>
      <c r="D3" s="377"/>
      <c r="E3" s="377"/>
      <c r="F3" s="377"/>
      <c r="G3" s="377"/>
      <c r="H3" s="377"/>
      <c r="I3" s="377"/>
      <c r="J3" s="356"/>
      <c r="K3" s="123"/>
    </row>
    <row r="4" spans="1:11" x14ac:dyDescent="0.3">
      <c r="A4" s="376" t="s">
        <v>506</v>
      </c>
      <c r="B4" s="377"/>
      <c r="C4" s="377"/>
      <c r="D4" s="377"/>
      <c r="E4" s="377"/>
      <c r="F4" s="377"/>
      <c r="G4" s="377"/>
      <c r="H4" s="377"/>
      <c r="I4" s="377"/>
      <c r="J4" s="356"/>
      <c r="K4" s="123"/>
    </row>
    <row r="5" spans="1:11" x14ac:dyDescent="0.3">
      <c r="A5" s="378" t="s">
        <v>661</v>
      </c>
      <c r="B5" s="379"/>
      <c r="C5" s="379"/>
      <c r="D5" s="379"/>
      <c r="E5" s="379"/>
      <c r="F5" s="379"/>
      <c r="G5" s="379"/>
      <c r="H5" s="379"/>
      <c r="I5" s="379"/>
      <c r="J5" s="380"/>
      <c r="K5" s="123"/>
    </row>
    <row r="6" spans="1:11" ht="27.6" x14ac:dyDescent="0.3">
      <c r="A6" s="132" t="s">
        <v>165</v>
      </c>
      <c r="B6" s="347" t="s">
        <v>167</v>
      </c>
      <c r="C6" s="347"/>
      <c r="D6" s="3" t="s">
        <v>166</v>
      </c>
      <c r="E6" s="3" t="s">
        <v>168</v>
      </c>
      <c r="F6" s="4" t="s">
        <v>169</v>
      </c>
      <c r="G6" s="104" t="s">
        <v>170</v>
      </c>
      <c r="H6" s="105" t="s">
        <v>171</v>
      </c>
      <c r="I6" s="112" t="s">
        <v>172</v>
      </c>
      <c r="J6" s="77" t="s">
        <v>252</v>
      </c>
      <c r="K6" s="123"/>
    </row>
    <row r="7" spans="1:11" x14ac:dyDescent="0.3">
      <c r="A7" s="372" t="s">
        <v>507</v>
      </c>
      <c r="B7" s="373"/>
      <c r="C7" s="373"/>
      <c r="D7" s="373"/>
      <c r="E7" s="373"/>
      <c r="F7" s="373"/>
      <c r="G7" s="373"/>
      <c r="H7" s="373"/>
      <c r="I7" s="373"/>
      <c r="J7" s="374"/>
      <c r="K7" s="123"/>
    </row>
    <row r="8" spans="1:11" x14ac:dyDescent="0.3">
      <c r="A8" s="176">
        <v>1</v>
      </c>
      <c r="B8" s="370"/>
      <c r="C8" s="371"/>
      <c r="D8" s="39" t="s">
        <v>502</v>
      </c>
      <c r="E8" s="174" t="s">
        <v>3</v>
      </c>
      <c r="F8" s="178">
        <v>6</v>
      </c>
      <c r="G8" s="151">
        <v>818.02</v>
      </c>
      <c r="H8" s="151">
        <v>0</v>
      </c>
      <c r="I8" s="179">
        <f t="shared" ref="I8:I10" si="0">G8*F8</f>
        <v>4908.12</v>
      </c>
      <c r="J8" s="176"/>
      <c r="K8" s="1"/>
    </row>
    <row r="9" spans="1:11" x14ac:dyDescent="0.3">
      <c r="A9" s="176">
        <v>2</v>
      </c>
      <c r="B9" s="370"/>
      <c r="C9" s="371"/>
      <c r="D9" s="39" t="s">
        <v>578</v>
      </c>
      <c r="E9" s="174" t="s">
        <v>504</v>
      </c>
      <c r="F9" s="178">
        <f>'MEMÓRIA DE CALCULO'!F22</f>
        <v>5076.1764333000001</v>
      </c>
      <c r="G9" s="151">
        <v>1.02</v>
      </c>
      <c r="H9" s="151">
        <v>0</v>
      </c>
      <c r="I9" s="179">
        <f t="shared" si="0"/>
        <v>5177.699961966</v>
      </c>
      <c r="J9" s="176"/>
      <c r="K9" s="1"/>
    </row>
    <row r="10" spans="1:11" s="123" customFormat="1" x14ac:dyDescent="0.3">
      <c r="A10" s="176">
        <v>3</v>
      </c>
      <c r="B10" s="254"/>
      <c r="C10" s="255"/>
      <c r="D10" s="39" t="s">
        <v>575</v>
      </c>
      <c r="E10" s="174" t="s">
        <v>8</v>
      </c>
      <c r="F10" s="178">
        <f>'MEMÓRIA DE CALCULO'!F23</f>
        <v>712.93877199999997</v>
      </c>
      <c r="G10" s="151">
        <v>9.48</v>
      </c>
      <c r="H10" s="151">
        <v>0</v>
      </c>
      <c r="I10" s="179">
        <f t="shared" si="0"/>
        <v>6758.6595585599998</v>
      </c>
      <c r="J10" s="176"/>
      <c r="K10" s="1"/>
    </row>
    <row r="11" spans="1:11" x14ac:dyDescent="0.3">
      <c r="A11" s="367" t="s">
        <v>172</v>
      </c>
      <c r="B11" s="368"/>
      <c r="C11" s="368"/>
      <c r="D11" s="368"/>
      <c r="E11" s="368"/>
      <c r="F11" s="368"/>
      <c r="G11" s="368"/>
      <c r="H11" s="369"/>
      <c r="I11" s="228">
        <f>SUM(I8:I10)</f>
        <v>16844.479520526002</v>
      </c>
      <c r="J11" s="229">
        <f>I11*1.2388</f>
        <v>20866.941230027609</v>
      </c>
      <c r="K11" s="1"/>
    </row>
    <row r="15" spans="1:11" x14ac:dyDescent="0.3">
      <c r="B15" s="362" t="s">
        <v>682</v>
      </c>
      <c r="C15" s="362"/>
      <c r="D15" s="362"/>
      <c r="E15" s="123"/>
      <c r="F15" s="362" t="s">
        <v>681</v>
      </c>
      <c r="G15" s="362"/>
      <c r="H15" s="362"/>
    </row>
    <row r="16" spans="1:11" x14ac:dyDescent="0.3">
      <c r="B16" s="365" t="s">
        <v>401</v>
      </c>
      <c r="C16" s="365"/>
      <c r="D16" s="365"/>
      <c r="E16" s="123"/>
      <c r="F16" s="362" t="s">
        <v>683</v>
      </c>
      <c r="G16" s="362"/>
      <c r="H16" s="362"/>
    </row>
    <row r="17" spans="2:8" x14ac:dyDescent="0.3">
      <c r="B17" s="365" t="s">
        <v>402</v>
      </c>
      <c r="C17" s="365"/>
      <c r="D17" s="365"/>
      <c r="E17" s="123"/>
      <c r="F17" s="362" t="s">
        <v>403</v>
      </c>
      <c r="G17" s="362"/>
      <c r="H17" s="362"/>
    </row>
    <row r="18" spans="2:8" x14ac:dyDescent="0.3">
      <c r="B18" s="365" t="s">
        <v>403</v>
      </c>
      <c r="C18" s="365"/>
      <c r="D18" s="365"/>
      <c r="E18" s="123"/>
      <c r="F18" s="362" t="s">
        <v>684</v>
      </c>
      <c r="G18" s="362"/>
      <c r="H18" s="362"/>
    </row>
    <row r="19" spans="2:8" x14ac:dyDescent="0.3">
      <c r="B19" s="365" t="s">
        <v>404</v>
      </c>
      <c r="C19" s="365"/>
      <c r="D19" s="365"/>
      <c r="E19" s="123"/>
      <c r="F19" s="123"/>
      <c r="G19" s="123"/>
      <c r="H19" s="123"/>
    </row>
  </sheetData>
  <mergeCells count="19">
    <mergeCell ref="B9:C9"/>
    <mergeCell ref="A7:J7"/>
    <mergeCell ref="B8:C8"/>
    <mergeCell ref="A1:J1"/>
    <mergeCell ref="A2:J2"/>
    <mergeCell ref="A3:J3"/>
    <mergeCell ref="A4:J4"/>
    <mergeCell ref="A5:J5"/>
    <mergeCell ref="B6:C6"/>
    <mergeCell ref="B15:D15"/>
    <mergeCell ref="F15:H15"/>
    <mergeCell ref="B16:D16"/>
    <mergeCell ref="F16:H16"/>
    <mergeCell ref="A11:H11"/>
    <mergeCell ref="F18:H18"/>
    <mergeCell ref="B19:D19"/>
    <mergeCell ref="B17:D17"/>
    <mergeCell ref="F17:H17"/>
    <mergeCell ref="B18:D1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3"/>
  <sheetViews>
    <sheetView tabSelected="1" topLeftCell="B223" zoomScaleNormal="100" workbookViewId="0">
      <selection activeCell="I266" sqref="I266"/>
    </sheetView>
  </sheetViews>
  <sheetFormatPr defaultRowHeight="14.4" x14ac:dyDescent="0.3"/>
  <cols>
    <col min="1" max="1" width="8" style="136" customWidth="1"/>
    <col min="2" max="2" width="12.88671875" style="136" customWidth="1"/>
    <col min="3" max="3" width="16" style="136" customWidth="1"/>
    <col min="4" max="4" width="72.33203125" style="1" customWidth="1"/>
    <col min="5" max="5" width="4.5546875" style="15" bestFit="1" customWidth="1"/>
    <col min="6" max="6" width="7.109375" style="15" bestFit="1" customWidth="1"/>
    <col min="7" max="7" width="10.88671875" style="111" bestFit="1" customWidth="1"/>
    <col min="8" max="8" width="12.88671875" style="111" bestFit="1" customWidth="1"/>
    <col min="9" max="9" width="12.33203125" style="111" bestFit="1" customWidth="1"/>
    <col min="10" max="10" width="12.6640625" style="13" bestFit="1" customWidth="1"/>
    <col min="11" max="11" width="11.44140625" bestFit="1" customWidth="1"/>
    <col min="12" max="12" width="10.109375" bestFit="1" customWidth="1"/>
  </cols>
  <sheetData>
    <row r="1" spans="1:13" ht="15.75" customHeight="1" x14ac:dyDescent="0.3">
      <c r="A1" s="375" t="s">
        <v>163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3" ht="15.75" customHeight="1" x14ac:dyDescent="0.3">
      <c r="A2" s="376" t="s">
        <v>164</v>
      </c>
      <c r="B2" s="355"/>
      <c r="C2" s="355"/>
      <c r="D2" s="355"/>
      <c r="E2" s="355"/>
      <c r="F2" s="355"/>
      <c r="G2" s="355"/>
      <c r="H2" s="355"/>
      <c r="I2" s="355"/>
      <c r="J2" s="356"/>
    </row>
    <row r="3" spans="1:13" ht="15.75" customHeight="1" x14ac:dyDescent="0.3">
      <c r="A3" s="376" t="s">
        <v>407</v>
      </c>
      <c r="B3" s="355"/>
      <c r="C3" s="355"/>
      <c r="D3" s="355"/>
      <c r="E3" s="355"/>
      <c r="F3" s="355"/>
      <c r="G3" s="355"/>
      <c r="H3" s="355"/>
      <c r="I3" s="355"/>
      <c r="J3" s="356"/>
    </row>
    <row r="4" spans="1:13" ht="15.75" customHeight="1" x14ac:dyDescent="0.3">
      <c r="A4" s="389" t="s">
        <v>660</v>
      </c>
      <c r="B4" s="390"/>
      <c r="C4" s="390"/>
      <c r="D4" s="390"/>
      <c r="E4" s="390"/>
      <c r="F4" s="390"/>
      <c r="G4" s="390"/>
      <c r="H4" s="390"/>
      <c r="I4" s="390"/>
      <c r="J4" s="391"/>
    </row>
    <row r="5" spans="1:13" ht="15.75" customHeight="1" x14ac:dyDescent="0.3">
      <c r="A5" s="392" t="s">
        <v>661</v>
      </c>
      <c r="B5" s="393"/>
      <c r="C5" s="393"/>
      <c r="D5" s="393"/>
      <c r="E5" s="393"/>
      <c r="F5" s="393"/>
      <c r="G5" s="393"/>
      <c r="H5" s="393"/>
      <c r="I5" s="393"/>
      <c r="J5" s="394"/>
    </row>
    <row r="6" spans="1:13" x14ac:dyDescent="0.3">
      <c r="A6" s="132" t="s">
        <v>165</v>
      </c>
      <c r="B6" s="347" t="s">
        <v>167</v>
      </c>
      <c r="C6" s="347"/>
      <c r="D6" s="26" t="s">
        <v>166</v>
      </c>
      <c r="E6" s="3" t="s">
        <v>168</v>
      </c>
      <c r="F6" s="4" t="s">
        <v>169</v>
      </c>
      <c r="G6" s="104" t="s">
        <v>170</v>
      </c>
      <c r="H6" s="105" t="s">
        <v>171</v>
      </c>
      <c r="I6" s="112" t="s">
        <v>172</v>
      </c>
      <c r="J6" s="28" t="s">
        <v>252</v>
      </c>
    </row>
    <row r="7" spans="1:13" x14ac:dyDescent="0.3">
      <c r="A7" s="401" t="s">
        <v>173</v>
      </c>
      <c r="B7" s="402"/>
      <c r="C7" s="402"/>
      <c r="D7" s="402"/>
      <c r="E7" s="402"/>
      <c r="F7" s="402"/>
      <c r="G7" s="402"/>
      <c r="H7" s="402"/>
      <c r="I7" s="402"/>
      <c r="J7" s="403"/>
    </row>
    <row r="8" spans="1:13" x14ac:dyDescent="0.3">
      <c r="A8" s="133">
        <v>1</v>
      </c>
      <c r="B8" s="134"/>
      <c r="C8" s="137">
        <v>20000</v>
      </c>
      <c r="D8" s="12" t="s">
        <v>0</v>
      </c>
      <c r="E8" s="6"/>
      <c r="F8" s="7"/>
      <c r="G8" s="106"/>
      <c r="H8" s="107"/>
      <c r="I8" s="113"/>
      <c r="J8" s="29"/>
    </row>
    <row r="9" spans="1:13" ht="27.6" x14ac:dyDescent="0.3">
      <c r="A9" s="134" t="s">
        <v>258</v>
      </c>
      <c r="B9" s="134" t="s">
        <v>198</v>
      </c>
      <c r="C9" s="129">
        <v>20702</v>
      </c>
      <c r="D9" s="8" t="s">
        <v>1</v>
      </c>
      <c r="E9" s="6" t="s">
        <v>2</v>
      </c>
      <c r="F9" s="7">
        <f>'MEMÓRIA DE CALCULO'!F30</f>
        <v>50</v>
      </c>
      <c r="G9" s="108">
        <v>4.12</v>
      </c>
      <c r="H9" s="109">
        <v>1.1399999999999999</v>
      </c>
      <c r="I9" s="114">
        <f>(H9+G9)*F9</f>
        <v>263</v>
      </c>
      <c r="J9" s="29"/>
    </row>
    <row r="10" spans="1:13" s="76" customFormat="1" x14ac:dyDescent="0.3">
      <c r="A10" s="348" t="s">
        <v>4</v>
      </c>
      <c r="B10" s="349"/>
      <c r="C10" s="349"/>
      <c r="D10" s="349"/>
      <c r="E10" s="349"/>
      <c r="F10" s="349"/>
      <c r="G10" s="349"/>
      <c r="H10" s="350"/>
      <c r="I10" s="115">
        <f>SUM(I9:I9)</f>
        <v>263</v>
      </c>
      <c r="J10" s="16">
        <f>I10*1.2388</f>
        <v>325.80439999999999</v>
      </c>
    </row>
    <row r="11" spans="1:13" s="76" customFormat="1" x14ac:dyDescent="0.3">
      <c r="A11" s="401" t="s">
        <v>176</v>
      </c>
      <c r="B11" s="402"/>
      <c r="C11" s="402"/>
      <c r="D11" s="402"/>
      <c r="E11" s="402"/>
      <c r="F11" s="402"/>
      <c r="G11" s="402"/>
      <c r="H11" s="402"/>
      <c r="I11" s="402"/>
      <c r="J11" s="403"/>
    </row>
    <row r="12" spans="1:13" s="76" customFormat="1" x14ac:dyDescent="0.3">
      <c r="A12" s="62">
        <v>2</v>
      </c>
      <c r="B12" s="60"/>
      <c r="C12" s="62">
        <v>30000</v>
      </c>
      <c r="D12" s="58" t="s">
        <v>177</v>
      </c>
      <c r="E12" s="60"/>
      <c r="F12" s="60"/>
      <c r="G12" s="150"/>
      <c r="H12" s="150"/>
      <c r="I12" s="213"/>
      <c r="J12" s="192"/>
    </row>
    <row r="13" spans="1:13" s="76" customFormat="1" x14ac:dyDescent="0.3">
      <c r="A13" s="60" t="s">
        <v>260</v>
      </c>
      <c r="B13" s="188" t="s">
        <v>198</v>
      </c>
      <c r="C13" s="60">
        <v>30105</v>
      </c>
      <c r="D13" s="59" t="s">
        <v>253</v>
      </c>
      <c r="E13" s="60" t="s">
        <v>178</v>
      </c>
      <c r="F13" s="214">
        <f>'MEMÓRIA DE CALCULO'!F33</f>
        <v>3.5000000000000004</v>
      </c>
      <c r="G13" s="150">
        <v>58.79</v>
      </c>
      <c r="H13" s="150">
        <v>6.27</v>
      </c>
      <c r="I13" s="213">
        <f>(H13+G13)*F13</f>
        <v>227.71000000000004</v>
      </c>
      <c r="J13" s="192"/>
      <c r="K13" s="381"/>
      <c r="L13" s="382"/>
      <c r="M13" s="382"/>
    </row>
    <row r="14" spans="1:13" x14ac:dyDescent="0.3">
      <c r="A14" s="348" t="s">
        <v>4</v>
      </c>
      <c r="B14" s="349"/>
      <c r="C14" s="349"/>
      <c r="D14" s="349"/>
      <c r="E14" s="349"/>
      <c r="F14" s="349"/>
      <c r="G14" s="349"/>
      <c r="H14" s="350"/>
      <c r="I14" s="115">
        <f>SUM(I13)</f>
        <v>227.71000000000004</v>
      </c>
      <c r="J14" s="16">
        <f>I14*1.2388</f>
        <v>282.08714800000001</v>
      </c>
    </row>
    <row r="15" spans="1:13" x14ac:dyDescent="0.3">
      <c r="A15" s="343" t="s">
        <v>175</v>
      </c>
      <c r="B15" s="344"/>
      <c r="C15" s="344"/>
      <c r="D15" s="344"/>
      <c r="E15" s="344"/>
      <c r="F15" s="344"/>
      <c r="G15" s="344"/>
      <c r="H15" s="344"/>
      <c r="I15" s="344"/>
      <c r="J15" s="345"/>
    </row>
    <row r="16" spans="1:13" x14ac:dyDescent="0.3">
      <c r="A16" s="133">
        <v>3</v>
      </c>
      <c r="B16" s="134"/>
      <c r="C16" s="137">
        <v>40000</v>
      </c>
      <c r="D16" s="12" t="s">
        <v>5</v>
      </c>
      <c r="E16" s="6"/>
      <c r="F16" s="7"/>
      <c r="G16" s="106"/>
      <c r="H16" s="107"/>
      <c r="I16" s="113"/>
      <c r="J16" s="29"/>
    </row>
    <row r="17" spans="1:14" s="76" customFormat="1" x14ac:dyDescent="0.3">
      <c r="A17" s="188" t="s">
        <v>261</v>
      </c>
      <c r="B17" s="188" t="s">
        <v>198</v>
      </c>
      <c r="C17" s="189">
        <v>41002</v>
      </c>
      <c r="D17" s="59" t="s">
        <v>6</v>
      </c>
      <c r="E17" s="60" t="s">
        <v>2</v>
      </c>
      <c r="F17" s="145">
        <f>'MEMÓRIA DE CALCULO'!F36</f>
        <v>48</v>
      </c>
      <c r="G17" s="156">
        <v>0</v>
      </c>
      <c r="H17" s="190">
        <v>3.86</v>
      </c>
      <c r="I17" s="191">
        <f>(H17+G17)*F17</f>
        <v>185.28</v>
      </c>
      <c r="J17" s="192"/>
      <c r="K17" s="383"/>
      <c r="L17" s="384"/>
      <c r="M17" s="384"/>
      <c r="N17" s="384"/>
    </row>
    <row r="18" spans="1:14" s="76" customFormat="1" ht="13.5" customHeight="1" x14ac:dyDescent="0.3">
      <c r="A18" s="188" t="s">
        <v>262</v>
      </c>
      <c r="B18" s="188" t="s">
        <v>198</v>
      </c>
      <c r="C18" s="189">
        <v>41003</v>
      </c>
      <c r="D18" s="87" t="s">
        <v>7</v>
      </c>
      <c r="E18" s="60" t="s">
        <v>8</v>
      </c>
      <c r="F18" s="145">
        <f>'MEMÓRIA DE CALCULO'!F37</f>
        <v>7.1999999999999993</v>
      </c>
      <c r="G18" s="156">
        <v>0</v>
      </c>
      <c r="H18" s="190">
        <v>19.28</v>
      </c>
      <c r="I18" s="191">
        <f>(H18+G18)*F18</f>
        <v>138.816</v>
      </c>
      <c r="J18" s="192"/>
      <c r="K18" s="383"/>
      <c r="L18" s="384"/>
      <c r="M18" s="384"/>
      <c r="N18" s="384"/>
    </row>
    <row r="19" spans="1:14" s="76" customFormat="1" ht="13.5" customHeight="1" x14ac:dyDescent="0.3">
      <c r="A19" s="188" t="s">
        <v>434</v>
      </c>
      <c r="B19" s="188" t="s">
        <v>198</v>
      </c>
      <c r="C19" s="189">
        <v>40101</v>
      </c>
      <c r="D19" s="87" t="s">
        <v>435</v>
      </c>
      <c r="E19" s="193" t="s">
        <v>8</v>
      </c>
      <c r="F19" s="145">
        <f>'MEMÓRIA DE CALCULO'!F38</f>
        <v>4.8282000000000007</v>
      </c>
      <c r="G19" s="195">
        <v>0</v>
      </c>
      <c r="H19" s="196">
        <v>24.74</v>
      </c>
      <c r="I19" s="191">
        <v>119.49</v>
      </c>
      <c r="J19" s="192"/>
      <c r="K19" s="197"/>
      <c r="L19" s="198"/>
      <c r="M19" s="198"/>
      <c r="N19" s="198"/>
    </row>
    <row r="20" spans="1:14" s="76" customFormat="1" ht="13.5" customHeight="1" x14ac:dyDescent="0.3">
      <c r="A20" s="188" t="s">
        <v>437</v>
      </c>
      <c r="B20" s="188" t="s">
        <v>198</v>
      </c>
      <c r="C20" s="189">
        <v>40902</v>
      </c>
      <c r="D20" s="87" t="s">
        <v>438</v>
      </c>
      <c r="E20" s="193" t="s">
        <v>8</v>
      </c>
      <c r="F20" s="194">
        <f>'MEMÓRIA DE CALCULO'!F39</f>
        <v>3.7140000000000004</v>
      </c>
      <c r="G20" s="195">
        <v>0</v>
      </c>
      <c r="H20" s="196">
        <v>16.39</v>
      </c>
      <c r="I20" s="191">
        <v>60.81</v>
      </c>
      <c r="J20" s="192"/>
      <c r="K20" s="197"/>
      <c r="L20" s="198"/>
      <c r="M20" s="198"/>
      <c r="N20" s="198"/>
    </row>
    <row r="21" spans="1:14" x14ac:dyDescent="0.3">
      <c r="A21" s="348" t="s">
        <v>4</v>
      </c>
      <c r="B21" s="349"/>
      <c r="C21" s="349"/>
      <c r="D21" s="349"/>
      <c r="E21" s="349"/>
      <c r="F21" s="349"/>
      <c r="G21" s="349"/>
      <c r="H21" s="350"/>
      <c r="I21" s="116">
        <f>SUM(I17:I20)</f>
        <v>504.39600000000002</v>
      </c>
      <c r="J21" s="16">
        <f>I21*1.2388</f>
        <v>624.84576479999998</v>
      </c>
    </row>
    <row r="22" spans="1:14" x14ac:dyDescent="0.3">
      <c r="A22" s="386" t="s">
        <v>179</v>
      </c>
      <c r="B22" s="387"/>
      <c r="C22" s="387"/>
      <c r="D22" s="387"/>
      <c r="E22" s="387"/>
      <c r="F22" s="387"/>
      <c r="G22" s="387"/>
      <c r="H22" s="387"/>
      <c r="I22" s="387"/>
      <c r="J22" s="388"/>
    </row>
    <row r="23" spans="1:14" x14ac:dyDescent="0.3">
      <c r="A23" s="133">
        <v>4</v>
      </c>
      <c r="B23" s="134"/>
      <c r="C23" s="88">
        <v>50000</v>
      </c>
      <c r="D23" s="14" t="s">
        <v>9</v>
      </c>
      <c r="E23" s="60"/>
      <c r="F23" s="145"/>
      <c r="G23" s="150"/>
      <c r="H23" s="150"/>
      <c r="I23" s="250"/>
      <c r="J23" s="192"/>
    </row>
    <row r="24" spans="1:14" x14ac:dyDescent="0.3">
      <c r="A24" s="134" t="s">
        <v>263</v>
      </c>
      <c r="B24" s="134" t="s">
        <v>198</v>
      </c>
      <c r="C24" s="131">
        <v>50301</v>
      </c>
      <c r="D24" s="9" t="s">
        <v>10</v>
      </c>
      <c r="E24" s="6" t="s">
        <v>11</v>
      </c>
      <c r="F24" s="7">
        <f>'MEMÓRIA DE CALCULO'!F42</f>
        <v>45</v>
      </c>
      <c r="G24" s="108">
        <v>16.73</v>
      </c>
      <c r="H24" s="108">
        <v>18.78</v>
      </c>
      <c r="I24" s="114">
        <f>(H24+G24)*F24</f>
        <v>1597.9500000000003</v>
      </c>
      <c r="J24" s="29"/>
    </row>
    <row r="25" spans="1:14" x14ac:dyDescent="0.3">
      <c r="A25" s="134" t="s">
        <v>264</v>
      </c>
      <c r="B25" s="134" t="s">
        <v>198</v>
      </c>
      <c r="C25" s="131">
        <v>52004</v>
      </c>
      <c r="D25" s="87" t="s">
        <v>12</v>
      </c>
      <c r="E25" s="6" t="s">
        <v>13</v>
      </c>
      <c r="F25" s="7">
        <f>'MEMÓRIA DE CALCULO'!F43</f>
        <v>39.6</v>
      </c>
      <c r="G25" s="110">
        <v>11.2</v>
      </c>
      <c r="H25" s="110">
        <v>2.0499999999999998</v>
      </c>
      <c r="I25" s="114">
        <f t="shared" ref="I25:I26" si="0">(H25+G25)*F25</f>
        <v>524.70000000000005</v>
      </c>
      <c r="J25" s="29"/>
    </row>
    <row r="26" spans="1:14" x14ac:dyDescent="0.3">
      <c r="A26" s="134" t="s">
        <v>265</v>
      </c>
      <c r="B26" s="134" t="s">
        <v>198</v>
      </c>
      <c r="C26" s="131">
        <v>52014</v>
      </c>
      <c r="D26" s="87" t="s">
        <v>439</v>
      </c>
      <c r="E26" s="6" t="s">
        <v>13</v>
      </c>
      <c r="F26" s="7">
        <f>'MEMÓRIA DE CALCULO'!F44</f>
        <v>9.58</v>
      </c>
      <c r="G26" s="108">
        <v>13.86</v>
      </c>
      <c r="H26" s="108">
        <v>1.79</v>
      </c>
      <c r="I26" s="114">
        <f t="shared" si="0"/>
        <v>149.92699999999999</v>
      </c>
      <c r="J26" s="29"/>
    </row>
    <row r="27" spans="1:14" x14ac:dyDescent="0.3">
      <c r="A27" s="348" t="s">
        <v>4</v>
      </c>
      <c r="B27" s="349"/>
      <c r="C27" s="349"/>
      <c r="D27" s="349"/>
      <c r="E27" s="349"/>
      <c r="F27" s="349"/>
      <c r="G27" s="349"/>
      <c r="H27" s="350"/>
      <c r="I27" s="116">
        <f>SUM(I24:I26)</f>
        <v>2272.5770000000007</v>
      </c>
      <c r="J27" s="16">
        <f>I27*1.2388</f>
        <v>2815.2683876000006</v>
      </c>
    </row>
    <row r="28" spans="1:14" x14ac:dyDescent="0.3">
      <c r="A28" s="386" t="s">
        <v>180</v>
      </c>
      <c r="B28" s="387"/>
      <c r="C28" s="387"/>
      <c r="D28" s="387"/>
      <c r="E28" s="387"/>
      <c r="F28" s="387"/>
      <c r="G28" s="387"/>
      <c r="H28" s="387"/>
      <c r="I28" s="387"/>
      <c r="J28" s="388"/>
    </row>
    <row r="29" spans="1:14" x14ac:dyDescent="0.3">
      <c r="A29" s="133">
        <v>5</v>
      </c>
      <c r="B29" s="134"/>
      <c r="C29" s="138">
        <v>60000</v>
      </c>
      <c r="D29" s="14" t="s">
        <v>15</v>
      </c>
      <c r="E29" s="6"/>
      <c r="F29" s="7"/>
      <c r="G29" s="106"/>
      <c r="H29" s="106"/>
      <c r="I29" s="117"/>
      <c r="J29" s="29"/>
    </row>
    <row r="30" spans="1:14" x14ac:dyDescent="0.3">
      <c r="A30" s="188" t="s">
        <v>266</v>
      </c>
      <c r="B30" s="188" t="s">
        <v>198</v>
      </c>
      <c r="C30" s="246">
        <v>60010</v>
      </c>
      <c r="D30" s="249" t="s">
        <v>254</v>
      </c>
      <c r="E30" s="145" t="s">
        <v>178</v>
      </c>
      <c r="F30" s="214">
        <f>'MEMÓRIA DE CALCULO'!F47</f>
        <v>0.40229999999999994</v>
      </c>
      <c r="G30" s="150">
        <v>2245.52</v>
      </c>
      <c r="H30" s="150">
        <v>517.57000000000005</v>
      </c>
      <c r="I30" s="250">
        <v>1105.24</v>
      </c>
      <c r="J30" s="192"/>
    </row>
    <row r="31" spans="1:14" x14ac:dyDescent="0.3">
      <c r="A31" s="134" t="s">
        <v>267</v>
      </c>
      <c r="B31" s="134" t="s">
        <v>198</v>
      </c>
      <c r="C31" s="131">
        <v>60205</v>
      </c>
      <c r="D31" s="9" t="s">
        <v>431</v>
      </c>
      <c r="E31" s="6" t="s">
        <v>2</v>
      </c>
      <c r="F31" s="7">
        <f>'MEMÓRIA DE CALCULO'!F56</f>
        <v>87.91</v>
      </c>
      <c r="G31" s="108">
        <v>24.47</v>
      </c>
      <c r="H31" s="108">
        <v>16.899999999999999</v>
      </c>
      <c r="I31" s="114">
        <f>(H31+G31)*F31</f>
        <v>3636.8366999999998</v>
      </c>
      <c r="J31" s="29"/>
    </row>
    <row r="32" spans="1:14" s="123" customFormat="1" x14ac:dyDescent="0.3">
      <c r="A32" s="134" t="s">
        <v>268</v>
      </c>
      <c r="B32" s="134" t="s">
        <v>198</v>
      </c>
      <c r="C32" s="131">
        <v>60305</v>
      </c>
      <c r="D32" s="126" t="s">
        <v>445</v>
      </c>
      <c r="E32" s="124" t="s">
        <v>447</v>
      </c>
      <c r="F32" s="125">
        <f>'MEMÓRIA DE CALCULO'!F57</f>
        <v>395.1</v>
      </c>
      <c r="G32" s="127">
        <v>10.53</v>
      </c>
      <c r="H32" s="127">
        <v>2.0499999999999998</v>
      </c>
      <c r="I32" s="128">
        <f>(H32+G32)*F32</f>
        <v>4970.3579999999993</v>
      </c>
      <c r="J32" s="118"/>
    </row>
    <row r="33" spans="1:10" x14ac:dyDescent="0.3">
      <c r="A33" s="134" t="s">
        <v>269</v>
      </c>
      <c r="B33" s="134" t="s">
        <v>198</v>
      </c>
      <c r="C33" s="131">
        <v>60304</v>
      </c>
      <c r="D33" s="9" t="s">
        <v>16</v>
      </c>
      <c r="E33" s="6" t="s">
        <v>13</v>
      </c>
      <c r="F33" s="7">
        <f>'MEMÓRIA DE CALCULO'!F58</f>
        <v>44.468000000000004</v>
      </c>
      <c r="G33" s="108">
        <v>11.2</v>
      </c>
      <c r="H33" s="108">
        <v>2.0499999999999998</v>
      </c>
      <c r="I33" s="114">
        <v>589.23</v>
      </c>
      <c r="J33" s="29"/>
    </row>
    <row r="34" spans="1:10" x14ac:dyDescent="0.3">
      <c r="A34" s="134" t="s">
        <v>270</v>
      </c>
      <c r="B34" s="134" t="s">
        <v>198</v>
      </c>
      <c r="C34" s="246">
        <v>60314</v>
      </c>
      <c r="D34" s="249" t="s">
        <v>444</v>
      </c>
      <c r="E34" s="6" t="s">
        <v>13</v>
      </c>
      <c r="F34" s="7">
        <f>'MEMÓRIA DE CALCULO'!F59</f>
        <v>96.33</v>
      </c>
      <c r="G34" s="108">
        <v>13.86</v>
      </c>
      <c r="H34" s="108">
        <v>1.79</v>
      </c>
      <c r="I34" s="114">
        <f t="shared" ref="I33:I37" si="1">(H34+G34)*F34</f>
        <v>1507.5644999999997</v>
      </c>
      <c r="J34" s="29"/>
    </row>
    <row r="35" spans="1:10" x14ac:dyDescent="0.3">
      <c r="A35" s="134" t="s">
        <v>382</v>
      </c>
      <c r="B35" s="134" t="s">
        <v>198</v>
      </c>
      <c r="C35" s="131">
        <v>60517</v>
      </c>
      <c r="D35" s="9" t="s">
        <v>637</v>
      </c>
      <c r="E35" s="6" t="s">
        <v>8</v>
      </c>
      <c r="F35" s="7">
        <f>'MEMÓRIA DE CALCULO'!F60</f>
        <v>3.47</v>
      </c>
      <c r="G35" s="108">
        <v>338.67</v>
      </c>
      <c r="H35" s="108">
        <v>57.19</v>
      </c>
      <c r="I35" s="114">
        <f t="shared" si="1"/>
        <v>1373.6342000000002</v>
      </c>
      <c r="J35" s="29"/>
    </row>
    <row r="36" spans="1:10" s="123" customFormat="1" x14ac:dyDescent="0.3">
      <c r="A36" s="134" t="s">
        <v>442</v>
      </c>
      <c r="B36" s="134" t="s">
        <v>198</v>
      </c>
      <c r="C36" s="131">
        <v>60802</v>
      </c>
      <c r="D36" s="126" t="s">
        <v>443</v>
      </c>
      <c r="E36" s="124" t="s">
        <v>8</v>
      </c>
      <c r="F36" s="125">
        <f>F35</f>
        <v>3.47</v>
      </c>
      <c r="G36" s="127">
        <v>0.09</v>
      </c>
      <c r="H36" s="127">
        <v>37.11</v>
      </c>
      <c r="I36" s="128">
        <f t="shared" si="1"/>
        <v>129.084</v>
      </c>
      <c r="J36" s="118"/>
    </row>
    <row r="37" spans="1:10" ht="27.6" x14ac:dyDescent="0.3">
      <c r="A37" s="134" t="s">
        <v>446</v>
      </c>
      <c r="B37" s="134" t="s">
        <v>198</v>
      </c>
      <c r="C37" s="131">
        <v>61101</v>
      </c>
      <c r="D37" s="8" t="s">
        <v>17</v>
      </c>
      <c r="E37" s="6" t="s">
        <v>2</v>
      </c>
      <c r="F37" s="7">
        <f>'MEMÓRIA DE CALCULO'!F62</f>
        <v>54</v>
      </c>
      <c r="G37" s="108">
        <v>94.49</v>
      </c>
      <c r="H37" s="108">
        <v>14.44</v>
      </c>
      <c r="I37" s="114">
        <f t="shared" si="1"/>
        <v>5882.2199999999993</v>
      </c>
      <c r="J37" s="29"/>
    </row>
    <row r="38" spans="1:10" x14ac:dyDescent="0.3">
      <c r="A38" s="348" t="s">
        <v>4</v>
      </c>
      <c r="B38" s="349"/>
      <c r="C38" s="349"/>
      <c r="D38" s="349"/>
      <c r="E38" s="349"/>
      <c r="F38" s="349"/>
      <c r="G38" s="349"/>
      <c r="H38" s="350"/>
      <c r="I38" s="116">
        <f>SUM(I30:I37)</f>
        <v>19194.167399999998</v>
      </c>
      <c r="J38" s="16">
        <f>I38*1.2388</f>
        <v>23777.734575119997</v>
      </c>
    </row>
    <row r="39" spans="1:10" x14ac:dyDescent="0.3">
      <c r="A39" s="386" t="s">
        <v>181</v>
      </c>
      <c r="B39" s="387"/>
      <c r="C39" s="387"/>
      <c r="D39" s="387"/>
      <c r="E39" s="387"/>
      <c r="F39" s="387"/>
      <c r="G39" s="387"/>
      <c r="H39" s="387"/>
      <c r="I39" s="387"/>
      <c r="J39" s="388"/>
    </row>
    <row r="40" spans="1:10" x14ac:dyDescent="0.3">
      <c r="A40" s="133">
        <v>6</v>
      </c>
      <c r="B40" s="134"/>
      <c r="C40" s="138">
        <v>70000</v>
      </c>
      <c r="D40" s="14" t="s">
        <v>18</v>
      </c>
      <c r="E40" s="6"/>
      <c r="F40" s="7"/>
      <c r="G40" s="106"/>
      <c r="H40" s="106"/>
      <c r="I40" s="117"/>
      <c r="J40" s="29"/>
    </row>
    <row r="41" spans="1:10" x14ac:dyDescent="0.3">
      <c r="A41" s="134" t="s">
        <v>271</v>
      </c>
      <c r="B41" s="134" t="s">
        <v>198</v>
      </c>
      <c r="C41" s="131">
        <v>70681</v>
      </c>
      <c r="D41" s="9" t="s">
        <v>19</v>
      </c>
      <c r="E41" s="6" t="s">
        <v>456</v>
      </c>
      <c r="F41" s="7">
        <f>'MEMÓRIA DE CALCULO'!F65</f>
        <v>6</v>
      </c>
      <c r="G41" s="108">
        <v>2.75</v>
      </c>
      <c r="H41" s="108">
        <v>3.85</v>
      </c>
      <c r="I41" s="114">
        <f>(H41+G41)*F41</f>
        <v>39.599999999999994</v>
      </c>
      <c r="J41" s="29"/>
    </row>
    <row r="42" spans="1:10" x14ac:dyDescent="0.3">
      <c r="A42" s="134" t="s">
        <v>272</v>
      </c>
      <c r="B42" s="134" t="s">
        <v>198</v>
      </c>
      <c r="C42" s="246">
        <v>70691</v>
      </c>
      <c r="D42" s="9" t="s">
        <v>21</v>
      </c>
      <c r="E42" s="6" t="s">
        <v>456</v>
      </c>
      <c r="F42" s="7">
        <f>'MEMÓRIA DE CALCULO'!F66</f>
        <v>16</v>
      </c>
      <c r="G42" s="108">
        <v>2.4900000000000002</v>
      </c>
      <c r="H42" s="108">
        <v>3.85</v>
      </c>
      <c r="I42" s="114">
        <f t="shared" ref="I42:I63" si="2">(H42+G42)*F42</f>
        <v>101.44</v>
      </c>
      <c r="J42" s="29"/>
    </row>
    <row r="43" spans="1:10" x14ac:dyDescent="0.3">
      <c r="A43" s="134" t="s">
        <v>273</v>
      </c>
      <c r="B43" s="134" t="s">
        <v>198</v>
      </c>
      <c r="C43" s="246">
        <v>71171</v>
      </c>
      <c r="D43" s="126" t="s">
        <v>653</v>
      </c>
      <c r="E43" s="6" t="s">
        <v>456</v>
      </c>
      <c r="F43" s="7">
        <f>'MEMÓRIA DE CALCULO'!F67</f>
        <v>4</v>
      </c>
      <c r="G43" s="108">
        <v>9.82</v>
      </c>
      <c r="H43" s="108">
        <v>7.68</v>
      </c>
      <c r="I43" s="114">
        <f t="shared" si="2"/>
        <v>70</v>
      </c>
      <c r="J43" s="29"/>
    </row>
    <row r="44" spans="1:10" x14ac:dyDescent="0.3">
      <c r="A44" s="134" t="s">
        <v>274</v>
      </c>
      <c r="B44" s="134" t="s">
        <v>198</v>
      </c>
      <c r="C44" s="246">
        <v>71172</v>
      </c>
      <c r="D44" s="9" t="s">
        <v>23</v>
      </c>
      <c r="E44" s="6" t="s">
        <v>456</v>
      </c>
      <c r="F44" s="7">
        <f>'MEMÓRIA DE CALCULO'!F68</f>
        <v>1</v>
      </c>
      <c r="G44" s="108">
        <v>14.56</v>
      </c>
      <c r="H44" s="108">
        <v>7.68</v>
      </c>
      <c r="I44" s="114">
        <f t="shared" si="2"/>
        <v>22.240000000000002</v>
      </c>
      <c r="J44" s="29"/>
    </row>
    <row r="45" spans="1:10" x14ac:dyDescent="0.3">
      <c r="A45" s="134" t="s">
        <v>275</v>
      </c>
      <c r="B45" s="134" t="s">
        <v>198</v>
      </c>
      <c r="C45" s="246">
        <v>71194</v>
      </c>
      <c r="D45" s="249" t="s">
        <v>24</v>
      </c>
      <c r="E45" s="6" t="s">
        <v>11</v>
      </c>
      <c r="F45" s="7">
        <f>'MEMÓRIA DE CALCULO'!F69</f>
        <v>100</v>
      </c>
      <c r="G45" s="108">
        <v>1.33</v>
      </c>
      <c r="H45" s="108">
        <v>4.3499999999999996</v>
      </c>
      <c r="I45" s="114">
        <f t="shared" si="2"/>
        <v>568</v>
      </c>
      <c r="J45" s="29"/>
    </row>
    <row r="46" spans="1:10" x14ac:dyDescent="0.3">
      <c r="A46" s="134" t="s">
        <v>276</v>
      </c>
      <c r="B46" s="134" t="s">
        <v>198</v>
      </c>
      <c r="C46" s="246">
        <v>71282</v>
      </c>
      <c r="D46" s="9" t="s">
        <v>26</v>
      </c>
      <c r="E46" s="6" t="s">
        <v>11</v>
      </c>
      <c r="F46" s="7">
        <f>'MEMÓRIA DE CALCULO'!F70</f>
        <v>3</v>
      </c>
      <c r="G46" s="108">
        <v>6.36</v>
      </c>
      <c r="H46" s="108">
        <v>1.67</v>
      </c>
      <c r="I46" s="114">
        <f t="shared" si="2"/>
        <v>24.090000000000003</v>
      </c>
      <c r="J46" s="29"/>
    </row>
    <row r="47" spans="1:10" x14ac:dyDescent="0.3">
      <c r="A47" s="134" t="s">
        <v>277</v>
      </c>
      <c r="B47" s="134" t="s">
        <v>198</v>
      </c>
      <c r="C47" s="246">
        <v>71290</v>
      </c>
      <c r="D47" s="9" t="s">
        <v>27</v>
      </c>
      <c r="E47" s="6" t="s">
        <v>11</v>
      </c>
      <c r="F47" s="7">
        <f>'MEMÓRIA DE CALCULO'!F71</f>
        <v>110</v>
      </c>
      <c r="G47" s="108">
        <v>1.54</v>
      </c>
      <c r="H47" s="108">
        <v>1.28</v>
      </c>
      <c r="I47" s="114">
        <f t="shared" si="2"/>
        <v>310.20000000000005</v>
      </c>
      <c r="J47" s="29"/>
    </row>
    <row r="48" spans="1:10" x14ac:dyDescent="0.3">
      <c r="A48" s="134" t="s">
        <v>278</v>
      </c>
      <c r="B48" s="134" t="s">
        <v>198</v>
      </c>
      <c r="C48" s="246">
        <v>71291</v>
      </c>
      <c r="D48" s="9" t="s">
        <v>28</v>
      </c>
      <c r="E48" s="6" t="s">
        <v>11</v>
      </c>
      <c r="F48" s="7">
        <f>'MEMÓRIA DE CALCULO'!F72</f>
        <v>145</v>
      </c>
      <c r="G48" s="108">
        <v>2.46</v>
      </c>
      <c r="H48" s="108">
        <v>1.41</v>
      </c>
      <c r="I48" s="114">
        <f t="shared" si="2"/>
        <v>561.15</v>
      </c>
      <c r="J48" s="29"/>
    </row>
    <row r="49" spans="1:10" x14ac:dyDescent="0.3">
      <c r="A49" s="134" t="s">
        <v>279</v>
      </c>
      <c r="B49" s="134" t="s">
        <v>198</v>
      </c>
      <c r="C49" s="246">
        <v>71292</v>
      </c>
      <c r="D49" s="9" t="s">
        <v>29</v>
      </c>
      <c r="E49" s="6" t="s">
        <v>11</v>
      </c>
      <c r="F49" s="7">
        <f>'MEMÓRIA DE CALCULO'!F73</f>
        <v>20</v>
      </c>
      <c r="G49" s="108">
        <v>4.21</v>
      </c>
      <c r="H49" s="108">
        <v>1.54</v>
      </c>
      <c r="I49" s="114">
        <f t="shared" si="2"/>
        <v>115</v>
      </c>
      <c r="J49" s="29"/>
    </row>
    <row r="50" spans="1:10" x14ac:dyDescent="0.3">
      <c r="A50" s="134" t="s">
        <v>280</v>
      </c>
      <c r="B50" s="134" t="s">
        <v>198</v>
      </c>
      <c r="C50" s="246">
        <v>71293</v>
      </c>
      <c r="D50" s="9" t="s">
        <v>30</v>
      </c>
      <c r="E50" s="6" t="s">
        <v>11</v>
      </c>
      <c r="F50" s="7">
        <f>'MEMÓRIA DE CALCULO'!F74</f>
        <v>20</v>
      </c>
      <c r="G50" s="108">
        <v>5.82</v>
      </c>
      <c r="H50" s="108">
        <v>1.67</v>
      </c>
      <c r="I50" s="114">
        <f t="shared" si="2"/>
        <v>149.80000000000001</v>
      </c>
      <c r="J50" s="29"/>
    </row>
    <row r="51" spans="1:10" x14ac:dyDescent="0.3">
      <c r="A51" s="134" t="s">
        <v>281</v>
      </c>
      <c r="B51" s="134" t="s">
        <v>198</v>
      </c>
      <c r="C51" s="246">
        <v>71294</v>
      </c>
      <c r="D51" s="9" t="s">
        <v>31</v>
      </c>
      <c r="E51" s="6" t="s">
        <v>11</v>
      </c>
      <c r="F51" s="7">
        <f>'MEMÓRIA DE CALCULO'!F75</f>
        <v>25</v>
      </c>
      <c r="G51" s="108">
        <v>9.52</v>
      </c>
      <c r="H51" s="108">
        <v>1.79</v>
      </c>
      <c r="I51" s="114">
        <f t="shared" si="2"/>
        <v>282.74999999999994</v>
      </c>
      <c r="J51" s="29"/>
    </row>
    <row r="52" spans="1:10" x14ac:dyDescent="0.3">
      <c r="A52" s="134" t="s">
        <v>282</v>
      </c>
      <c r="B52" s="134" t="s">
        <v>198</v>
      </c>
      <c r="C52" s="246">
        <v>71329</v>
      </c>
      <c r="D52" s="9" t="s">
        <v>32</v>
      </c>
      <c r="E52" s="6" t="s">
        <v>456</v>
      </c>
      <c r="F52" s="7">
        <f>'MEMÓRIA DE CALCULO'!F76</f>
        <v>2</v>
      </c>
      <c r="G52" s="108">
        <v>3.4</v>
      </c>
      <c r="H52" s="108">
        <v>2.56</v>
      </c>
      <c r="I52" s="114">
        <f t="shared" si="2"/>
        <v>11.92</v>
      </c>
      <c r="J52" s="29"/>
    </row>
    <row r="53" spans="1:10" x14ac:dyDescent="0.3">
      <c r="A53" s="134" t="s">
        <v>283</v>
      </c>
      <c r="B53" s="134" t="s">
        <v>198</v>
      </c>
      <c r="C53" s="246">
        <v>71380</v>
      </c>
      <c r="D53" s="9" t="s">
        <v>33</v>
      </c>
      <c r="E53" s="6" t="s">
        <v>456</v>
      </c>
      <c r="F53" s="7">
        <f>'MEMÓRIA DE CALCULO'!F77</f>
        <v>2</v>
      </c>
      <c r="G53" s="108">
        <v>34.630000000000003</v>
      </c>
      <c r="H53" s="108">
        <v>7.68</v>
      </c>
      <c r="I53" s="114">
        <f t="shared" si="2"/>
        <v>84.62</v>
      </c>
      <c r="J53" s="29"/>
    </row>
    <row r="54" spans="1:10" x14ac:dyDescent="0.3">
      <c r="A54" s="134" t="s">
        <v>284</v>
      </c>
      <c r="B54" s="134" t="s">
        <v>198</v>
      </c>
      <c r="C54" s="246">
        <v>71443</v>
      </c>
      <c r="D54" s="9" t="s">
        <v>34</v>
      </c>
      <c r="E54" s="6" t="s">
        <v>456</v>
      </c>
      <c r="F54" s="7">
        <f>'MEMÓRIA DE CALCULO'!F78</f>
        <v>4</v>
      </c>
      <c r="G54" s="108">
        <v>9.07</v>
      </c>
      <c r="H54" s="108">
        <v>9.48</v>
      </c>
      <c r="I54" s="114">
        <f t="shared" si="2"/>
        <v>74.2</v>
      </c>
      <c r="J54" s="29"/>
    </row>
    <row r="55" spans="1:10" x14ac:dyDescent="0.3">
      <c r="A55" s="134" t="s">
        <v>285</v>
      </c>
      <c r="B55" s="134" t="s">
        <v>198</v>
      </c>
      <c r="C55" s="246">
        <v>71577</v>
      </c>
      <c r="D55" s="9" t="s">
        <v>35</v>
      </c>
      <c r="E55" s="6" t="s">
        <v>456</v>
      </c>
      <c r="F55" s="7">
        <f>'MEMÓRIA DE CALCULO'!F79</f>
        <v>14</v>
      </c>
      <c r="G55" s="108">
        <v>14.25</v>
      </c>
      <c r="H55" s="108">
        <v>2.0499999999999998</v>
      </c>
      <c r="I55" s="114">
        <f t="shared" si="2"/>
        <v>228.20000000000002</v>
      </c>
      <c r="J55" s="29"/>
    </row>
    <row r="56" spans="1:10" x14ac:dyDescent="0.3">
      <c r="A56" s="134" t="s">
        <v>286</v>
      </c>
      <c r="B56" s="134" t="s">
        <v>198</v>
      </c>
      <c r="C56" s="246">
        <v>71644</v>
      </c>
      <c r="D56" s="249" t="s">
        <v>36</v>
      </c>
      <c r="E56" s="6" t="s">
        <v>456</v>
      </c>
      <c r="F56" s="7">
        <f>'MEMÓRIA DE CALCULO'!F85</f>
        <v>6</v>
      </c>
      <c r="G56" s="108">
        <v>100.25</v>
      </c>
      <c r="H56" s="108">
        <v>8.26</v>
      </c>
      <c r="I56" s="114">
        <f t="shared" si="2"/>
        <v>651.06000000000006</v>
      </c>
      <c r="J56" s="29"/>
    </row>
    <row r="57" spans="1:10" x14ac:dyDescent="0.3">
      <c r="A57" s="134" t="s">
        <v>287</v>
      </c>
      <c r="B57" s="134" t="s">
        <v>198</v>
      </c>
      <c r="C57" s="270">
        <v>71801</v>
      </c>
      <c r="D57" s="126" t="s">
        <v>37</v>
      </c>
      <c r="E57" s="124" t="s">
        <v>456</v>
      </c>
      <c r="F57" s="125">
        <f>'MEMÓRIA DE CALCULO'!F86</f>
        <v>1</v>
      </c>
      <c r="G57" s="127">
        <v>476.22</v>
      </c>
      <c r="H57" s="127">
        <v>58.65</v>
      </c>
      <c r="I57" s="127">
        <f t="shared" si="2"/>
        <v>534.87</v>
      </c>
      <c r="J57" s="29"/>
    </row>
    <row r="58" spans="1:10" x14ac:dyDescent="0.3">
      <c r="A58" s="134" t="s">
        <v>288</v>
      </c>
      <c r="B58" s="134" t="s">
        <v>198</v>
      </c>
      <c r="C58" s="270">
        <v>72170</v>
      </c>
      <c r="D58" s="126" t="s">
        <v>182</v>
      </c>
      <c r="E58" s="124" t="s">
        <v>456</v>
      </c>
      <c r="F58" s="125">
        <f>'MEMÓRIA DE CALCULO'!F87</f>
        <v>1</v>
      </c>
      <c r="G58" s="127">
        <v>84.62</v>
      </c>
      <c r="H58" s="127">
        <v>38.42</v>
      </c>
      <c r="I58" s="127">
        <f t="shared" si="2"/>
        <v>123.04</v>
      </c>
      <c r="J58" s="29"/>
    </row>
    <row r="59" spans="1:10" x14ac:dyDescent="0.3">
      <c r="A59" s="134" t="s">
        <v>289</v>
      </c>
      <c r="B59" s="134" t="s">
        <v>198</v>
      </c>
      <c r="C59" s="270">
        <v>72578</v>
      </c>
      <c r="D59" s="126" t="s">
        <v>38</v>
      </c>
      <c r="E59" s="124" t="s">
        <v>456</v>
      </c>
      <c r="F59" s="125">
        <f>'MEMÓRIA DE CALCULO'!F88</f>
        <v>8</v>
      </c>
      <c r="G59" s="127">
        <v>5.45</v>
      </c>
      <c r="H59" s="203">
        <v>7.43</v>
      </c>
      <c r="I59" s="127">
        <f t="shared" si="2"/>
        <v>103.03999999999999</v>
      </c>
      <c r="J59" s="29"/>
    </row>
    <row r="60" spans="1:10" s="123" customFormat="1" x14ac:dyDescent="0.3">
      <c r="A60" s="134" t="s">
        <v>633</v>
      </c>
      <c r="B60" s="134" t="s">
        <v>198</v>
      </c>
      <c r="C60" s="102">
        <v>71615</v>
      </c>
      <c r="D60" s="126" t="s">
        <v>634</v>
      </c>
      <c r="E60" s="124" t="s">
        <v>456</v>
      </c>
      <c r="F60" s="125">
        <f>'MEMÓRIA DE CALCULO'!F92</f>
        <v>2</v>
      </c>
      <c r="G60" s="127">
        <v>135.66999999999999</v>
      </c>
      <c r="H60" s="203">
        <v>8.26</v>
      </c>
      <c r="I60" s="127">
        <f t="shared" si="2"/>
        <v>287.85999999999996</v>
      </c>
      <c r="J60" s="118"/>
    </row>
    <row r="61" spans="1:10" s="123" customFormat="1" x14ac:dyDescent="0.3">
      <c r="A61" s="134" t="s">
        <v>655</v>
      </c>
      <c r="B61" s="134" t="s">
        <v>198</v>
      </c>
      <c r="C61" s="102">
        <v>71440</v>
      </c>
      <c r="D61" s="126" t="s">
        <v>654</v>
      </c>
      <c r="E61" s="124" t="s">
        <v>456</v>
      </c>
      <c r="F61" s="125">
        <f>'MEMÓRIA DE CALCULO'!F93</f>
        <v>4</v>
      </c>
      <c r="G61" s="127">
        <v>4.18</v>
      </c>
      <c r="H61" s="203">
        <v>5.37</v>
      </c>
      <c r="I61" s="127">
        <f t="shared" si="2"/>
        <v>38.200000000000003</v>
      </c>
      <c r="J61" s="118"/>
    </row>
    <row r="62" spans="1:10" s="123" customFormat="1" x14ac:dyDescent="0.3">
      <c r="A62" s="134" t="s">
        <v>725</v>
      </c>
      <c r="B62" s="134" t="s">
        <v>198</v>
      </c>
      <c r="C62" s="102">
        <v>71451</v>
      </c>
      <c r="D62" s="126" t="s">
        <v>727</v>
      </c>
      <c r="E62" s="124" t="s">
        <v>456</v>
      </c>
      <c r="F62" s="125">
        <f>'MEMÓRIA DE CALCULO'!F94</f>
        <v>1</v>
      </c>
      <c r="G62" s="127">
        <v>153.9</v>
      </c>
      <c r="H62" s="203">
        <v>15.36</v>
      </c>
      <c r="I62" s="127">
        <f t="shared" si="2"/>
        <v>169.26</v>
      </c>
      <c r="J62" s="118"/>
    </row>
    <row r="63" spans="1:10" s="123" customFormat="1" x14ac:dyDescent="0.3">
      <c r="A63" s="134" t="s">
        <v>726</v>
      </c>
      <c r="B63" s="134" t="s">
        <v>198</v>
      </c>
      <c r="C63" s="102">
        <v>71184</v>
      </c>
      <c r="D63" s="126" t="s">
        <v>728</v>
      </c>
      <c r="E63" s="124" t="s">
        <v>456</v>
      </c>
      <c r="F63" s="125">
        <f>'MEMÓRIA DE CALCULO'!F95</f>
        <v>1</v>
      </c>
      <c r="G63" s="127">
        <v>113.04</v>
      </c>
      <c r="H63" s="203">
        <v>25.61</v>
      </c>
      <c r="I63" s="127">
        <f t="shared" si="2"/>
        <v>138.65</v>
      </c>
      <c r="J63" s="118"/>
    </row>
    <row r="64" spans="1:10" x14ac:dyDescent="0.3">
      <c r="A64" s="348" t="s">
        <v>4</v>
      </c>
      <c r="B64" s="349"/>
      <c r="C64" s="349"/>
      <c r="D64" s="349"/>
      <c r="E64" s="349"/>
      <c r="F64" s="349"/>
      <c r="G64" s="349"/>
      <c r="H64" s="350"/>
      <c r="I64" s="116">
        <f>SUM(I41:I63)</f>
        <v>4689.1899999999987</v>
      </c>
      <c r="J64" s="16">
        <f>I64*1.2388</f>
        <v>5808.9685719999979</v>
      </c>
    </row>
    <row r="65" spans="1:10" x14ac:dyDescent="0.3">
      <c r="A65" s="386" t="s">
        <v>183</v>
      </c>
      <c r="B65" s="387"/>
      <c r="C65" s="387"/>
      <c r="D65" s="387"/>
      <c r="E65" s="387"/>
      <c r="F65" s="387"/>
      <c r="G65" s="387"/>
      <c r="H65" s="387"/>
      <c r="I65" s="387"/>
      <c r="J65" s="388"/>
    </row>
    <row r="66" spans="1:10" x14ac:dyDescent="0.3">
      <c r="A66" s="133">
        <v>7</v>
      </c>
      <c r="B66" s="134"/>
      <c r="C66" s="138">
        <v>80000</v>
      </c>
      <c r="D66" s="14" t="s">
        <v>39</v>
      </c>
      <c r="E66" s="6" t="s">
        <v>40</v>
      </c>
      <c r="F66" s="7"/>
      <c r="G66" s="106"/>
      <c r="H66" s="106"/>
      <c r="I66" s="117"/>
      <c r="J66" s="29"/>
    </row>
    <row r="67" spans="1:10" s="76" customFormat="1" x14ac:dyDescent="0.3">
      <c r="A67" s="188" t="s">
        <v>321</v>
      </c>
      <c r="B67" s="188" t="s">
        <v>198</v>
      </c>
      <c r="C67" s="246">
        <v>80500</v>
      </c>
      <c r="D67" s="251" t="s">
        <v>41</v>
      </c>
      <c r="E67" s="60"/>
      <c r="F67" s="145"/>
      <c r="G67" s="150"/>
      <c r="H67" s="150"/>
      <c r="I67" s="250"/>
      <c r="J67" s="192"/>
    </row>
    <row r="68" spans="1:10" s="76" customFormat="1" x14ac:dyDescent="0.3">
      <c r="A68" s="188" t="s">
        <v>290</v>
      </c>
      <c r="B68" s="188" t="s">
        <v>198</v>
      </c>
      <c r="C68" s="246">
        <v>80501</v>
      </c>
      <c r="D68" s="251" t="s">
        <v>42</v>
      </c>
      <c r="E68" s="60"/>
      <c r="F68" s="145"/>
      <c r="G68" s="150"/>
      <c r="H68" s="150"/>
      <c r="I68" s="250"/>
      <c r="J68" s="192"/>
    </row>
    <row r="69" spans="1:10" s="76" customFormat="1" x14ac:dyDescent="0.3">
      <c r="A69" s="188" t="s">
        <v>291</v>
      </c>
      <c r="B69" s="188" t="s">
        <v>198</v>
      </c>
      <c r="C69" s="246">
        <v>80504</v>
      </c>
      <c r="D69" s="249" t="s">
        <v>43</v>
      </c>
      <c r="E69" s="60" t="s">
        <v>456</v>
      </c>
      <c r="F69" s="145">
        <f>'MEMÓRIA DE CALCULO'!F100</f>
        <v>1</v>
      </c>
      <c r="G69" s="156">
        <v>431.6</v>
      </c>
      <c r="H69" s="156">
        <v>61.47</v>
      </c>
      <c r="I69" s="191">
        <f>(H69+G69)*F69</f>
        <v>493.07000000000005</v>
      </c>
      <c r="J69" s="192"/>
    </row>
    <row r="70" spans="1:10" s="76" customFormat="1" x14ac:dyDescent="0.3">
      <c r="A70" s="188" t="s">
        <v>292</v>
      </c>
      <c r="B70" s="188" t="s">
        <v>198</v>
      </c>
      <c r="C70" s="246">
        <v>80510</v>
      </c>
      <c r="D70" s="249" t="s">
        <v>255</v>
      </c>
      <c r="E70" s="60" t="s">
        <v>456</v>
      </c>
      <c r="F70" s="145">
        <f>'MEMÓRIA DE CALCULO'!F101</f>
        <v>1</v>
      </c>
      <c r="G70" s="156">
        <v>9</v>
      </c>
      <c r="H70" s="156">
        <v>3.85</v>
      </c>
      <c r="I70" s="191">
        <f>(H70+G70)*F70</f>
        <v>12.85</v>
      </c>
      <c r="J70" s="192"/>
    </row>
    <row r="71" spans="1:10" s="76" customFormat="1" x14ac:dyDescent="0.3">
      <c r="A71" s="188" t="s">
        <v>293</v>
      </c>
      <c r="B71" s="188" t="s">
        <v>198</v>
      </c>
      <c r="C71" s="246">
        <v>80520</v>
      </c>
      <c r="D71" s="249" t="s">
        <v>44</v>
      </c>
      <c r="E71" s="60" t="s">
        <v>45</v>
      </c>
      <c r="F71" s="145">
        <f>'MEMÓRIA DE CALCULO'!F102</f>
        <v>2</v>
      </c>
      <c r="G71" s="156">
        <v>3.04</v>
      </c>
      <c r="H71" s="156">
        <v>5.12</v>
      </c>
      <c r="I71" s="191">
        <f t="shared" ref="I71:I152" si="3">(H71+G71)*F71</f>
        <v>16.32</v>
      </c>
      <c r="J71" s="192"/>
    </row>
    <row r="72" spans="1:10" s="76" customFormat="1" x14ac:dyDescent="0.3">
      <c r="A72" s="188" t="s">
        <v>294</v>
      </c>
      <c r="B72" s="188" t="s">
        <v>198</v>
      </c>
      <c r="C72" s="60">
        <v>80526</v>
      </c>
      <c r="D72" s="249" t="s">
        <v>46</v>
      </c>
      <c r="E72" s="60" t="s">
        <v>456</v>
      </c>
      <c r="F72" s="145">
        <f>'MEMÓRIA DE CALCULO'!F103</f>
        <v>1</v>
      </c>
      <c r="G72" s="156">
        <v>107.95</v>
      </c>
      <c r="H72" s="156">
        <v>3.85</v>
      </c>
      <c r="I72" s="191">
        <f t="shared" si="3"/>
        <v>111.8</v>
      </c>
      <c r="J72" s="192"/>
    </row>
    <row r="73" spans="1:10" s="76" customFormat="1" x14ac:dyDescent="0.3">
      <c r="A73" s="188" t="s">
        <v>295</v>
      </c>
      <c r="B73" s="188" t="s">
        <v>198</v>
      </c>
      <c r="C73" s="60">
        <v>80532</v>
      </c>
      <c r="D73" s="249" t="s">
        <v>47</v>
      </c>
      <c r="E73" s="60" t="s">
        <v>456</v>
      </c>
      <c r="F73" s="145">
        <f>'MEMÓRIA DE CALCULO'!F104</f>
        <v>1</v>
      </c>
      <c r="G73" s="156">
        <v>21.48</v>
      </c>
      <c r="H73" s="156">
        <v>8.9600000000000009</v>
      </c>
      <c r="I73" s="191">
        <f t="shared" si="3"/>
        <v>30.44</v>
      </c>
      <c r="J73" s="192"/>
    </row>
    <row r="74" spans="1:10" s="76" customFormat="1" x14ac:dyDescent="0.3">
      <c r="A74" s="188" t="s">
        <v>296</v>
      </c>
      <c r="B74" s="188" t="s">
        <v>198</v>
      </c>
      <c r="C74" s="246">
        <v>80540</v>
      </c>
      <c r="D74" s="251" t="s">
        <v>48</v>
      </c>
      <c r="E74" s="60"/>
      <c r="F74" s="145"/>
      <c r="G74" s="156"/>
      <c r="H74" s="156"/>
      <c r="I74" s="191"/>
      <c r="J74" s="192"/>
    </row>
    <row r="75" spans="1:10" s="76" customFormat="1" x14ac:dyDescent="0.3">
      <c r="A75" s="188" t="s">
        <v>297</v>
      </c>
      <c r="B75" s="188" t="s">
        <v>198</v>
      </c>
      <c r="C75" s="246">
        <v>80541</v>
      </c>
      <c r="D75" s="249" t="s">
        <v>393</v>
      </c>
      <c r="E75" s="60" t="s">
        <v>456</v>
      </c>
      <c r="F75" s="145">
        <f>'MEMÓRIA DE CALCULO'!F106</f>
        <v>1</v>
      </c>
      <c r="G75" s="156">
        <v>142.19999999999999</v>
      </c>
      <c r="H75" s="156">
        <v>44.56</v>
      </c>
      <c r="I75" s="191">
        <f t="shared" si="3"/>
        <v>186.76</v>
      </c>
      <c r="J75" s="192"/>
    </row>
    <row r="76" spans="1:10" s="76" customFormat="1" x14ac:dyDescent="0.3">
      <c r="A76" s="188" t="s">
        <v>298</v>
      </c>
      <c r="B76" s="188" t="s">
        <v>198</v>
      </c>
      <c r="C76" s="246">
        <v>80550</v>
      </c>
      <c r="D76" s="249" t="s">
        <v>49</v>
      </c>
      <c r="E76" s="60" t="s">
        <v>50</v>
      </c>
      <c r="F76" s="145">
        <f>'MEMÓRIA DE CALCULO'!F107</f>
        <v>1</v>
      </c>
      <c r="G76" s="156">
        <v>3.27</v>
      </c>
      <c r="H76" s="156">
        <v>3.85</v>
      </c>
      <c r="I76" s="191">
        <f t="shared" si="3"/>
        <v>7.12</v>
      </c>
      <c r="J76" s="192"/>
    </row>
    <row r="77" spans="1:10" s="76" customFormat="1" x14ac:dyDescent="0.3">
      <c r="A77" s="188" t="s">
        <v>299</v>
      </c>
      <c r="B77" s="188" t="s">
        <v>198</v>
      </c>
      <c r="C77" s="246">
        <v>80556</v>
      </c>
      <c r="D77" s="249" t="s">
        <v>51</v>
      </c>
      <c r="E77" s="60" t="s">
        <v>456</v>
      </c>
      <c r="F77" s="145">
        <f>'MEMÓRIA DE CALCULO'!F108</f>
        <v>2</v>
      </c>
      <c r="G77" s="156">
        <v>2.79</v>
      </c>
      <c r="H77" s="156">
        <v>6.4</v>
      </c>
      <c r="I77" s="191">
        <f t="shared" si="3"/>
        <v>18.380000000000003</v>
      </c>
      <c r="J77" s="192"/>
    </row>
    <row r="78" spans="1:10" s="76" customFormat="1" x14ac:dyDescent="0.3">
      <c r="A78" s="188" t="s">
        <v>300</v>
      </c>
      <c r="B78" s="188" t="s">
        <v>198</v>
      </c>
      <c r="C78" s="246">
        <v>80562</v>
      </c>
      <c r="D78" s="249" t="s">
        <v>52</v>
      </c>
      <c r="E78" s="60" t="s">
        <v>456</v>
      </c>
      <c r="F78" s="145">
        <f>'MEMÓRIA DE CALCULO'!F111</f>
        <v>1</v>
      </c>
      <c r="G78" s="156">
        <v>9.58</v>
      </c>
      <c r="H78" s="156">
        <v>9.2200000000000006</v>
      </c>
      <c r="I78" s="191">
        <f t="shared" si="3"/>
        <v>18.8</v>
      </c>
      <c r="J78" s="192"/>
    </row>
    <row r="79" spans="1:10" s="76" customFormat="1" x14ac:dyDescent="0.3">
      <c r="A79" s="188" t="s">
        <v>301</v>
      </c>
      <c r="B79" s="188" t="s">
        <v>198</v>
      </c>
      <c r="C79" s="60">
        <v>80570</v>
      </c>
      <c r="D79" s="249" t="s">
        <v>53</v>
      </c>
      <c r="E79" s="60" t="s">
        <v>456</v>
      </c>
      <c r="F79" s="145">
        <f>'MEMÓRIA DE CALCULO'!F112</f>
        <v>1</v>
      </c>
      <c r="G79" s="156">
        <v>46.77</v>
      </c>
      <c r="H79" s="156">
        <v>5.12</v>
      </c>
      <c r="I79" s="191">
        <f t="shared" si="3"/>
        <v>51.89</v>
      </c>
      <c r="J79" s="192"/>
    </row>
    <row r="80" spans="1:10" s="76" customFormat="1" x14ac:dyDescent="0.3">
      <c r="A80" s="188" t="s">
        <v>302</v>
      </c>
      <c r="B80" s="188" t="s">
        <v>198</v>
      </c>
      <c r="C80" s="60">
        <v>80580</v>
      </c>
      <c r="D80" s="249" t="s">
        <v>54</v>
      </c>
      <c r="E80" s="60" t="s">
        <v>456</v>
      </c>
      <c r="F80" s="145">
        <f>'MEMÓRIA DE CALCULO'!F113</f>
        <v>1</v>
      </c>
      <c r="G80" s="156">
        <v>33.14</v>
      </c>
      <c r="H80" s="156">
        <v>3.85</v>
      </c>
      <c r="I80" s="191">
        <f t="shared" si="3"/>
        <v>36.99</v>
      </c>
      <c r="J80" s="192"/>
    </row>
    <row r="81" spans="1:10" s="76" customFormat="1" x14ac:dyDescent="0.3">
      <c r="A81" s="188" t="s">
        <v>303</v>
      </c>
      <c r="B81" s="188" t="s">
        <v>198</v>
      </c>
      <c r="C81" s="246">
        <v>80650</v>
      </c>
      <c r="D81" s="251" t="s">
        <v>55</v>
      </c>
      <c r="E81" s="60"/>
      <c r="F81" s="145"/>
      <c r="G81" s="156"/>
      <c r="H81" s="156"/>
      <c r="I81" s="191"/>
      <c r="J81" s="192"/>
    </row>
    <row r="82" spans="1:10" s="76" customFormat="1" x14ac:dyDescent="0.3">
      <c r="A82" s="188" t="s">
        <v>304</v>
      </c>
      <c r="B82" s="188" t="s">
        <v>198</v>
      </c>
      <c r="C82" s="246">
        <v>80651</v>
      </c>
      <c r="D82" s="249" t="s">
        <v>56</v>
      </c>
      <c r="E82" s="60" t="s">
        <v>456</v>
      </c>
      <c r="F82" s="145">
        <f>'MEMÓRIA DE CALCULO'!F115</f>
        <v>1</v>
      </c>
      <c r="G82" s="156">
        <v>161.94999999999999</v>
      </c>
      <c r="H82" s="156">
        <v>61.47</v>
      </c>
      <c r="I82" s="191">
        <f t="shared" si="3"/>
        <v>223.42</v>
      </c>
      <c r="J82" s="192"/>
    </row>
    <row r="83" spans="1:10" s="76" customFormat="1" x14ac:dyDescent="0.3">
      <c r="A83" s="188" t="s">
        <v>305</v>
      </c>
      <c r="B83" s="188" t="s">
        <v>198</v>
      </c>
      <c r="C83" s="60">
        <v>80660</v>
      </c>
      <c r="D83" s="249" t="s">
        <v>450</v>
      </c>
      <c r="E83" s="60" t="s">
        <v>456</v>
      </c>
      <c r="F83" s="145">
        <f>'MEMÓRIA DE CALCULO'!F116</f>
        <v>1</v>
      </c>
      <c r="G83" s="156">
        <v>89.94</v>
      </c>
      <c r="H83" s="156">
        <v>5.12</v>
      </c>
      <c r="I83" s="191">
        <f t="shared" si="3"/>
        <v>95.06</v>
      </c>
      <c r="J83" s="192"/>
    </row>
    <row r="84" spans="1:10" s="76" customFormat="1" x14ac:dyDescent="0.3">
      <c r="A84" s="188" t="s">
        <v>306</v>
      </c>
      <c r="B84" s="188" t="s">
        <v>198</v>
      </c>
      <c r="C84" s="246">
        <v>80671</v>
      </c>
      <c r="D84" s="249" t="s">
        <v>58</v>
      </c>
      <c r="E84" s="60" t="s">
        <v>456</v>
      </c>
      <c r="F84" s="145">
        <f>'MEMÓRIA DE CALCULO'!F118</f>
        <v>2</v>
      </c>
      <c r="G84" s="253">
        <v>9.57</v>
      </c>
      <c r="H84" s="156">
        <v>9.2200000000000006</v>
      </c>
      <c r="I84" s="191">
        <f t="shared" si="3"/>
        <v>37.58</v>
      </c>
      <c r="J84" s="192"/>
    </row>
    <row r="85" spans="1:10" s="76" customFormat="1" x14ac:dyDescent="0.3">
      <c r="A85" s="188" t="s">
        <v>307</v>
      </c>
      <c r="B85" s="188" t="s">
        <v>198</v>
      </c>
      <c r="C85" s="60">
        <v>80580</v>
      </c>
      <c r="D85" s="249" t="s">
        <v>54</v>
      </c>
      <c r="E85" s="60" t="s">
        <v>456</v>
      </c>
      <c r="F85" s="145">
        <f>'MEMÓRIA DE CALCULO'!F118</f>
        <v>2</v>
      </c>
      <c r="G85" s="253">
        <v>33.14</v>
      </c>
      <c r="H85" s="156">
        <v>3.85</v>
      </c>
      <c r="I85" s="191">
        <f t="shared" si="3"/>
        <v>73.98</v>
      </c>
      <c r="J85" s="192"/>
    </row>
    <row r="86" spans="1:10" s="76" customFormat="1" x14ac:dyDescent="0.3">
      <c r="A86" s="188" t="s">
        <v>308</v>
      </c>
      <c r="B86" s="188" t="s">
        <v>198</v>
      </c>
      <c r="C86" s="246">
        <v>80720</v>
      </c>
      <c r="D86" s="251" t="s">
        <v>59</v>
      </c>
      <c r="E86" s="60"/>
      <c r="F86" s="145"/>
      <c r="G86" s="156"/>
      <c r="H86" s="156"/>
      <c r="I86" s="191"/>
      <c r="J86" s="192"/>
    </row>
    <row r="87" spans="1:10" s="76" customFormat="1" x14ac:dyDescent="0.3">
      <c r="A87" s="188" t="s">
        <v>309</v>
      </c>
      <c r="B87" s="188" t="s">
        <v>198</v>
      </c>
      <c r="C87" s="60">
        <v>80721</v>
      </c>
      <c r="D87" s="249" t="s">
        <v>568</v>
      </c>
      <c r="E87" s="60" t="s">
        <v>456</v>
      </c>
      <c r="F87" s="145">
        <f>'MEMÓRIA DE CALCULO'!F120</f>
        <v>1</v>
      </c>
      <c r="G87" s="156">
        <v>73.48</v>
      </c>
      <c r="H87" s="156">
        <v>12.81</v>
      </c>
      <c r="I87" s="191">
        <f t="shared" si="3"/>
        <v>86.29</v>
      </c>
      <c r="J87" s="192"/>
    </row>
    <row r="88" spans="1:10" s="76" customFormat="1" x14ac:dyDescent="0.3">
      <c r="A88" s="188" t="s">
        <v>310</v>
      </c>
      <c r="B88" s="188" t="s">
        <v>198</v>
      </c>
      <c r="C88" s="60">
        <v>80733</v>
      </c>
      <c r="D88" s="249" t="s">
        <v>256</v>
      </c>
      <c r="E88" s="60" t="s">
        <v>456</v>
      </c>
      <c r="F88" s="145">
        <v>1</v>
      </c>
      <c r="G88" s="156">
        <v>24.2</v>
      </c>
      <c r="H88" s="156">
        <v>8.9600000000000009</v>
      </c>
      <c r="I88" s="191">
        <f t="shared" si="3"/>
        <v>33.159999999999997</v>
      </c>
      <c r="J88" s="192"/>
    </row>
    <row r="89" spans="1:10" s="76" customFormat="1" x14ac:dyDescent="0.3">
      <c r="A89" s="188" t="s">
        <v>311</v>
      </c>
      <c r="B89" s="188" t="s">
        <v>198</v>
      </c>
      <c r="C89" s="60">
        <v>80741</v>
      </c>
      <c r="D89" s="249" t="s">
        <v>451</v>
      </c>
      <c r="E89" s="60" t="s">
        <v>456</v>
      </c>
      <c r="F89" s="145">
        <v>1</v>
      </c>
      <c r="G89" s="156">
        <v>20.95</v>
      </c>
      <c r="H89" s="156">
        <v>6.4</v>
      </c>
      <c r="I89" s="191">
        <f t="shared" si="3"/>
        <v>27.35</v>
      </c>
      <c r="J89" s="192"/>
    </row>
    <row r="90" spans="1:10" s="76" customFormat="1" x14ac:dyDescent="0.3">
      <c r="A90" s="188" t="s">
        <v>312</v>
      </c>
      <c r="B90" s="188" t="s">
        <v>198</v>
      </c>
      <c r="C90" s="246">
        <v>80800</v>
      </c>
      <c r="D90" s="251" t="s">
        <v>63</v>
      </c>
      <c r="E90" s="60"/>
      <c r="F90" s="145"/>
      <c r="G90" s="156"/>
      <c r="H90" s="156"/>
      <c r="I90" s="191"/>
      <c r="J90" s="192"/>
    </row>
    <row r="91" spans="1:10" s="76" customFormat="1" x14ac:dyDescent="0.3">
      <c r="A91" s="188" t="s">
        <v>313</v>
      </c>
      <c r="B91" s="188" t="s">
        <v>198</v>
      </c>
      <c r="C91" s="246">
        <v>80801</v>
      </c>
      <c r="D91" s="249" t="s">
        <v>452</v>
      </c>
      <c r="E91" s="60" t="s">
        <v>456</v>
      </c>
      <c r="F91" s="145">
        <f>'MEMÓRIA DE CALCULO'!F124</f>
        <v>1</v>
      </c>
      <c r="G91" s="156">
        <v>237.95</v>
      </c>
      <c r="H91" s="156">
        <v>25.61</v>
      </c>
      <c r="I91" s="191">
        <f t="shared" si="3"/>
        <v>263.56</v>
      </c>
      <c r="J91" s="192"/>
    </row>
    <row r="92" spans="1:10" s="76" customFormat="1" x14ac:dyDescent="0.3">
      <c r="A92" s="188" t="s">
        <v>314</v>
      </c>
      <c r="B92" s="188" t="s">
        <v>198</v>
      </c>
      <c r="C92" s="246">
        <v>80810</v>
      </c>
      <c r="D92" s="249" t="s">
        <v>453</v>
      </c>
      <c r="E92" s="267" t="s">
        <v>572</v>
      </c>
      <c r="F92" s="145">
        <f>'MEMÓRIA DE CALCULO'!F125</f>
        <v>1</v>
      </c>
      <c r="G92" s="156">
        <v>48.04</v>
      </c>
      <c r="H92" s="156">
        <v>5.12</v>
      </c>
      <c r="I92" s="191">
        <f t="shared" si="3"/>
        <v>53.16</v>
      </c>
      <c r="J92" s="192"/>
    </row>
    <row r="93" spans="1:10" s="76" customFormat="1" x14ac:dyDescent="0.3">
      <c r="A93" s="188" t="s">
        <v>315</v>
      </c>
      <c r="B93" s="188" t="s">
        <v>198</v>
      </c>
      <c r="C93" s="246">
        <v>80820</v>
      </c>
      <c r="D93" s="249" t="s">
        <v>66</v>
      </c>
      <c r="E93" s="60" t="s">
        <v>456</v>
      </c>
      <c r="F93" s="145">
        <f>'MEMÓRIA DE CALCULO'!F126</f>
        <v>1</v>
      </c>
      <c r="G93" s="253">
        <v>10.3</v>
      </c>
      <c r="H93" s="156">
        <v>9.2200000000000006</v>
      </c>
      <c r="I93" s="191">
        <f t="shared" si="3"/>
        <v>19.520000000000003</v>
      </c>
      <c r="J93" s="192"/>
    </row>
    <row r="94" spans="1:10" s="76" customFormat="1" x14ac:dyDescent="0.3">
      <c r="A94" s="188" t="s">
        <v>316</v>
      </c>
      <c r="B94" s="188" t="s">
        <v>198</v>
      </c>
      <c r="C94" s="60">
        <v>80830</v>
      </c>
      <c r="D94" s="249" t="s">
        <v>67</v>
      </c>
      <c r="E94" s="60" t="s">
        <v>456</v>
      </c>
      <c r="F94" s="145">
        <f>'MEMÓRIA DE CALCULO'!F127</f>
        <v>1</v>
      </c>
      <c r="G94" s="156">
        <v>19.53</v>
      </c>
      <c r="H94" s="156">
        <v>3.85</v>
      </c>
      <c r="I94" s="191">
        <f t="shared" si="3"/>
        <v>23.380000000000003</v>
      </c>
      <c r="J94" s="192"/>
    </row>
    <row r="95" spans="1:10" s="76" customFormat="1" x14ac:dyDescent="0.3">
      <c r="A95" s="188" t="s">
        <v>317</v>
      </c>
      <c r="B95" s="188" t="s">
        <v>198</v>
      </c>
      <c r="C95" s="246">
        <v>80900</v>
      </c>
      <c r="D95" s="251" t="s">
        <v>68</v>
      </c>
      <c r="E95" s="60"/>
      <c r="F95" s="145"/>
      <c r="G95" s="156"/>
      <c r="H95" s="156"/>
      <c r="I95" s="191"/>
      <c r="J95" s="192"/>
    </row>
    <row r="96" spans="1:10" s="76" customFormat="1" x14ac:dyDescent="0.3">
      <c r="A96" s="188" t="s">
        <v>318</v>
      </c>
      <c r="B96" s="188" t="s">
        <v>198</v>
      </c>
      <c r="C96" s="246">
        <v>80902</v>
      </c>
      <c r="D96" s="249" t="s">
        <v>69</v>
      </c>
      <c r="E96" s="60" t="s">
        <v>456</v>
      </c>
      <c r="F96" s="145">
        <v>3</v>
      </c>
      <c r="G96" s="156">
        <v>25.44</v>
      </c>
      <c r="H96" s="156">
        <v>13.83</v>
      </c>
      <c r="I96" s="191">
        <f t="shared" si="3"/>
        <v>117.81</v>
      </c>
      <c r="J96" s="192"/>
    </row>
    <row r="97" spans="1:10" s="76" customFormat="1" x14ac:dyDescent="0.3">
      <c r="A97" s="188" t="s">
        <v>319</v>
      </c>
      <c r="B97" s="188" t="s">
        <v>198</v>
      </c>
      <c r="C97" s="246">
        <v>80904</v>
      </c>
      <c r="D97" s="249" t="s">
        <v>581</v>
      </c>
      <c r="E97" s="60" t="s">
        <v>456</v>
      </c>
      <c r="F97" s="145">
        <f>'MEMÓRIA DE CALCULO'!F131</f>
        <v>1</v>
      </c>
      <c r="G97" s="156">
        <v>54.54</v>
      </c>
      <c r="H97" s="156">
        <v>21.76</v>
      </c>
      <c r="I97" s="191">
        <f t="shared" si="3"/>
        <v>76.3</v>
      </c>
      <c r="J97" s="192"/>
    </row>
    <row r="98" spans="1:10" s="76" customFormat="1" x14ac:dyDescent="0.3">
      <c r="A98" s="188" t="s">
        <v>320</v>
      </c>
      <c r="B98" s="188" t="s">
        <v>198</v>
      </c>
      <c r="C98" s="246">
        <v>80946</v>
      </c>
      <c r="D98" s="249" t="s">
        <v>70</v>
      </c>
      <c r="E98" s="60" t="s">
        <v>456</v>
      </c>
      <c r="F98" s="145">
        <v>1</v>
      </c>
      <c r="G98" s="156">
        <v>58.1</v>
      </c>
      <c r="H98" s="156">
        <v>15.62</v>
      </c>
      <c r="I98" s="191">
        <f t="shared" si="3"/>
        <v>73.72</v>
      </c>
      <c r="J98" s="192"/>
    </row>
    <row r="99" spans="1:10" s="76" customFormat="1" x14ac:dyDescent="0.3">
      <c r="A99" s="188" t="s">
        <v>455</v>
      </c>
      <c r="B99" s="188" t="s">
        <v>198</v>
      </c>
      <c r="C99" s="246">
        <v>80977</v>
      </c>
      <c r="D99" s="249" t="s">
        <v>454</v>
      </c>
      <c r="E99" s="60" t="s">
        <v>456</v>
      </c>
      <c r="F99" s="145">
        <f>'MEMÓRIA DE CALCULO'!F133</f>
        <v>2</v>
      </c>
      <c r="G99" s="145">
        <v>56.02</v>
      </c>
      <c r="H99" s="156">
        <v>13.83</v>
      </c>
      <c r="I99" s="191">
        <f t="shared" si="3"/>
        <v>139.70000000000002</v>
      </c>
      <c r="J99" s="192"/>
    </row>
    <row r="100" spans="1:10" s="76" customFormat="1" x14ac:dyDescent="0.3">
      <c r="A100" s="188" t="s">
        <v>489</v>
      </c>
      <c r="B100" s="188" t="s">
        <v>198</v>
      </c>
      <c r="C100" s="246">
        <v>80975</v>
      </c>
      <c r="D100" s="249" t="s">
        <v>488</v>
      </c>
      <c r="E100" s="60" t="s">
        <v>456</v>
      </c>
      <c r="F100" s="145">
        <f>'MEMÓRIA DE CALCULO'!F134</f>
        <v>2</v>
      </c>
      <c r="G100" s="145">
        <v>35.89</v>
      </c>
      <c r="H100" s="156">
        <v>13.83</v>
      </c>
      <c r="I100" s="191">
        <f t="shared" si="3"/>
        <v>99.44</v>
      </c>
      <c r="J100" s="192"/>
    </row>
    <row r="101" spans="1:10" s="76" customFormat="1" x14ac:dyDescent="0.3">
      <c r="A101" s="188" t="s">
        <v>322</v>
      </c>
      <c r="B101" s="188" t="s">
        <v>198</v>
      </c>
      <c r="C101" s="246">
        <v>81000</v>
      </c>
      <c r="D101" s="269" t="s">
        <v>71</v>
      </c>
      <c r="E101" s="60"/>
      <c r="F101" s="145"/>
      <c r="G101" s="156"/>
      <c r="H101" s="156"/>
      <c r="I101" s="191"/>
      <c r="J101" s="192"/>
    </row>
    <row r="102" spans="1:10" s="76" customFormat="1" x14ac:dyDescent="0.3">
      <c r="A102" s="188" t="s">
        <v>323</v>
      </c>
      <c r="B102" s="188" t="s">
        <v>198</v>
      </c>
      <c r="C102" s="246">
        <v>81001</v>
      </c>
      <c r="D102" s="251" t="s">
        <v>72</v>
      </c>
      <c r="E102" s="60"/>
      <c r="F102" s="145"/>
      <c r="G102" s="156"/>
      <c r="H102" s="156"/>
      <c r="I102" s="191"/>
      <c r="J102" s="192"/>
    </row>
    <row r="103" spans="1:10" s="76" customFormat="1" x14ac:dyDescent="0.3">
      <c r="A103" s="188" t="s">
        <v>324</v>
      </c>
      <c r="B103" s="188" t="s">
        <v>198</v>
      </c>
      <c r="C103" s="246">
        <v>81003</v>
      </c>
      <c r="D103" s="249" t="s">
        <v>73</v>
      </c>
      <c r="E103" s="60" t="s">
        <v>11</v>
      </c>
      <c r="F103" s="145">
        <f>'MEMÓRIA DE CALCULO'!F137</f>
        <v>15</v>
      </c>
      <c r="G103" s="253">
        <v>4.8099999999999996</v>
      </c>
      <c r="H103" s="156">
        <v>3.08</v>
      </c>
      <c r="I103" s="191">
        <f t="shared" si="3"/>
        <v>118.35</v>
      </c>
      <c r="J103" s="192"/>
    </row>
    <row r="104" spans="1:10" s="76" customFormat="1" x14ac:dyDescent="0.3">
      <c r="A104" s="188" t="s">
        <v>325</v>
      </c>
      <c r="B104" s="188" t="s">
        <v>198</v>
      </c>
      <c r="C104" s="246">
        <v>81004</v>
      </c>
      <c r="D104" s="249" t="s">
        <v>459</v>
      </c>
      <c r="E104" s="60" t="s">
        <v>11</v>
      </c>
      <c r="F104" s="145">
        <f>'MEMÓRIA DE CALCULO'!F138</f>
        <v>15</v>
      </c>
      <c r="G104" s="145">
        <v>10.8</v>
      </c>
      <c r="H104" s="156">
        <v>3.3</v>
      </c>
      <c r="I104" s="191">
        <f t="shared" si="3"/>
        <v>211.50000000000003</v>
      </c>
      <c r="J104" s="192"/>
    </row>
    <row r="105" spans="1:10" s="76" customFormat="1" x14ac:dyDescent="0.3">
      <c r="A105" s="188" t="s">
        <v>457</v>
      </c>
      <c r="B105" s="188" t="s">
        <v>198</v>
      </c>
      <c r="C105" s="246">
        <v>81005</v>
      </c>
      <c r="D105" s="249" t="s">
        <v>460</v>
      </c>
      <c r="E105" s="60" t="s">
        <v>11</v>
      </c>
      <c r="F105" s="145">
        <f>'MEMÓRIA DE CALCULO'!F139</f>
        <v>9</v>
      </c>
      <c r="G105" s="156">
        <v>15.72</v>
      </c>
      <c r="H105" s="156">
        <v>5.07</v>
      </c>
      <c r="I105" s="191">
        <f t="shared" si="3"/>
        <v>187.10999999999999</v>
      </c>
      <c r="J105" s="192"/>
    </row>
    <row r="106" spans="1:10" s="76" customFormat="1" x14ac:dyDescent="0.3">
      <c r="A106" s="188" t="s">
        <v>458</v>
      </c>
      <c r="B106" s="188" t="s">
        <v>198</v>
      </c>
      <c r="C106" s="246">
        <v>81002</v>
      </c>
      <c r="D106" s="249" t="s">
        <v>481</v>
      </c>
      <c r="E106" s="60" t="s">
        <v>11</v>
      </c>
      <c r="F106" s="145">
        <f>'MEMÓRIA DE CALCULO'!F140</f>
        <v>18</v>
      </c>
      <c r="G106" s="156">
        <v>3.76</v>
      </c>
      <c r="H106" s="156">
        <v>2.2799999999999998</v>
      </c>
      <c r="I106" s="191">
        <f t="shared" si="3"/>
        <v>108.71999999999998</v>
      </c>
      <c r="J106" s="192"/>
    </row>
    <row r="107" spans="1:10" s="76" customFormat="1" x14ac:dyDescent="0.3">
      <c r="A107" s="188" t="s">
        <v>326</v>
      </c>
      <c r="B107" s="188" t="s">
        <v>198</v>
      </c>
      <c r="C107" s="246">
        <v>81040</v>
      </c>
      <c r="D107" s="251" t="s">
        <v>482</v>
      </c>
      <c r="E107" s="60"/>
      <c r="F107" s="145"/>
      <c r="G107" s="156"/>
      <c r="H107" s="156"/>
      <c r="I107" s="191"/>
      <c r="J107" s="192"/>
    </row>
    <row r="108" spans="1:10" s="76" customFormat="1" x14ac:dyDescent="0.3">
      <c r="A108" s="188" t="s">
        <v>327</v>
      </c>
      <c r="B108" s="188" t="s">
        <v>198</v>
      </c>
      <c r="C108" s="246">
        <v>81041</v>
      </c>
      <c r="D108" s="249" t="s">
        <v>580</v>
      </c>
      <c r="E108" s="60" t="s">
        <v>456</v>
      </c>
      <c r="F108" s="145">
        <f>'MEMÓRIA DE CALCULO'!F142</f>
        <v>1</v>
      </c>
      <c r="G108" s="156">
        <v>22.84</v>
      </c>
      <c r="H108" s="156">
        <v>2.31</v>
      </c>
      <c r="I108" s="191">
        <f>(H108+G108)*F108</f>
        <v>25.15</v>
      </c>
      <c r="J108" s="192"/>
    </row>
    <row r="109" spans="1:10" s="76" customFormat="1" x14ac:dyDescent="0.3">
      <c r="A109" s="188" t="s">
        <v>461</v>
      </c>
      <c r="B109" s="188" t="s">
        <v>198</v>
      </c>
      <c r="C109" s="246">
        <v>81056</v>
      </c>
      <c r="D109" s="249" t="s">
        <v>463</v>
      </c>
      <c r="E109" s="60" t="s">
        <v>456</v>
      </c>
      <c r="F109" s="145">
        <f>'MEMÓRIA DE CALCULO'!F143</f>
        <v>2</v>
      </c>
      <c r="G109" s="156">
        <v>24.56</v>
      </c>
      <c r="H109" s="156">
        <v>2.31</v>
      </c>
      <c r="I109" s="191">
        <f t="shared" si="3"/>
        <v>53.739999999999995</v>
      </c>
      <c r="J109" s="192"/>
    </row>
    <row r="110" spans="1:10" s="76" customFormat="1" x14ac:dyDescent="0.3">
      <c r="A110" s="188" t="s">
        <v>462</v>
      </c>
      <c r="B110" s="188" t="s">
        <v>198</v>
      </c>
      <c r="C110" s="246">
        <v>81057</v>
      </c>
      <c r="D110" s="249" t="s">
        <v>464</v>
      </c>
      <c r="E110" s="60" t="s">
        <v>456</v>
      </c>
      <c r="F110" s="145">
        <f>'MEMÓRIA DE CALCULO'!F144</f>
        <v>2</v>
      </c>
      <c r="G110" s="156">
        <v>45.68</v>
      </c>
      <c r="H110" s="156">
        <v>3.59</v>
      </c>
      <c r="I110" s="191">
        <f t="shared" si="3"/>
        <v>98.539999999999992</v>
      </c>
      <c r="J110" s="192"/>
    </row>
    <row r="111" spans="1:10" s="76" customFormat="1" x14ac:dyDescent="0.3">
      <c r="A111" s="188" t="s">
        <v>491</v>
      </c>
      <c r="B111" s="188" t="str">
        <f>'MEMÓRIA DE CALCULO'!B145</f>
        <v>AGETOP</v>
      </c>
      <c r="C111" s="188">
        <f>'MEMÓRIA DE CALCULO'!C145</f>
        <v>81066</v>
      </c>
      <c r="D111" s="249" t="str">
        <f>'MEMÓRIA DE CALCULO'!D145</f>
        <v>ADAPTAD.SOLD.CURTO C/BOLSA E ROSCA P/REG.25X3/4"</v>
      </c>
      <c r="E111" s="60" t="s">
        <v>456</v>
      </c>
      <c r="F111" s="145">
        <f>'MEMÓRIA DE CALCULO'!F145</f>
        <v>7</v>
      </c>
      <c r="G111" s="156">
        <v>1.26</v>
      </c>
      <c r="H111" s="156">
        <v>2.31</v>
      </c>
      <c r="I111" s="191">
        <f t="shared" si="3"/>
        <v>24.990000000000002</v>
      </c>
      <c r="J111" s="192"/>
    </row>
    <row r="112" spans="1:10" s="76" customFormat="1" x14ac:dyDescent="0.3">
      <c r="A112" s="188" t="s">
        <v>462</v>
      </c>
      <c r="B112" s="188" t="s">
        <v>198</v>
      </c>
      <c r="C112" s="246">
        <v>81065</v>
      </c>
      <c r="D112" s="249" t="s">
        <v>480</v>
      </c>
      <c r="E112" s="60" t="s">
        <v>456</v>
      </c>
      <c r="F112" s="145">
        <f>'MEMÓRIA DE CALCULO'!F146</f>
        <v>1</v>
      </c>
      <c r="G112" s="156">
        <v>1.02</v>
      </c>
      <c r="H112" s="156">
        <v>2.31</v>
      </c>
      <c r="I112" s="191">
        <f t="shared" si="3"/>
        <v>3.33</v>
      </c>
      <c r="J112" s="192"/>
    </row>
    <row r="113" spans="1:10" s="76" customFormat="1" x14ac:dyDescent="0.3">
      <c r="A113" s="188" t="s">
        <v>491</v>
      </c>
      <c r="B113" s="188" t="s">
        <v>198</v>
      </c>
      <c r="C113" s="246">
        <v>81068</v>
      </c>
      <c r="D113" s="249" t="s">
        <v>490</v>
      </c>
      <c r="E113" s="60" t="s">
        <v>456</v>
      </c>
      <c r="F113" s="145">
        <f>'MEMÓRIA DE CALCULO'!F147</f>
        <v>2</v>
      </c>
      <c r="G113" s="156">
        <v>4.66</v>
      </c>
      <c r="H113" s="156">
        <v>3.59</v>
      </c>
      <c r="I113" s="191">
        <f t="shared" si="3"/>
        <v>16.5</v>
      </c>
      <c r="J113" s="192"/>
    </row>
    <row r="114" spans="1:10" s="76" customFormat="1" x14ac:dyDescent="0.3">
      <c r="A114" s="188" t="s">
        <v>328</v>
      </c>
      <c r="B114" s="188" t="s">
        <v>198</v>
      </c>
      <c r="C114" s="246">
        <v>81300</v>
      </c>
      <c r="D114" s="251" t="s">
        <v>75</v>
      </c>
      <c r="E114" s="60"/>
      <c r="F114" s="145"/>
      <c r="G114" s="156"/>
      <c r="H114" s="156"/>
      <c r="I114" s="191"/>
      <c r="J114" s="192"/>
    </row>
    <row r="115" spans="1:10" s="76" customFormat="1" x14ac:dyDescent="0.3">
      <c r="A115" s="188" t="s">
        <v>329</v>
      </c>
      <c r="B115" s="188" t="s">
        <v>198</v>
      </c>
      <c r="C115" s="246">
        <v>81321</v>
      </c>
      <c r="D115" s="249" t="s">
        <v>76</v>
      </c>
      <c r="E115" s="60" t="s">
        <v>456</v>
      </c>
      <c r="F115" s="145">
        <f>'MEMÓRIA DE CALCULO'!F149</f>
        <v>6</v>
      </c>
      <c r="G115" s="156">
        <v>0.93</v>
      </c>
      <c r="H115" s="156">
        <v>4.6100000000000003</v>
      </c>
      <c r="I115" s="191">
        <f t="shared" si="3"/>
        <v>33.24</v>
      </c>
      <c r="J115" s="192"/>
    </row>
    <row r="116" spans="1:10" s="76" customFormat="1" x14ac:dyDescent="0.3">
      <c r="A116" s="188" t="s">
        <v>330</v>
      </c>
      <c r="B116" s="188" t="s">
        <v>198</v>
      </c>
      <c r="C116" s="246">
        <v>81322</v>
      </c>
      <c r="D116" s="249" t="s">
        <v>465</v>
      </c>
      <c r="E116" s="60" t="s">
        <v>456</v>
      </c>
      <c r="F116" s="145">
        <f>'MEMÓRIA DE CALCULO'!F150</f>
        <v>9</v>
      </c>
      <c r="G116" s="156">
        <v>2.8</v>
      </c>
      <c r="H116" s="156">
        <v>4.6100000000000003</v>
      </c>
      <c r="I116" s="191">
        <f t="shared" si="3"/>
        <v>66.69</v>
      </c>
      <c r="J116" s="192"/>
    </row>
    <row r="117" spans="1:10" s="76" customFormat="1" x14ac:dyDescent="0.3">
      <c r="A117" s="188" t="s">
        <v>331</v>
      </c>
      <c r="B117" s="188" t="s">
        <v>198</v>
      </c>
      <c r="C117" s="246">
        <v>81320</v>
      </c>
      <c r="D117" s="249" t="str">
        <f>'MEMÓRIA DE CALCULO'!D151</f>
        <v>JOELHO 90 GRAUS SOLDAVEL DIAMETRO 20 MM</v>
      </c>
      <c r="E117" s="60" t="s">
        <v>456</v>
      </c>
      <c r="F117" s="145">
        <f>'MEMÓRIA DE CALCULO'!F151</f>
        <v>5</v>
      </c>
      <c r="G117" s="156">
        <v>0.67</v>
      </c>
      <c r="H117" s="156">
        <v>4.6100000000000003</v>
      </c>
      <c r="I117" s="191">
        <f t="shared" si="3"/>
        <v>26.400000000000002</v>
      </c>
      <c r="J117" s="192"/>
    </row>
    <row r="118" spans="1:10" s="76" customFormat="1" x14ac:dyDescent="0.3">
      <c r="A118" s="188" t="s">
        <v>416</v>
      </c>
      <c r="B118" s="188" t="s">
        <v>198</v>
      </c>
      <c r="C118" s="246">
        <v>81369</v>
      </c>
      <c r="D118" s="249" t="s">
        <v>77</v>
      </c>
      <c r="E118" s="60" t="s">
        <v>456</v>
      </c>
      <c r="F118" s="145">
        <f>'MEMÓRIA DE CALCULO'!F152</f>
        <v>4</v>
      </c>
      <c r="G118" s="156">
        <v>9.43</v>
      </c>
      <c r="H118" s="156">
        <v>2.92</v>
      </c>
      <c r="I118" s="191">
        <f t="shared" si="3"/>
        <v>49.4</v>
      </c>
      <c r="J118" s="192"/>
    </row>
    <row r="119" spans="1:10" s="76" customFormat="1" x14ac:dyDescent="0.3">
      <c r="A119" s="188" t="s">
        <v>466</v>
      </c>
      <c r="B119" s="188" t="s">
        <v>198</v>
      </c>
      <c r="C119" s="246">
        <v>81360</v>
      </c>
      <c r="D119" s="249" t="s">
        <v>468</v>
      </c>
      <c r="E119" s="60" t="s">
        <v>456</v>
      </c>
      <c r="F119" s="145">
        <f>'MEMÓRIA DE CALCULO'!F153</f>
        <v>1</v>
      </c>
      <c r="G119" s="156">
        <v>7.94</v>
      </c>
      <c r="H119" s="156">
        <v>2.92</v>
      </c>
      <c r="I119" s="191">
        <f t="shared" si="3"/>
        <v>10.86</v>
      </c>
      <c r="J119" s="192"/>
    </row>
    <row r="120" spans="1:10" s="76" customFormat="1" x14ac:dyDescent="0.3">
      <c r="A120" s="188" t="s">
        <v>470</v>
      </c>
      <c r="B120" s="188" t="s">
        <v>198</v>
      </c>
      <c r="C120" s="246">
        <v>81340</v>
      </c>
      <c r="D120" s="249" t="s">
        <v>469</v>
      </c>
      <c r="E120" s="60" t="s">
        <v>456</v>
      </c>
      <c r="F120" s="145">
        <f>'MEMÓRIA DE CALCULO'!F154</f>
        <v>2</v>
      </c>
      <c r="G120" s="156">
        <v>5.0199999999999996</v>
      </c>
      <c r="H120" s="156">
        <v>4.6100000000000003</v>
      </c>
      <c r="I120" s="191">
        <f t="shared" si="3"/>
        <v>19.259999999999998</v>
      </c>
      <c r="J120" s="192"/>
    </row>
    <row r="121" spans="1:10" s="76" customFormat="1" x14ac:dyDescent="0.3">
      <c r="A121" s="188" t="s">
        <v>472</v>
      </c>
      <c r="B121" s="188" t="s">
        <v>198</v>
      </c>
      <c r="C121" s="246">
        <v>81323</v>
      </c>
      <c r="D121" s="249" t="s">
        <v>471</v>
      </c>
      <c r="E121" s="60" t="s">
        <v>456</v>
      </c>
      <c r="F121" s="145">
        <f>'MEMÓRIA DE CALCULO'!F155</f>
        <v>5</v>
      </c>
      <c r="G121" s="156">
        <v>6.64</v>
      </c>
      <c r="H121" s="156">
        <v>7.17</v>
      </c>
      <c r="I121" s="191">
        <f t="shared" si="3"/>
        <v>69.05</v>
      </c>
      <c r="J121" s="192"/>
    </row>
    <row r="122" spans="1:10" s="76" customFormat="1" x14ac:dyDescent="0.3">
      <c r="A122" s="188" t="s">
        <v>478</v>
      </c>
      <c r="B122" s="188" t="s">
        <v>198</v>
      </c>
      <c r="C122" s="246">
        <v>81361</v>
      </c>
      <c r="D122" s="249" t="s">
        <v>477</v>
      </c>
      <c r="E122" s="60" t="s">
        <v>456</v>
      </c>
      <c r="F122" s="145">
        <f>'MEMÓRIA DE CALCULO'!F156</f>
        <v>1</v>
      </c>
      <c r="G122" s="156">
        <v>2.61</v>
      </c>
      <c r="H122" s="156">
        <v>5.12</v>
      </c>
      <c r="I122" s="191">
        <f t="shared" si="3"/>
        <v>7.73</v>
      </c>
      <c r="J122" s="192"/>
    </row>
    <row r="123" spans="1:10" s="76" customFormat="1" x14ac:dyDescent="0.3">
      <c r="A123" s="188" t="s">
        <v>487</v>
      </c>
      <c r="B123" s="188" t="s">
        <v>198</v>
      </c>
      <c r="C123" s="246">
        <v>81350</v>
      </c>
      <c r="D123" s="249" t="s">
        <v>486</v>
      </c>
      <c r="E123" s="60" t="s">
        <v>456</v>
      </c>
      <c r="F123" s="145">
        <f>'MEMÓRIA DE CALCULO'!F157</f>
        <v>1</v>
      </c>
      <c r="G123" s="156">
        <v>2.64</v>
      </c>
      <c r="H123" s="156">
        <v>5.12</v>
      </c>
      <c r="I123" s="191">
        <f t="shared" si="3"/>
        <v>7.76</v>
      </c>
      <c r="J123" s="192"/>
    </row>
    <row r="124" spans="1:10" s="76" customFormat="1" x14ac:dyDescent="0.3">
      <c r="A124" s="188" t="s">
        <v>332</v>
      </c>
      <c r="B124" s="188" t="s">
        <v>198</v>
      </c>
      <c r="C124" s="246">
        <v>81400</v>
      </c>
      <c r="D124" s="251" t="s">
        <v>78</v>
      </c>
      <c r="E124" s="60"/>
      <c r="F124" s="145"/>
      <c r="G124" s="156"/>
      <c r="H124" s="156"/>
      <c r="I124" s="191"/>
      <c r="J124" s="192"/>
    </row>
    <row r="125" spans="1:10" s="76" customFormat="1" x14ac:dyDescent="0.3">
      <c r="A125" s="188" t="s">
        <v>333</v>
      </c>
      <c r="B125" s="188" t="s">
        <v>198</v>
      </c>
      <c r="C125" s="246">
        <v>81402</v>
      </c>
      <c r="D125" s="249" t="s">
        <v>79</v>
      </c>
      <c r="E125" s="60" t="s">
        <v>456</v>
      </c>
      <c r="F125" s="145">
        <f>'MEMÓRIA DE CALCULO'!F159</f>
        <v>3</v>
      </c>
      <c r="G125" s="253">
        <v>1.58</v>
      </c>
      <c r="H125" s="156">
        <v>4.8600000000000003</v>
      </c>
      <c r="I125" s="191">
        <f t="shared" si="3"/>
        <v>19.32</v>
      </c>
      <c r="J125" s="192"/>
    </row>
    <row r="126" spans="1:10" s="76" customFormat="1" x14ac:dyDescent="0.3">
      <c r="A126" s="188" t="s">
        <v>475</v>
      </c>
      <c r="B126" s="188" t="s">
        <v>198</v>
      </c>
      <c r="C126" s="246">
        <v>81403</v>
      </c>
      <c r="D126" s="249" t="s">
        <v>473</v>
      </c>
      <c r="E126" s="60" t="s">
        <v>456</v>
      </c>
      <c r="F126" s="145">
        <f>'MEMÓRIA DE CALCULO'!F160</f>
        <v>1</v>
      </c>
      <c r="G126" s="253">
        <v>5.29</v>
      </c>
      <c r="H126" s="156">
        <v>4.8600000000000003</v>
      </c>
      <c r="I126" s="191">
        <f t="shared" si="3"/>
        <v>10.15</v>
      </c>
      <c r="J126" s="192"/>
    </row>
    <row r="127" spans="1:10" s="76" customFormat="1" x14ac:dyDescent="0.3">
      <c r="A127" s="188" t="s">
        <v>476</v>
      </c>
      <c r="B127" s="188" t="s">
        <v>198</v>
      </c>
      <c r="C127" s="246">
        <v>81404</v>
      </c>
      <c r="D127" s="249" t="s">
        <v>474</v>
      </c>
      <c r="E127" s="60" t="s">
        <v>456</v>
      </c>
      <c r="F127" s="145">
        <f>'MEMÓRIA DE CALCULO'!F161</f>
        <v>1</v>
      </c>
      <c r="G127" s="253">
        <v>11.58</v>
      </c>
      <c r="H127" s="156">
        <v>7.68</v>
      </c>
      <c r="I127" s="191">
        <f t="shared" si="3"/>
        <v>19.259999999999998</v>
      </c>
      <c r="J127" s="192"/>
    </row>
    <row r="128" spans="1:10" s="76" customFormat="1" x14ac:dyDescent="0.3">
      <c r="A128" s="188" t="s">
        <v>335</v>
      </c>
      <c r="B128" s="188" t="s">
        <v>198</v>
      </c>
      <c r="C128" s="246">
        <v>81460</v>
      </c>
      <c r="D128" s="251" t="s">
        <v>484</v>
      </c>
      <c r="E128" s="60"/>
      <c r="F128" s="145"/>
      <c r="G128" s="253"/>
      <c r="H128" s="156"/>
      <c r="I128" s="191"/>
      <c r="J128" s="192"/>
    </row>
    <row r="129" spans="1:10" s="76" customFormat="1" x14ac:dyDescent="0.3">
      <c r="A129" s="188" t="s">
        <v>336</v>
      </c>
      <c r="B129" s="188" t="s">
        <v>198</v>
      </c>
      <c r="C129" s="246">
        <v>81461</v>
      </c>
      <c r="D129" s="249" t="s">
        <v>483</v>
      </c>
      <c r="E129" s="60" t="s">
        <v>456</v>
      </c>
      <c r="F129" s="145">
        <f>'MEMÓRIA DE CALCULO'!F163</f>
        <v>1</v>
      </c>
      <c r="G129" s="253">
        <v>9.52</v>
      </c>
      <c r="H129" s="156">
        <v>2.31</v>
      </c>
      <c r="I129" s="191">
        <f t="shared" si="3"/>
        <v>11.83</v>
      </c>
      <c r="J129" s="192"/>
    </row>
    <row r="130" spans="1:10" x14ac:dyDescent="0.3">
      <c r="A130" s="134" t="s">
        <v>334</v>
      </c>
      <c r="B130" s="134" t="s">
        <v>198</v>
      </c>
      <c r="C130" s="131">
        <v>81600</v>
      </c>
      <c r="D130" s="14" t="s">
        <v>80</v>
      </c>
      <c r="E130" s="6"/>
      <c r="F130" s="7"/>
      <c r="G130" s="108"/>
      <c r="H130" s="108"/>
      <c r="I130" s="114"/>
      <c r="J130" s="29"/>
    </row>
    <row r="131" spans="1:10" x14ac:dyDescent="0.3">
      <c r="A131" s="134" t="s">
        <v>337</v>
      </c>
      <c r="B131" s="134" t="s">
        <v>198</v>
      </c>
      <c r="C131" s="131">
        <v>81660</v>
      </c>
      <c r="D131" s="14" t="s">
        <v>81</v>
      </c>
      <c r="E131" s="6"/>
      <c r="F131" s="7"/>
      <c r="G131" s="108"/>
      <c r="H131" s="108"/>
      <c r="I131" s="114"/>
      <c r="J131" s="29"/>
    </row>
    <row r="132" spans="1:10" x14ac:dyDescent="0.3">
      <c r="A132" s="134" t="s">
        <v>338</v>
      </c>
      <c r="B132" s="134" t="s">
        <v>198</v>
      </c>
      <c r="C132" s="131">
        <v>81663</v>
      </c>
      <c r="D132" s="9" t="s">
        <v>492</v>
      </c>
      <c r="E132" s="6" t="s">
        <v>456</v>
      </c>
      <c r="F132" s="7">
        <f>'MEMÓRIA DE CALCULO'!F166</f>
        <v>2</v>
      </c>
      <c r="G132" s="108">
        <v>26.12</v>
      </c>
      <c r="H132" s="108">
        <v>5.63</v>
      </c>
      <c r="I132" s="114">
        <f t="shared" si="3"/>
        <v>63.5</v>
      </c>
      <c r="J132" s="29"/>
    </row>
    <row r="133" spans="1:10" x14ac:dyDescent="0.3">
      <c r="A133" s="134" t="s">
        <v>339</v>
      </c>
      <c r="B133" s="134" t="s">
        <v>198</v>
      </c>
      <c r="C133" s="131">
        <v>81750</v>
      </c>
      <c r="D133" s="14" t="s">
        <v>83</v>
      </c>
      <c r="E133" s="6"/>
      <c r="F133" s="7"/>
      <c r="G133" s="108"/>
      <c r="H133" s="108"/>
      <c r="I133" s="114"/>
      <c r="J133" s="29"/>
    </row>
    <row r="134" spans="1:10" x14ac:dyDescent="0.3">
      <c r="A134" s="134" t="s">
        <v>340</v>
      </c>
      <c r="B134" s="134" t="s">
        <v>198</v>
      </c>
      <c r="C134" s="131">
        <v>81771</v>
      </c>
      <c r="D134" s="9" t="s">
        <v>493</v>
      </c>
      <c r="E134" s="6" t="s">
        <v>456</v>
      </c>
      <c r="F134" s="7">
        <f>'MEMÓRIA DE CALCULO'!F168</f>
        <v>2</v>
      </c>
      <c r="G134" s="108">
        <v>4.24</v>
      </c>
      <c r="H134" s="108">
        <v>2.0499999999999998</v>
      </c>
      <c r="I134" s="114">
        <f t="shared" si="3"/>
        <v>12.58</v>
      </c>
      <c r="J134" s="29"/>
    </row>
    <row r="135" spans="1:10" x14ac:dyDescent="0.3">
      <c r="A135" s="134" t="s">
        <v>341</v>
      </c>
      <c r="B135" s="134" t="s">
        <v>198</v>
      </c>
      <c r="C135" s="246">
        <v>81810</v>
      </c>
      <c r="D135" s="14" t="s">
        <v>85</v>
      </c>
      <c r="E135" s="6"/>
      <c r="F135" s="7"/>
      <c r="G135" s="108"/>
      <c r="H135" s="108"/>
      <c r="I135" s="128"/>
      <c r="J135" s="29"/>
    </row>
    <row r="136" spans="1:10" s="76" customFormat="1" x14ac:dyDescent="0.3">
      <c r="A136" s="188" t="s">
        <v>342</v>
      </c>
      <c r="B136" s="188" t="s">
        <v>198</v>
      </c>
      <c r="C136" s="246">
        <v>81860</v>
      </c>
      <c r="D136" s="249" t="s">
        <v>89</v>
      </c>
      <c r="E136" s="60" t="s">
        <v>456</v>
      </c>
      <c r="F136" s="145">
        <f>'MEMÓRIA DE CALCULO'!F170</f>
        <v>1</v>
      </c>
      <c r="G136" s="156">
        <v>200.98</v>
      </c>
      <c r="H136" s="156">
        <v>76.83</v>
      </c>
      <c r="I136" s="191">
        <f t="shared" si="3"/>
        <v>277.81</v>
      </c>
      <c r="J136" s="192"/>
    </row>
    <row r="137" spans="1:10" x14ac:dyDescent="0.3">
      <c r="A137" s="134" t="s">
        <v>343</v>
      </c>
      <c r="B137" s="134" t="s">
        <v>198</v>
      </c>
      <c r="C137" s="131">
        <v>81815</v>
      </c>
      <c r="D137" s="9" t="s">
        <v>86</v>
      </c>
      <c r="E137" s="6" t="s">
        <v>456</v>
      </c>
      <c r="F137" s="7">
        <f>'MEMÓRIA DE CALCULO'!F171</f>
        <v>1</v>
      </c>
      <c r="G137" s="108">
        <v>174.64</v>
      </c>
      <c r="H137" s="108">
        <v>90.93</v>
      </c>
      <c r="I137" s="114">
        <f t="shared" si="3"/>
        <v>265.57</v>
      </c>
      <c r="J137" s="29"/>
    </row>
    <row r="138" spans="1:10" ht="27.6" x14ac:dyDescent="0.3">
      <c r="A138" s="134" t="s">
        <v>344</v>
      </c>
      <c r="B138" s="134" t="s">
        <v>198</v>
      </c>
      <c r="C138" s="131">
        <v>81846</v>
      </c>
      <c r="D138" s="10" t="s">
        <v>87</v>
      </c>
      <c r="E138" s="6" t="s">
        <v>456</v>
      </c>
      <c r="F138" s="7">
        <f>'MEMÓRIA DE CALCULO'!F172</f>
        <v>1</v>
      </c>
      <c r="G138" s="110">
        <v>295.48</v>
      </c>
      <c r="H138" s="108">
        <v>22.53</v>
      </c>
      <c r="I138" s="114">
        <f t="shared" si="3"/>
        <v>318.01</v>
      </c>
      <c r="J138" s="29"/>
    </row>
    <row r="139" spans="1:10" x14ac:dyDescent="0.3">
      <c r="A139" s="134" t="s">
        <v>345</v>
      </c>
      <c r="B139" s="134" t="s">
        <v>198</v>
      </c>
      <c r="C139" s="131">
        <v>81885</v>
      </c>
      <c r="D139" s="9" t="s">
        <v>88</v>
      </c>
      <c r="E139" s="6" t="s">
        <v>456</v>
      </c>
      <c r="F139" s="7">
        <f>'MEMÓRIA DE CALCULO'!F173</f>
        <v>1</v>
      </c>
      <c r="G139" s="108">
        <v>7.16</v>
      </c>
      <c r="H139" s="108">
        <v>1.79</v>
      </c>
      <c r="I139" s="114">
        <f t="shared" si="3"/>
        <v>8.9499999999999993</v>
      </c>
      <c r="J139" s="29"/>
    </row>
    <row r="140" spans="1:10" x14ac:dyDescent="0.3">
      <c r="A140" s="134" t="s">
        <v>614</v>
      </c>
      <c r="B140" s="134" t="s">
        <v>198</v>
      </c>
      <c r="C140" s="131">
        <v>81888</v>
      </c>
      <c r="D140" s="9" t="s">
        <v>90</v>
      </c>
      <c r="E140" s="6" t="s">
        <v>456</v>
      </c>
      <c r="F140" s="7">
        <f>'MEMÓRIA DE CALCULO'!F175</f>
        <v>1</v>
      </c>
      <c r="G140" s="108">
        <v>43.24</v>
      </c>
      <c r="H140" s="108">
        <v>7.17</v>
      </c>
      <c r="I140" s="114">
        <f t="shared" si="3"/>
        <v>50.410000000000004</v>
      </c>
      <c r="J140" s="29"/>
    </row>
    <row r="141" spans="1:10" s="123" customFormat="1" x14ac:dyDescent="0.3">
      <c r="A141" s="134" t="s">
        <v>485</v>
      </c>
      <c r="B141" s="134" t="s">
        <v>198</v>
      </c>
      <c r="C141" s="131">
        <v>81829</v>
      </c>
      <c r="D141" s="126" t="s">
        <v>612</v>
      </c>
      <c r="E141" s="124" t="s">
        <v>2</v>
      </c>
      <c r="F141" s="125">
        <f>'MEMÓRIA DE CALCULO'!F176</f>
        <v>0.36</v>
      </c>
      <c r="G141" s="127">
        <v>78.02</v>
      </c>
      <c r="H141" s="127">
        <v>13.01</v>
      </c>
      <c r="I141" s="128">
        <f t="shared" si="3"/>
        <v>32.770800000000001</v>
      </c>
      <c r="J141" s="118"/>
    </row>
    <row r="142" spans="1:10" s="123" customFormat="1" ht="25.2" customHeight="1" x14ac:dyDescent="0.3">
      <c r="A142" s="134" t="s">
        <v>613</v>
      </c>
      <c r="B142" s="134" t="s">
        <v>198</v>
      </c>
      <c r="C142" s="131">
        <v>81830</v>
      </c>
      <c r="D142" s="126" t="s">
        <v>616</v>
      </c>
      <c r="E142" s="124" t="s">
        <v>8</v>
      </c>
      <c r="F142" s="125">
        <f>'MEMÓRIA DE CALCULO'!F177</f>
        <v>1.7999999999999999E-2</v>
      </c>
      <c r="G142" s="127">
        <v>323.77999999999997</v>
      </c>
      <c r="H142" s="127">
        <v>294.66000000000003</v>
      </c>
      <c r="I142" s="128">
        <v>12.37</v>
      </c>
      <c r="J142" s="118"/>
    </row>
    <row r="143" spans="1:10" s="123" customFormat="1" ht="27" customHeight="1" x14ac:dyDescent="0.3">
      <c r="A143" s="134" t="s">
        <v>619</v>
      </c>
      <c r="B143" s="134" t="s">
        <v>198</v>
      </c>
      <c r="C143" s="131">
        <v>81831</v>
      </c>
      <c r="D143" s="126" t="s">
        <v>618</v>
      </c>
      <c r="E143" s="124" t="s">
        <v>2</v>
      </c>
      <c r="F143" s="125">
        <f>'MEMÓRIA DE CALCULO'!F178</f>
        <v>1.2</v>
      </c>
      <c r="G143" s="127">
        <v>64.38</v>
      </c>
      <c r="H143" s="127">
        <v>62.17</v>
      </c>
      <c r="I143" s="128">
        <f t="shared" si="3"/>
        <v>151.85999999999999</v>
      </c>
      <c r="J143" s="118"/>
    </row>
    <row r="144" spans="1:10" s="123" customFormat="1" x14ac:dyDescent="0.3">
      <c r="A144" s="134" t="s">
        <v>622</v>
      </c>
      <c r="B144" s="134" t="s">
        <v>198</v>
      </c>
      <c r="C144" s="131">
        <v>81833</v>
      </c>
      <c r="D144" s="126" t="s">
        <v>621</v>
      </c>
      <c r="E144" s="124" t="s">
        <v>8</v>
      </c>
      <c r="F144" s="125">
        <f>'MEMÓRIA DE CALCULO'!F179</f>
        <v>0.18</v>
      </c>
      <c r="G144" s="127">
        <v>0</v>
      </c>
      <c r="H144" s="127">
        <v>32.67</v>
      </c>
      <c r="I144" s="128">
        <f t="shared" si="3"/>
        <v>5.8806000000000003</v>
      </c>
      <c r="J144" s="118"/>
    </row>
    <row r="145" spans="1:10" s="123" customFormat="1" x14ac:dyDescent="0.3">
      <c r="A145" s="134" t="s">
        <v>686</v>
      </c>
      <c r="B145" s="134" t="s">
        <v>198</v>
      </c>
      <c r="C145" s="131">
        <v>81865</v>
      </c>
      <c r="D145" s="176" t="s">
        <v>688</v>
      </c>
      <c r="E145" s="124" t="s">
        <v>456</v>
      </c>
      <c r="F145" s="125">
        <f>'MEMÓRIA DE CALCULO'!F180</f>
        <v>1</v>
      </c>
      <c r="G145" s="127">
        <v>1979.93</v>
      </c>
      <c r="H145" s="127">
        <v>1067.27</v>
      </c>
      <c r="I145" s="128">
        <f t="shared" si="3"/>
        <v>3047.2</v>
      </c>
      <c r="J145" s="118"/>
    </row>
    <row r="146" spans="1:10" s="76" customFormat="1" x14ac:dyDescent="0.3">
      <c r="A146" s="188" t="s">
        <v>687</v>
      </c>
      <c r="B146" s="188" t="s">
        <v>398</v>
      </c>
      <c r="C146" s="246" t="s">
        <v>495</v>
      </c>
      <c r="D146" s="249" t="s">
        <v>729</v>
      </c>
      <c r="E146" s="60" t="s">
        <v>456</v>
      </c>
      <c r="F146" s="145">
        <f>'MEMÓRIA DE CALCULO'!F181</f>
        <v>1</v>
      </c>
      <c r="G146" s="156">
        <f>'COMPOSIÇÃO SUMIDOURO'!H28</f>
        <v>114.43994100000002</v>
      </c>
      <c r="H146" s="156">
        <f>'COMPOSIÇÃO SUMIDOURO'!H15</f>
        <v>192.9550625</v>
      </c>
      <c r="I146" s="191">
        <f t="shared" si="3"/>
        <v>307.39500350000003</v>
      </c>
      <c r="J146" s="192"/>
    </row>
    <row r="147" spans="1:10" s="76" customFormat="1" x14ac:dyDescent="0.3">
      <c r="A147" s="134" t="s">
        <v>732</v>
      </c>
      <c r="B147" s="188" t="s">
        <v>198</v>
      </c>
      <c r="C147" s="246">
        <v>81841</v>
      </c>
      <c r="D147" s="126" t="s">
        <v>733</v>
      </c>
      <c r="E147" s="60" t="s">
        <v>456</v>
      </c>
      <c r="F147" s="145">
        <f>'MEMÓRIA DE CALCULO'!F182</f>
        <v>1</v>
      </c>
      <c r="G147" s="156">
        <v>200.15</v>
      </c>
      <c r="H147" s="156">
        <v>38.42</v>
      </c>
      <c r="I147" s="191">
        <f t="shared" si="3"/>
        <v>238.57</v>
      </c>
      <c r="J147" s="192"/>
    </row>
    <row r="148" spans="1:10" x14ac:dyDescent="0.3">
      <c r="A148" s="134" t="s">
        <v>413</v>
      </c>
      <c r="B148" s="134" t="s">
        <v>198</v>
      </c>
      <c r="C148" s="131">
        <v>82300</v>
      </c>
      <c r="D148" s="14" t="s">
        <v>91</v>
      </c>
      <c r="E148" s="6"/>
      <c r="F148" s="7"/>
      <c r="G148" s="108"/>
      <c r="H148" s="108"/>
      <c r="I148" s="114"/>
      <c r="J148" s="29"/>
    </row>
    <row r="149" spans="1:10" x14ac:dyDescent="0.3">
      <c r="A149" s="134" t="s">
        <v>414</v>
      </c>
      <c r="B149" s="134" t="s">
        <v>198</v>
      </c>
      <c r="C149" s="131">
        <v>82301</v>
      </c>
      <c r="D149" s="9" t="s">
        <v>92</v>
      </c>
      <c r="E149" s="6" t="s">
        <v>11</v>
      </c>
      <c r="F149" s="7">
        <f>'MEMÓRIA DE CALCULO'!F184</f>
        <v>3</v>
      </c>
      <c r="G149" s="108">
        <v>5.56</v>
      </c>
      <c r="H149" s="108">
        <v>6.14</v>
      </c>
      <c r="I149" s="114">
        <f t="shared" si="3"/>
        <v>35.099999999999994</v>
      </c>
      <c r="J149" s="29"/>
    </row>
    <row r="150" spans="1:10" x14ac:dyDescent="0.3">
      <c r="A150" s="134" t="s">
        <v>415</v>
      </c>
      <c r="B150" s="134" t="s">
        <v>198</v>
      </c>
      <c r="C150" s="131">
        <v>82302</v>
      </c>
      <c r="D150" s="9" t="s">
        <v>93</v>
      </c>
      <c r="E150" s="6" t="s">
        <v>11</v>
      </c>
      <c r="F150" s="7">
        <f>'MEMÓRIA DE CALCULO'!F185</f>
        <v>12</v>
      </c>
      <c r="G150" s="108">
        <v>8.17</v>
      </c>
      <c r="H150" s="108">
        <v>7.68</v>
      </c>
      <c r="I150" s="114">
        <f t="shared" si="3"/>
        <v>190.2</v>
      </c>
      <c r="J150" s="29"/>
    </row>
    <row r="151" spans="1:10" x14ac:dyDescent="0.3">
      <c r="A151" s="134" t="s">
        <v>417</v>
      </c>
      <c r="B151" s="134" t="s">
        <v>198</v>
      </c>
      <c r="C151" s="131">
        <v>82303</v>
      </c>
      <c r="D151" s="9" t="s">
        <v>94</v>
      </c>
      <c r="E151" s="6" t="s">
        <v>11</v>
      </c>
      <c r="F151" s="7">
        <f>'MEMÓRIA DE CALCULO'!F186</f>
        <v>1</v>
      </c>
      <c r="G151" s="108">
        <v>12.83</v>
      </c>
      <c r="H151" s="108">
        <v>12.3</v>
      </c>
      <c r="I151" s="114">
        <f t="shared" si="3"/>
        <v>25.130000000000003</v>
      </c>
      <c r="J151" s="29"/>
    </row>
    <row r="152" spans="1:10" x14ac:dyDescent="0.3">
      <c r="A152" s="134" t="s">
        <v>418</v>
      </c>
      <c r="B152" s="134" t="s">
        <v>198</v>
      </c>
      <c r="C152" s="131">
        <v>82304</v>
      </c>
      <c r="D152" s="9" t="s">
        <v>95</v>
      </c>
      <c r="E152" s="6" t="s">
        <v>11</v>
      </c>
      <c r="F152" s="7">
        <v>12</v>
      </c>
      <c r="G152" s="108">
        <v>15.39</v>
      </c>
      <c r="H152" s="108">
        <v>13.31</v>
      </c>
      <c r="I152" s="114">
        <f t="shared" si="3"/>
        <v>344.40000000000003</v>
      </c>
      <c r="J152" s="29"/>
    </row>
    <row r="153" spans="1:10" s="123" customFormat="1" x14ac:dyDescent="0.3">
      <c r="A153" s="135" t="s">
        <v>419</v>
      </c>
      <c r="B153" s="134"/>
      <c r="C153" s="131"/>
      <c r="D153" s="14" t="s">
        <v>75</v>
      </c>
      <c r="E153" s="124"/>
      <c r="F153" s="125"/>
      <c r="G153" s="127"/>
      <c r="H153" s="127"/>
      <c r="I153" s="128"/>
      <c r="J153" s="118"/>
    </row>
    <row r="154" spans="1:10" s="123" customFormat="1" x14ac:dyDescent="0.3">
      <c r="A154" s="135" t="s">
        <v>420</v>
      </c>
      <c r="B154" s="134" t="s">
        <v>198</v>
      </c>
      <c r="C154" s="131">
        <v>81936</v>
      </c>
      <c r="D154" s="126" t="s">
        <v>582</v>
      </c>
      <c r="E154" s="124" t="s">
        <v>456</v>
      </c>
      <c r="F154" s="125">
        <f>'MEMÓRIA DE CALCULO'!F189</f>
        <v>6</v>
      </c>
      <c r="G154" s="127">
        <v>2.62</v>
      </c>
      <c r="H154" s="127">
        <v>7.17</v>
      </c>
      <c r="I154" s="128">
        <f t="shared" ref="I154:I155" si="4">(H154+G154)*F154</f>
        <v>58.739999999999995</v>
      </c>
      <c r="J154" s="118"/>
    </row>
    <row r="155" spans="1:10" s="123" customFormat="1" x14ac:dyDescent="0.3">
      <c r="A155" s="135" t="s">
        <v>421</v>
      </c>
      <c r="B155" s="134" t="s">
        <v>198</v>
      </c>
      <c r="C155" s="131">
        <v>81927</v>
      </c>
      <c r="D155" s="126" t="s">
        <v>586</v>
      </c>
      <c r="E155" s="124" t="s">
        <v>456</v>
      </c>
      <c r="F155" s="125">
        <f>'MEMÓRIA DE CALCULO'!F190</f>
        <v>2</v>
      </c>
      <c r="G155" s="127">
        <v>4.18</v>
      </c>
      <c r="H155" s="127">
        <v>7.17</v>
      </c>
      <c r="I155" s="128">
        <f t="shared" si="4"/>
        <v>22.7</v>
      </c>
      <c r="J155" s="118"/>
    </row>
    <row r="156" spans="1:10" x14ac:dyDescent="0.3">
      <c r="A156" s="135" t="s">
        <v>583</v>
      </c>
      <c r="B156" s="134" t="s">
        <v>198</v>
      </c>
      <c r="C156" s="131">
        <v>81960</v>
      </c>
      <c r="D156" s="14" t="s">
        <v>410</v>
      </c>
      <c r="E156" s="96"/>
      <c r="F156" s="97"/>
      <c r="G156" s="108"/>
      <c r="H156" s="108"/>
      <c r="I156" s="128"/>
      <c r="J156" s="29"/>
    </row>
    <row r="157" spans="1:10" x14ac:dyDescent="0.3">
      <c r="A157" s="135" t="s">
        <v>584</v>
      </c>
      <c r="B157" s="134" t="s">
        <v>198</v>
      </c>
      <c r="C157" s="131">
        <v>81974</v>
      </c>
      <c r="D157" s="98" t="s">
        <v>411</v>
      </c>
      <c r="E157" s="96" t="s">
        <v>456</v>
      </c>
      <c r="F157" s="97">
        <v>1</v>
      </c>
      <c r="G157" s="108">
        <v>24.42</v>
      </c>
      <c r="H157" s="108">
        <v>11.78</v>
      </c>
      <c r="I157" s="128">
        <f t="shared" ref="I157:I163" si="5">(H157+G157)*F157</f>
        <v>36.200000000000003</v>
      </c>
      <c r="J157" s="29"/>
    </row>
    <row r="158" spans="1:10" x14ac:dyDescent="0.3">
      <c r="A158" s="135" t="s">
        <v>585</v>
      </c>
      <c r="B158" s="134" t="s">
        <v>198</v>
      </c>
      <c r="C158" s="102">
        <v>81973</v>
      </c>
      <c r="D158" s="98" t="s">
        <v>412</v>
      </c>
      <c r="E158" s="96" t="s">
        <v>456</v>
      </c>
      <c r="F158" s="97">
        <f>'MEMÓRIA DE CALCULO'!F193</f>
        <v>3</v>
      </c>
      <c r="G158" s="108">
        <v>16.940000000000001</v>
      </c>
      <c r="H158" s="108">
        <v>11.78</v>
      </c>
      <c r="I158" s="128">
        <f t="shared" si="5"/>
        <v>86.16</v>
      </c>
      <c r="J158" s="29"/>
    </row>
    <row r="159" spans="1:10" s="123" customFormat="1" x14ac:dyDescent="0.3">
      <c r="A159" s="135" t="s">
        <v>590</v>
      </c>
      <c r="B159" s="201"/>
      <c r="C159" s="102"/>
      <c r="D159" s="268" t="s">
        <v>587</v>
      </c>
      <c r="E159" s="202"/>
      <c r="F159" s="262"/>
      <c r="G159" s="263"/>
      <c r="H159" s="203"/>
      <c r="I159" s="128"/>
      <c r="J159" s="118"/>
    </row>
    <row r="160" spans="1:10" s="123" customFormat="1" x14ac:dyDescent="0.3">
      <c r="A160" s="135" t="s">
        <v>589</v>
      </c>
      <c r="B160" s="134" t="s">
        <v>198</v>
      </c>
      <c r="C160" s="131">
        <v>82230</v>
      </c>
      <c r="D160" s="126" t="s">
        <v>588</v>
      </c>
      <c r="E160" s="124" t="s">
        <v>456</v>
      </c>
      <c r="F160" s="125">
        <f>'MEMÓRIA DE CALCULO'!F195</f>
        <v>1</v>
      </c>
      <c r="G160" s="127">
        <v>7.39</v>
      </c>
      <c r="H160" s="127">
        <v>7.43</v>
      </c>
      <c r="I160" s="127">
        <f t="shared" si="5"/>
        <v>14.82</v>
      </c>
      <c r="J160" s="118"/>
    </row>
    <row r="161" spans="1:10" s="123" customFormat="1" x14ac:dyDescent="0.3">
      <c r="A161" s="135" t="s">
        <v>592</v>
      </c>
      <c r="B161" s="134"/>
      <c r="C161" s="131"/>
      <c r="D161" s="14" t="s">
        <v>591</v>
      </c>
      <c r="E161" s="124"/>
      <c r="F161" s="125"/>
      <c r="G161" s="127"/>
      <c r="H161" s="127"/>
      <c r="I161" s="127"/>
      <c r="J161" s="118"/>
    </row>
    <row r="162" spans="1:10" s="123" customFormat="1" x14ac:dyDescent="0.3">
      <c r="A162" s="135" t="s">
        <v>593</v>
      </c>
      <c r="B162" s="134" t="s">
        <v>198</v>
      </c>
      <c r="C162" s="131" t="s">
        <v>594</v>
      </c>
      <c r="D162" s="126" t="s">
        <v>595</v>
      </c>
      <c r="E162" s="124" t="s">
        <v>456</v>
      </c>
      <c r="F162" s="125">
        <f>'MEMÓRIA DE CALCULO'!F197</f>
        <v>1</v>
      </c>
      <c r="G162" s="127">
        <v>15.79</v>
      </c>
      <c r="H162" s="127">
        <v>7.17</v>
      </c>
      <c r="I162" s="127">
        <f t="shared" si="5"/>
        <v>22.96</v>
      </c>
      <c r="J162" s="118"/>
    </row>
    <row r="163" spans="1:10" s="123" customFormat="1" x14ac:dyDescent="0.3">
      <c r="A163" s="135" t="s">
        <v>598</v>
      </c>
      <c r="B163" s="134" t="s">
        <v>198</v>
      </c>
      <c r="C163" s="102" t="s">
        <v>597</v>
      </c>
      <c r="D163" s="126" t="s">
        <v>596</v>
      </c>
      <c r="E163" s="124" t="s">
        <v>456</v>
      </c>
      <c r="F163" s="125">
        <f>'MEMÓRIA DE CALCULO'!F198</f>
        <v>3</v>
      </c>
      <c r="G163" s="127">
        <v>2.42</v>
      </c>
      <c r="H163" s="127">
        <v>6.4</v>
      </c>
      <c r="I163" s="127">
        <f t="shared" si="5"/>
        <v>26.46</v>
      </c>
      <c r="J163" s="118"/>
    </row>
    <row r="164" spans="1:10" s="123" customFormat="1" x14ac:dyDescent="0.3">
      <c r="A164" s="135" t="s">
        <v>599</v>
      </c>
      <c r="B164" s="134" t="s">
        <v>198</v>
      </c>
      <c r="C164" s="102" t="s">
        <v>600</v>
      </c>
      <c r="D164" s="126" t="s">
        <v>601</v>
      </c>
      <c r="E164" s="124" t="s">
        <v>456</v>
      </c>
      <c r="F164" s="125">
        <f>'MEMÓRIA DE CALCULO'!F199</f>
        <v>1</v>
      </c>
      <c r="G164" s="127">
        <v>40.42</v>
      </c>
      <c r="H164" s="127">
        <v>9.48</v>
      </c>
      <c r="I164" s="127">
        <f>(H164+G164)*F164</f>
        <v>49.900000000000006</v>
      </c>
      <c r="J164" s="118"/>
    </row>
    <row r="165" spans="1:10" s="123" customFormat="1" x14ac:dyDescent="0.3">
      <c r="A165" s="135" t="s">
        <v>602</v>
      </c>
      <c r="B165" s="134" t="s">
        <v>198</v>
      </c>
      <c r="C165" s="102">
        <v>81733</v>
      </c>
      <c r="D165" s="126" t="s">
        <v>603</v>
      </c>
      <c r="E165" s="124" t="s">
        <v>456</v>
      </c>
      <c r="F165" s="125">
        <f>'MEMÓRIA DE CALCULO'!F200</f>
        <v>1</v>
      </c>
      <c r="G165" s="127">
        <v>22.93</v>
      </c>
      <c r="H165" s="127">
        <v>11.53</v>
      </c>
      <c r="I165" s="127">
        <f>(H165+G165)*F165</f>
        <v>34.46</v>
      </c>
      <c r="J165" s="118"/>
    </row>
    <row r="166" spans="1:10" s="123" customFormat="1" x14ac:dyDescent="0.3">
      <c r="A166" s="135" t="s">
        <v>605</v>
      </c>
      <c r="B166" s="134" t="s">
        <v>198</v>
      </c>
      <c r="C166" s="102">
        <v>81730</v>
      </c>
      <c r="D166" s="126" t="s">
        <v>604</v>
      </c>
      <c r="E166" s="124" t="s">
        <v>456</v>
      </c>
      <c r="F166" s="125">
        <f>'MEMÓRIA DE CALCULO'!F201</f>
        <v>2</v>
      </c>
      <c r="G166" s="127">
        <v>4.49</v>
      </c>
      <c r="H166" s="127">
        <v>7.17</v>
      </c>
      <c r="I166" s="127">
        <f>(H166+G166)*F166</f>
        <v>23.32</v>
      </c>
      <c r="J166" s="118"/>
    </row>
    <row r="167" spans="1:10" s="123" customFormat="1" x14ac:dyDescent="0.3">
      <c r="A167" s="135" t="s">
        <v>607</v>
      </c>
      <c r="B167" s="201"/>
      <c r="C167" s="102"/>
      <c r="D167" s="14" t="s">
        <v>606</v>
      </c>
      <c r="E167" s="124"/>
      <c r="F167" s="125"/>
      <c r="G167" s="127"/>
      <c r="H167" s="127"/>
      <c r="I167" s="127"/>
      <c r="J167" s="118"/>
    </row>
    <row r="168" spans="1:10" s="123" customFormat="1" x14ac:dyDescent="0.3">
      <c r="A168" s="134" t="s">
        <v>609</v>
      </c>
      <c r="B168" s="134" t="s">
        <v>198</v>
      </c>
      <c r="C168" s="131">
        <v>82002</v>
      </c>
      <c r="D168" s="126" t="s">
        <v>608</v>
      </c>
      <c r="E168" s="124" t="s">
        <v>456</v>
      </c>
      <c r="F168" s="125">
        <f>'MEMÓRIA DE CALCULO'!F203</f>
        <v>1</v>
      </c>
      <c r="G168" s="127">
        <v>3.01</v>
      </c>
      <c r="H168" s="127">
        <v>3.59</v>
      </c>
      <c r="I168" s="127">
        <f t="shared" ref="I168:I173" si="6">(H168+G168)*F168</f>
        <v>6.6</v>
      </c>
      <c r="J168" s="118"/>
    </row>
    <row r="169" spans="1:10" s="123" customFormat="1" x14ac:dyDescent="0.3">
      <c r="A169" s="134" t="s">
        <v>610</v>
      </c>
      <c r="B169" s="134" t="s">
        <v>198</v>
      </c>
      <c r="C169" s="131">
        <v>82004</v>
      </c>
      <c r="D169" s="126" t="s">
        <v>611</v>
      </c>
      <c r="E169" s="124" t="s">
        <v>456</v>
      </c>
      <c r="F169" s="125">
        <f>'MEMÓRIA DE CALCULO'!F204</f>
        <v>1</v>
      </c>
      <c r="G169" s="127">
        <v>6.6</v>
      </c>
      <c r="H169" s="127">
        <v>5.89</v>
      </c>
      <c r="I169" s="127">
        <f t="shared" si="6"/>
        <v>12.489999999999998</v>
      </c>
      <c r="J169" s="118"/>
    </row>
    <row r="170" spans="1:10" s="123" customFormat="1" x14ac:dyDescent="0.3">
      <c r="A170" s="134" t="s">
        <v>624</v>
      </c>
      <c r="B170" s="134" t="s">
        <v>198</v>
      </c>
      <c r="C170" s="131">
        <v>81104</v>
      </c>
      <c r="D170" s="126" t="s">
        <v>626</v>
      </c>
      <c r="E170" s="124" t="s">
        <v>456</v>
      </c>
      <c r="F170" s="125">
        <f>'MEMÓRIA DE CALCULO'!F205</f>
        <v>2</v>
      </c>
      <c r="G170" s="127">
        <v>5.0199999999999996</v>
      </c>
      <c r="H170" s="127">
        <v>3.59</v>
      </c>
      <c r="I170" s="127">
        <f t="shared" si="6"/>
        <v>17.22</v>
      </c>
      <c r="J170" s="118"/>
    </row>
    <row r="171" spans="1:10" s="123" customFormat="1" x14ac:dyDescent="0.3">
      <c r="A171" s="134" t="s">
        <v>625</v>
      </c>
      <c r="B171" s="134" t="s">
        <v>198</v>
      </c>
      <c r="C171" s="131">
        <v>81122</v>
      </c>
      <c r="D171" s="126" t="s">
        <v>627</v>
      </c>
      <c r="E171" s="124" t="s">
        <v>456</v>
      </c>
      <c r="F171" s="125">
        <f>'MEMÓRIA DE CALCULO'!F206</f>
        <v>1</v>
      </c>
      <c r="G171" s="127">
        <v>2.93</v>
      </c>
      <c r="H171" s="127">
        <v>2.31</v>
      </c>
      <c r="I171" s="127">
        <f t="shared" si="6"/>
        <v>5.24</v>
      </c>
      <c r="J171" s="118"/>
    </row>
    <row r="172" spans="1:10" s="123" customFormat="1" x14ac:dyDescent="0.3">
      <c r="A172" s="134" t="s">
        <v>629</v>
      </c>
      <c r="B172" s="134" t="s">
        <v>198</v>
      </c>
      <c r="C172" s="131">
        <v>81102</v>
      </c>
      <c r="D172" s="126" t="s">
        <v>628</v>
      </c>
      <c r="E172" s="124" t="s">
        <v>456</v>
      </c>
      <c r="F172" s="125">
        <f>'MEMÓRIA DE CALCULO'!F207</f>
        <v>2</v>
      </c>
      <c r="G172" s="127">
        <v>1.01</v>
      </c>
      <c r="H172" s="127">
        <v>2.31</v>
      </c>
      <c r="I172" s="127">
        <f t="shared" si="6"/>
        <v>6.6400000000000006</v>
      </c>
      <c r="J172" s="118"/>
    </row>
    <row r="173" spans="1:10" s="123" customFormat="1" x14ac:dyDescent="0.3">
      <c r="A173" s="134" t="s">
        <v>631</v>
      </c>
      <c r="B173" s="134" t="s">
        <v>198</v>
      </c>
      <c r="C173" s="102">
        <v>81131</v>
      </c>
      <c r="D173" s="126" t="s">
        <v>630</v>
      </c>
      <c r="E173" s="124" t="s">
        <v>456</v>
      </c>
      <c r="F173" s="125">
        <f>'MEMÓRIA DE CALCULO'!F208</f>
        <v>1</v>
      </c>
      <c r="G173" s="127">
        <v>2.2200000000000002</v>
      </c>
      <c r="H173" s="127">
        <v>3.85</v>
      </c>
      <c r="I173" s="127">
        <f t="shared" si="6"/>
        <v>6.07</v>
      </c>
      <c r="J173" s="118"/>
    </row>
    <row r="174" spans="1:10" x14ac:dyDescent="0.3">
      <c r="A174" s="348" t="s">
        <v>4</v>
      </c>
      <c r="B174" s="349"/>
      <c r="C174" s="349"/>
      <c r="D174" s="349"/>
      <c r="E174" s="349"/>
      <c r="F174" s="349"/>
      <c r="G174" s="349"/>
      <c r="H174" s="350"/>
      <c r="I174" s="116">
        <f>SUM(I69:I173)</f>
        <v>9444.4164034999958</v>
      </c>
      <c r="J174" s="16">
        <f>I174*1.2388</f>
        <v>11699.743040655794</v>
      </c>
    </row>
    <row r="175" spans="1:10" x14ac:dyDescent="0.3">
      <c r="A175" s="386" t="s">
        <v>184</v>
      </c>
      <c r="B175" s="387"/>
      <c r="C175" s="387"/>
      <c r="D175" s="387"/>
      <c r="E175" s="387"/>
      <c r="F175" s="387"/>
      <c r="G175" s="387"/>
      <c r="H175" s="387"/>
      <c r="I175" s="387"/>
      <c r="J175" s="388"/>
    </row>
    <row r="176" spans="1:10" x14ac:dyDescent="0.3">
      <c r="A176" s="133">
        <v>8</v>
      </c>
      <c r="B176" s="134"/>
      <c r="C176" s="88" t="s">
        <v>96</v>
      </c>
      <c r="D176" s="14" t="s">
        <v>97</v>
      </c>
      <c r="E176" s="6"/>
      <c r="F176" s="7"/>
      <c r="G176" s="106"/>
      <c r="H176" s="106"/>
      <c r="I176" s="117"/>
      <c r="J176" s="29"/>
    </row>
    <row r="177" spans="1:10" ht="27.6" customHeight="1" x14ac:dyDescent="0.3">
      <c r="A177" s="188" t="s">
        <v>346</v>
      </c>
      <c r="B177" s="188" t="s">
        <v>198</v>
      </c>
      <c r="C177" s="60">
        <v>100160</v>
      </c>
      <c r="D177" s="252" t="s">
        <v>571</v>
      </c>
      <c r="E177" s="60" t="s">
        <v>2</v>
      </c>
      <c r="F177" s="145">
        <f>'MEMÓRIA DE CALCULO'!F211</f>
        <v>169.67</v>
      </c>
      <c r="G177" s="253">
        <v>23.18</v>
      </c>
      <c r="H177" s="253">
        <v>20.07</v>
      </c>
      <c r="I177" s="191">
        <f>(H177+G177)*F177</f>
        <v>7338.2274999999991</v>
      </c>
      <c r="J177" s="192"/>
    </row>
    <row r="178" spans="1:10" x14ac:dyDescent="0.3">
      <c r="A178" s="348" t="s">
        <v>4</v>
      </c>
      <c r="B178" s="349"/>
      <c r="C178" s="349"/>
      <c r="D178" s="349"/>
      <c r="E178" s="349"/>
      <c r="F178" s="349"/>
      <c r="G178" s="349"/>
      <c r="H178" s="350"/>
      <c r="I178" s="116">
        <f>SUM(I177)</f>
        <v>7338.2274999999991</v>
      </c>
      <c r="J178" s="16">
        <f>I178*1.2388</f>
        <v>9090.5962269999982</v>
      </c>
    </row>
    <row r="179" spans="1:10" x14ac:dyDescent="0.3">
      <c r="A179" s="398" t="s">
        <v>185</v>
      </c>
      <c r="B179" s="399"/>
      <c r="C179" s="399"/>
      <c r="D179" s="399"/>
      <c r="E179" s="399"/>
      <c r="F179" s="399"/>
      <c r="G179" s="399"/>
      <c r="H179" s="399"/>
      <c r="I179" s="399"/>
      <c r="J179" s="400"/>
    </row>
    <row r="180" spans="1:10" x14ac:dyDescent="0.3">
      <c r="A180" s="133">
        <v>9</v>
      </c>
      <c r="B180" s="134"/>
      <c r="C180" s="137">
        <v>120000</v>
      </c>
      <c r="D180" s="12" t="s">
        <v>98</v>
      </c>
      <c r="E180" s="6"/>
      <c r="F180" s="6"/>
      <c r="G180" s="106"/>
      <c r="H180" s="106"/>
      <c r="I180" s="114"/>
      <c r="J180" s="29"/>
    </row>
    <row r="181" spans="1:10" x14ac:dyDescent="0.3">
      <c r="A181" s="134" t="s">
        <v>347</v>
      </c>
      <c r="B181" s="134" t="s">
        <v>198</v>
      </c>
      <c r="C181" s="129">
        <v>120902</v>
      </c>
      <c r="D181" s="5" t="s">
        <v>99</v>
      </c>
      <c r="E181" s="6" t="s">
        <v>2</v>
      </c>
      <c r="F181" s="7">
        <f>'MEMÓRIA DE CALCULO'!F215</f>
        <v>19.312799999999999</v>
      </c>
      <c r="G181" s="108">
        <v>10.77</v>
      </c>
      <c r="H181" s="108">
        <v>15.67</v>
      </c>
      <c r="I181" s="114">
        <v>510.56</v>
      </c>
      <c r="J181" s="29"/>
    </row>
    <row r="182" spans="1:10" s="123" customFormat="1" x14ac:dyDescent="0.3">
      <c r="A182" s="135" t="s">
        <v>440</v>
      </c>
      <c r="B182" s="201" t="s">
        <v>198</v>
      </c>
      <c r="C182" s="100">
        <v>121001</v>
      </c>
      <c r="D182" s="245" t="s">
        <v>441</v>
      </c>
      <c r="E182" s="124" t="s">
        <v>2</v>
      </c>
      <c r="F182" s="125">
        <f>'MEMÓRIA DE CALCULO'!F216</f>
        <v>3.0960000000000001</v>
      </c>
      <c r="G182" s="127">
        <v>8.25</v>
      </c>
      <c r="H182" s="127">
        <v>1.84</v>
      </c>
      <c r="I182" s="127">
        <v>31.28</v>
      </c>
      <c r="J182" s="118"/>
    </row>
    <row r="183" spans="1:10" x14ac:dyDescent="0.3">
      <c r="A183" s="348" t="s">
        <v>4</v>
      </c>
      <c r="B183" s="349"/>
      <c r="C183" s="349"/>
      <c r="D183" s="349"/>
      <c r="E183" s="349"/>
      <c r="F183" s="349"/>
      <c r="G183" s="349"/>
      <c r="H183" s="350"/>
      <c r="I183" s="116">
        <f>SUM(I181:I182)</f>
        <v>541.84</v>
      </c>
      <c r="J183" s="16">
        <f>I183*1.2388</f>
        <v>671.23139200000003</v>
      </c>
    </row>
    <row r="184" spans="1:10" x14ac:dyDescent="0.3">
      <c r="A184" s="395" t="s">
        <v>186</v>
      </c>
      <c r="B184" s="396"/>
      <c r="C184" s="396"/>
      <c r="D184" s="396"/>
      <c r="E184" s="396"/>
      <c r="F184" s="396"/>
      <c r="G184" s="396"/>
      <c r="H184" s="396"/>
      <c r="I184" s="396"/>
      <c r="J184" s="397"/>
    </row>
    <row r="185" spans="1:10" x14ac:dyDescent="0.3">
      <c r="A185" s="133">
        <v>10</v>
      </c>
      <c r="B185" s="134"/>
      <c r="C185" s="88" t="s">
        <v>101</v>
      </c>
      <c r="D185" s="14" t="s">
        <v>100</v>
      </c>
      <c r="E185" s="6"/>
      <c r="F185" s="7"/>
      <c r="G185" s="106"/>
      <c r="H185" s="106"/>
      <c r="I185" s="117"/>
      <c r="J185" s="29"/>
    </row>
    <row r="186" spans="1:10" ht="24.6" customHeight="1" x14ac:dyDescent="0.3">
      <c r="A186" s="134" t="s">
        <v>348</v>
      </c>
      <c r="B186" s="134" t="s">
        <v>198</v>
      </c>
      <c r="C186" s="124" t="s">
        <v>102</v>
      </c>
      <c r="D186" s="10" t="s">
        <v>103</v>
      </c>
      <c r="E186" s="6" t="s">
        <v>2</v>
      </c>
      <c r="F186" s="7">
        <f>'MEMÓRIA DE CALCULO'!F219</f>
        <v>48</v>
      </c>
      <c r="G186" s="108">
        <v>31.65</v>
      </c>
      <c r="H186" s="108">
        <v>11.05</v>
      </c>
      <c r="I186" s="114">
        <f>(H186+G186)*F186</f>
        <v>2049.6000000000004</v>
      </c>
      <c r="J186" s="29"/>
    </row>
    <row r="187" spans="1:10" x14ac:dyDescent="0.3">
      <c r="A187" s="348" t="s">
        <v>4</v>
      </c>
      <c r="B187" s="349"/>
      <c r="C187" s="349"/>
      <c r="D187" s="349"/>
      <c r="E187" s="349"/>
      <c r="F187" s="349"/>
      <c r="G187" s="349"/>
      <c r="H187" s="350"/>
      <c r="I187" s="116">
        <f>SUM(I186:I186)</f>
        <v>2049.6000000000004</v>
      </c>
      <c r="J187" s="16">
        <f>I187*1.2388</f>
        <v>2539.04448</v>
      </c>
    </row>
    <row r="188" spans="1:10" x14ac:dyDescent="0.3">
      <c r="A188" s="386" t="s">
        <v>187</v>
      </c>
      <c r="B188" s="387"/>
      <c r="C188" s="387"/>
      <c r="D188" s="387"/>
      <c r="E188" s="387"/>
      <c r="F188" s="387"/>
      <c r="G188" s="387"/>
      <c r="H188" s="387"/>
      <c r="I188" s="387"/>
      <c r="J188" s="388"/>
    </row>
    <row r="189" spans="1:10" x14ac:dyDescent="0.3">
      <c r="A189" s="133">
        <v>11</v>
      </c>
      <c r="B189" s="134"/>
      <c r="C189" s="88" t="s">
        <v>105</v>
      </c>
      <c r="D189" s="14" t="s">
        <v>104</v>
      </c>
      <c r="E189" s="6"/>
      <c r="F189" s="7"/>
      <c r="G189" s="106"/>
      <c r="H189" s="106"/>
      <c r="I189" s="117"/>
      <c r="J189" s="29"/>
    </row>
    <row r="190" spans="1:10" x14ac:dyDescent="0.3">
      <c r="A190" s="134" t="s">
        <v>349</v>
      </c>
      <c r="B190" s="134" t="s">
        <v>198</v>
      </c>
      <c r="C190" s="124" t="s">
        <v>106</v>
      </c>
      <c r="D190" s="9" t="s">
        <v>107</v>
      </c>
      <c r="E190" s="6" t="s">
        <v>2</v>
      </c>
      <c r="F190" s="7">
        <f>'MEMÓRIA DE CALCULO'!F222</f>
        <v>48</v>
      </c>
      <c r="G190" s="106">
        <v>30.04</v>
      </c>
      <c r="H190" s="106">
        <v>5.63</v>
      </c>
      <c r="I190" s="117">
        <f>(H190+G190)*F190</f>
        <v>1712.16</v>
      </c>
      <c r="J190" s="29"/>
    </row>
    <row r="191" spans="1:10" x14ac:dyDescent="0.3">
      <c r="A191" s="134" t="s">
        <v>350</v>
      </c>
      <c r="B191" s="134" t="s">
        <v>198</v>
      </c>
      <c r="C191" s="124">
        <v>160601</v>
      </c>
      <c r="D191" s="9" t="s">
        <v>108</v>
      </c>
      <c r="E191" s="6" t="s">
        <v>11</v>
      </c>
      <c r="F191" s="7">
        <f>'MEMÓRIA DE CALCULO'!F223</f>
        <v>11.350000000000001</v>
      </c>
      <c r="G191" s="106">
        <v>29.78</v>
      </c>
      <c r="H191" s="106">
        <v>27.15</v>
      </c>
      <c r="I191" s="117">
        <f t="shared" ref="I191:I193" si="7">(H191+G191)*F191</f>
        <v>646.15550000000007</v>
      </c>
      <c r="J191" s="29"/>
    </row>
    <row r="192" spans="1:10" x14ac:dyDescent="0.3">
      <c r="A192" s="134" t="s">
        <v>351</v>
      </c>
      <c r="B192" s="134" t="s">
        <v>198</v>
      </c>
      <c r="C192" s="124">
        <v>160602</v>
      </c>
      <c r="D192" s="9" t="s">
        <v>109</v>
      </c>
      <c r="E192" s="6" t="s">
        <v>11</v>
      </c>
      <c r="F192" s="7">
        <f>'MEMÓRIA DE CALCULO'!F224</f>
        <v>21.830000000000002</v>
      </c>
      <c r="G192" s="106">
        <v>22.09</v>
      </c>
      <c r="H192" s="106">
        <v>12.81</v>
      </c>
      <c r="I192" s="117">
        <f t="shared" si="7"/>
        <v>761.86700000000008</v>
      </c>
      <c r="J192" s="29"/>
    </row>
    <row r="193" spans="1:10" s="123" customFormat="1" x14ac:dyDescent="0.3">
      <c r="A193" s="134" t="s">
        <v>513</v>
      </c>
      <c r="B193" s="134" t="s">
        <v>198</v>
      </c>
      <c r="C193" s="202">
        <v>160600</v>
      </c>
      <c r="D193" s="126" t="s">
        <v>514</v>
      </c>
      <c r="E193" s="124" t="s">
        <v>2</v>
      </c>
      <c r="F193" s="125">
        <f>'MEMÓRIA DE CALCULO'!F225</f>
        <v>3.0239999999999996</v>
      </c>
      <c r="G193" s="106">
        <v>49.63</v>
      </c>
      <c r="H193" s="106">
        <v>45.25</v>
      </c>
      <c r="I193" s="117">
        <v>286.54000000000002</v>
      </c>
      <c r="J193" s="118"/>
    </row>
    <row r="194" spans="1:10" x14ac:dyDescent="0.3">
      <c r="A194" s="348" t="s">
        <v>4</v>
      </c>
      <c r="B194" s="349"/>
      <c r="C194" s="349"/>
      <c r="D194" s="349"/>
      <c r="E194" s="349"/>
      <c r="F194" s="349"/>
      <c r="G194" s="349"/>
      <c r="H194" s="350"/>
      <c r="I194" s="116">
        <f>SUM(I190:I193)</f>
        <v>3406.7225000000003</v>
      </c>
      <c r="J194" s="16">
        <f>I194*1.2388</f>
        <v>4220.2478330000004</v>
      </c>
    </row>
    <row r="195" spans="1:10" x14ac:dyDescent="0.3">
      <c r="A195" s="386" t="s">
        <v>188</v>
      </c>
      <c r="B195" s="387"/>
      <c r="C195" s="387"/>
      <c r="D195" s="387"/>
      <c r="E195" s="387"/>
      <c r="F195" s="387"/>
      <c r="G195" s="387"/>
      <c r="H195" s="387"/>
      <c r="I195" s="387"/>
      <c r="J195" s="388"/>
    </row>
    <row r="196" spans="1:10" x14ac:dyDescent="0.3">
      <c r="A196" s="133">
        <v>12</v>
      </c>
      <c r="B196" s="134"/>
      <c r="C196" s="88" t="s">
        <v>110</v>
      </c>
      <c r="D196" s="14" t="s">
        <v>111</v>
      </c>
      <c r="E196" s="6"/>
      <c r="F196" s="7"/>
      <c r="G196" s="106"/>
      <c r="H196" s="106"/>
      <c r="I196" s="117"/>
      <c r="J196" s="29"/>
    </row>
    <row r="197" spans="1:10" x14ac:dyDescent="0.3">
      <c r="A197" s="134" t="s">
        <v>352</v>
      </c>
      <c r="B197" s="134" t="s">
        <v>198</v>
      </c>
      <c r="C197" s="124" t="s">
        <v>112</v>
      </c>
      <c r="D197" s="9" t="s">
        <v>113</v>
      </c>
      <c r="E197" s="6" t="s">
        <v>456</v>
      </c>
      <c r="F197" s="7">
        <f>'MEMÓRIA DE CALCULO'!F228</f>
        <v>1</v>
      </c>
      <c r="G197" s="108">
        <v>260.13</v>
      </c>
      <c r="H197" s="108">
        <v>109.44</v>
      </c>
      <c r="I197" s="114">
        <f t="shared" ref="I197:I198" si="8">(H197+G197)*F197</f>
        <v>369.57</v>
      </c>
      <c r="J197" s="29"/>
    </row>
    <row r="198" spans="1:10" x14ac:dyDescent="0.3">
      <c r="A198" s="134" t="s">
        <v>353</v>
      </c>
      <c r="B198" s="134" t="s">
        <v>198</v>
      </c>
      <c r="C198" s="124">
        <v>170103</v>
      </c>
      <c r="D198" s="9" t="s">
        <v>114</v>
      </c>
      <c r="E198" s="6" t="s">
        <v>456</v>
      </c>
      <c r="F198" s="7">
        <f>'MEMÓRIA DE CALCULO'!F229</f>
        <v>2</v>
      </c>
      <c r="G198" s="108">
        <v>271.47000000000003</v>
      </c>
      <c r="H198" s="108">
        <v>109.44</v>
      </c>
      <c r="I198" s="114">
        <f t="shared" si="8"/>
        <v>761.82</v>
      </c>
      <c r="J198" s="29"/>
    </row>
    <row r="199" spans="1:10" x14ac:dyDescent="0.3">
      <c r="A199" s="348" t="s">
        <v>4</v>
      </c>
      <c r="B199" s="349"/>
      <c r="C199" s="349"/>
      <c r="D199" s="349"/>
      <c r="E199" s="349"/>
      <c r="F199" s="349"/>
      <c r="G199" s="349"/>
      <c r="H199" s="350"/>
      <c r="I199" s="116">
        <f>SUM(I197:I198)</f>
        <v>1131.3900000000001</v>
      </c>
      <c r="J199" s="16">
        <f>I199*1.2388</f>
        <v>1401.565932</v>
      </c>
    </row>
    <row r="200" spans="1:10" x14ac:dyDescent="0.3">
      <c r="A200" s="386" t="s">
        <v>189</v>
      </c>
      <c r="B200" s="387"/>
      <c r="C200" s="387"/>
      <c r="D200" s="387"/>
      <c r="E200" s="387"/>
      <c r="F200" s="387"/>
      <c r="G200" s="387"/>
      <c r="H200" s="387"/>
      <c r="I200" s="387"/>
      <c r="J200" s="388"/>
    </row>
    <row r="201" spans="1:10" ht="16.8" customHeight="1" x14ac:dyDescent="0.3">
      <c r="A201" s="133">
        <v>13</v>
      </c>
      <c r="B201" s="134"/>
      <c r="C201" s="88" t="s">
        <v>115</v>
      </c>
      <c r="D201" s="14" t="s">
        <v>116</v>
      </c>
      <c r="E201" s="6"/>
      <c r="F201" s="7"/>
      <c r="G201" s="106"/>
      <c r="H201" s="106"/>
      <c r="I201" s="117"/>
      <c r="J201" s="29"/>
    </row>
    <row r="202" spans="1:10" x14ac:dyDescent="0.3">
      <c r="A202" s="134" t="s">
        <v>354</v>
      </c>
      <c r="B202" s="134" t="s">
        <v>198</v>
      </c>
      <c r="C202" s="124">
        <v>180380</v>
      </c>
      <c r="D202" s="9" t="s">
        <v>117</v>
      </c>
      <c r="E202" s="6" t="s">
        <v>2</v>
      </c>
      <c r="F202" s="7">
        <f>'MEMÓRIA DE CALCULO'!F232</f>
        <v>0.25</v>
      </c>
      <c r="G202" s="108">
        <v>924.12</v>
      </c>
      <c r="H202" s="108">
        <v>35.11</v>
      </c>
      <c r="I202" s="114">
        <f>(H202+G202)*F202</f>
        <v>239.8075</v>
      </c>
      <c r="J202" s="29"/>
    </row>
    <row r="203" spans="1:10" x14ac:dyDescent="0.3">
      <c r="A203" s="134" t="s">
        <v>355</v>
      </c>
      <c r="B203" s="134" t="s">
        <v>198</v>
      </c>
      <c r="C203" s="124">
        <v>180402</v>
      </c>
      <c r="D203" s="9" t="s">
        <v>118</v>
      </c>
      <c r="E203" s="6" t="s">
        <v>2</v>
      </c>
      <c r="F203" s="7">
        <f>'MEMÓRIA DE CALCULO'!F233</f>
        <v>6.3</v>
      </c>
      <c r="G203" s="108">
        <v>861.91</v>
      </c>
      <c r="H203" s="108">
        <v>35.11</v>
      </c>
      <c r="I203" s="114">
        <f t="shared" ref="I203:I204" si="9">(H203+G203)*F203</f>
        <v>5651.2259999999997</v>
      </c>
      <c r="J203" s="29"/>
    </row>
    <row r="204" spans="1:10" x14ac:dyDescent="0.3">
      <c r="A204" s="134" t="s">
        <v>356</v>
      </c>
      <c r="B204" s="134" t="s">
        <v>198</v>
      </c>
      <c r="C204" s="124" t="s">
        <v>119</v>
      </c>
      <c r="D204" s="9" t="s">
        <v>120</v>
      </c>
      <c r="E204" s="6" t="s">
        <v>2</v>
      </c>
      <c r="F204" s="7">
        <f>'MEMÓRIA DE CALCULO'!F237</f>
        <v>3.72</v>
      </c>
      <c r="G204" s="108">
        <v>704.78</v>
      </c>
      <c r="H204" s="108">
        <v>32.840000000000003</v>
      </c>
      <c r="I204" s="114">
        <f t="shared" si="9"/>
        <v>2743.9464000000003</v>
      </c>
      <c r="J204" s="29"/>
    </row>
    <row r="205" spans="1:10" x14ac:dyDescent="0.3">
      <c r="A205" s="348" t="s">
        <v>4</v>
      </c>
      <c r="B205" s="349"/>
      <c r="C205" s="349"/>
      <c r="D205" s="349"/>
      <c r="E205" s="349"/>
      <c r="F205" s="349"/>
      <c r="G205" s="349"/>
      <c r="H205" s="350"/>
      <c r="I205" s="116">
        <f>SUM(I202:I204)</f>
        <v>8634.9799000000003</v>
      </c>
      <c r="J205" s="16">
        <f>I205*1.2388</f>
        <v>10697.013100119999</v>
      </c>
    </row>
    <row r="206" spans="1:10" x14ac:dyDescent="0.3">
      <c r="A206" s="386" t="s">
        <v>190</v>
      </c>
      <c r="B206" s="387"/>
      <c r="C206" s="387"/>
      <c r="D206" s="387"/>
      <c r="E206" s="387"/>
      <c r="F206" s="387"/>
      <c r="G206" s="387"/>
      <c r="H206" s="387"/>
      <c r="I206" s="387"/>
      <c r="J206" s="388"/>
    </row>
    <row r="207" spans="1:10" x14ac:dyDescent="0.3">
      <c r="A207" s="133">
        <v>14</v>
      </c>
      <c r="B207" s="134"/>
      <c r="C207" s="88" t="s">
        <v>122</v>
      </c>
      <c r="D207" s="14" t="s">
        <v>121</v>
      </c>
      <c r="E207" s="6"/>
      <c r="F207" s="7"/>
      <c r="G207" s="106"/>
      <c r="H207" s="106"/>
      <c r="I207" s="117"/>
      <c r="J207" s="29"/>
    </row>
    <row r="208" spans="1:10" x14ac:dyDescent="0.3">
      <c r="A208" s="134" t="s">
        <v>357</v>
      </c>
      <c r="B208" s="134" t="s">
        <v>198</v>
      </c>
      <c r="C208" s="60" t="s">
        <v>123</v>
      </c>
      <c r="D208" s="249" t="s">
        <v>124</v>
      </c>
      <c r="E208" s="6" t="s">
        <v>2</v>
      </c>
      <c r="F208" s="7">
        <f>'MEMÓRIA DE CALCULO'!F242</f>
        <v>3.4</v>
      </c>
      <c r="G208" s="108">
        <v>99.19</v>
      </c>
      <c r="H208" s="108">
        <v>0</v>
      </c>
      <c r="I208" s="114">
        <f>(H208+G208)*F208</f>
        <v>337.24599999999998</v>
      </c>
      <c r="J208" s="29"/>
    </row>
    <row r="209" spans="1:12" x14ac:dyDescent="0.3">
      <c r="A209" s="348" t="s">
        <v>4</v>
      </c>
      <c r="B209" s="349"/>
      <c r="C209" s="349"/>
      <c r="D209" s="349"/>
      <c r="E209" s="349"/>
      <c r="F209" s="349"/>
      <c r="G209" s="349"/>
      <c r="H209" s="350"/>
      <c r="I209" s="116">
        <f>SUM(I208)</f>
        <v>337.24599999999998</v>
      </c>
      <c r="J209" s="16">
        <f>I209*1.2388</f>
        <v>417.78034479999997</v>
      </c>
    </row>
    <row r="210" spans="1:12" x14ac:dyDescent="0.3">
      <c r="A210" s="386" t="s">
        <v>191</v>
      </c>
      <c r="B210" s="387"/>
      <c r="C210" s="387"/>
      <c r="D210" s="387"/>
      <c r="E210" s="387"/>
      <c r="F210" s="387"/>
      <c r="G210" s="387"/>
      <c r="H210" s="387"/>
      <c r="I210" s="387"/>
      <c r="J210" s="388"/>
    </row>
    <row r="211" spans="1:12" x14ac:dyDescent="0.3">
      <c r="A211" s="133">
        <v>15</v>
      </c>
      <c r="B211" s="134"/>
      <c r="C211" s="88" t="s">
        <v>126</v>
      </c>
      <c r="D211" s="14" t="s">
        <v>125</v>
      </c>
      <c r="E211" s="6"/>
      <c r="F211" s="7"/>
      <c r="G211" s="106"/>
      <c r="H211" s="106"/>
      <c r="I211" s="117"/>
      <c r="J211" s="29"/>
    </row>
    <row r="212" spans="1:12" x14ac:dyDescent="0.3">
      <c r="A212" s="134" t="s">
        <v>358</v>
      </c>
      <c r="B212" s="134" t="s">
        <v>198</v>
      </c>
      <c r="C212" s="124" t="s">
        <v>127</v>
      </c>
      <c r="D212" s="9" t="s">
        <v>128</v>
      </c>
      <c r="E212" s="6" t="s">
        <v>2</v>
      </c>
      <c r="F212" s="7">
        <f>'MEMÓRIA DE CALCULO'!F246</f>
        <v>339.34</v>
      </c>
      <c r="G212" s="108">
        <v>1.98</v>
      </c>
      <c r="H212" s="108">
        <v>2.4900000000000002</v>
      </c>
      <c r="I212" s="114">
        <f>(H212+G212)*F212</f>
        <v>1516.8498000000002</v>
      </c>
      <c r="J212" s="29"/>
    </row>
    <row r="213" spans="1:12" x14ac:dyDescent="0.3">
      <c r="A213" s="134" t="s">
        <v>359</v>
      </c>
      <c r="B213" s="134" t="s">
        <v>198</v>
      </c>
      <c r="C213" s="124" t="s">
        <v>129</v>
      </c>
      <c r="D213" s="9" t="s">
        <v>130</v>
      </c>
      <c r="E213" s="6" t="s">
        <v>2</v>
      </c>
      <c r="F213" s="7">
        <f>'MEMÓRIA DE CALCULO'!F255</f>
        <v>26.285</v>
      </c>
      <c r="G213" s="108">
        <v>7.78</v>
      </c>
      <c r="H213" s="108">
        <v>9.9700000000000006</v>
      </c>
      <c r="I213" s="114">
        <v>466.65</v>
      </c>
      <c r="J213" s="29"/>
    </row>
    <row r="214" spans="1:12" x14ac:dyDescent="0.3">
      <c r="A214" s="134" t="s">
        <v>360</v>
      </c>
      <c r="B214" s="134" t="s">
        <v>198</v>
      </c>
      <c r="C214" s="124" t="s">
        <v>131</v>
      </c>
      <c r="D214" s="9" t="s">
        <v>132</v>
      </c>
      <c r="E214" s="6" t="s">
        <v>2</v>
      </c>
      <c r="F214" s="7">
        <f>'MEMÓRIA DE CALCULO'!F258</f>
        <v>313.05499999999995</v>
      </c>
      <c r="G214" s="108">
        <v>2.0699999999999998</v>
      </c>
      <c r="H214" s="108">
        <v>10.87</v>
      </c>
      <c r="I214" s="114">
        <v>4051</v>
      </c>
      <c r="J214" s="29"/>
    </row>
    <row r="215" spans="1:12" x14ac:dyDescent="0.3">
      <c r="A215" s="134" t="s">
        <v>361</v>
      </c>
      <c r="B215" s="134" t="s">
        <v>198</v>
      </c>
      <c r="C215" s="124" t="s">
        <v>133</v>
      </c>
      <c r="D215" s="9" t="s">
        <v>134</v>
      </c>
      <c r="E215" s="6" t="s">
        <v>2</v>
      </c>
      <c r="F215" s="7">
        <f>'MEMÓRIA DE CALCULO'!F263</f>
        <v>26.285</v>
      </c>
      <c r="G215" s="108">
        <v>28</v>
      </c>
      <c r="H215" s="108">
        <v>18.420000000000002</v>
      </c>
      <c r="I215" s="114">
        <v>1220.3800000000001</v>
      </c>
      <c r="J215" s="29"/>
      <c r="L215" t="s">
        <v>495</v>
      </c>
    </row>
    <row r="216" spans="1:12" x14ac:dyDescent="0.3">
      <c r="A216" s="348" t="s">
        <v>4</v>
      </c>
      <c r="B216" s="349"/>
      <c r="C216" s="349"/>
      <c r="D216" s="349"/>
      <c r="E216" s="349"/>
      <c r="F216" s="349"/>
      <c r="G216" s="349"/>
      <c r="H216" s="350"/>
      <c r="I216" s="116">
        <f>SUM(I212:I215)</f>
        <v>7254.8797999999997</v>
      </c>
      <c r="J216" s="16">
        <f>I216*1.2388</f>
        <v>8987.3450962399984</v>
      </c>
    </row>
    <row r="217" spans="1:12" x14ac:dyDescent="0.3">
      <c r="A217" s="386" t="s">
        <v>192</v>
      </c>
      <c r="B217" s="387"/>
      <c r="C217" s="387"/>
      <c r="D217" s="387"/>
      <c r="E217" s="387"/>
      <c r="F217" s="387"/>
      <c r="G217" s="387"/>
      <c r="H217" s="387"/>
      <c r="I217" s="387"/>
      <c r="J217" s="388"/>
    </row>
    <row r="218" spans="1:12" x14ac:dyDescent="0.3">
      <c r="A218" s="133">
        <v>16</v>
      </c>
      <c r="B218" s="134"/>
      <c r="C218" s="88" t="s">
        <v>136</v>
      </c>
      <c r="D218" s="14" t="s">
        <v>135</v>
      </c>
      <c r="E218" s="6"/>
      <c r="F218" s="7"/>
      <c r="G218" s="106"/>
      <c r="H218" s="106"/>
      <c r="I218" s="117"/>
      <c r="J218" s="29"/>
    </row>
    <row r="219" spans="1:12" x14ac:dyDescent="0.3">
      <c r="A219" s="134" t="s">
        <v>362</v>
      </c>
      <c r="B219" s="134" t="s">
        <v>198</v>
      </c>
      <c r="C219" s="124" t="s">
        <v>137</v>
      </c>
      <c r="D219" s="9" t="s">
        <v>138</v>
      </c>
      <c r="E219" s="6" t="s">
        <v>2</v>
      </c>
      <c r="F219" s="7">
        <f>'MEMÓRIA DE CALCULO'!F268</f>
        <v>45.780000000000008</v>
      </c>
      <c r="G219" s="108">
        <v>2.62</v>
      </c>
      <c r="H219" s="108">
        <v>3.43</v>
      </c>
      <c r="I219" s="114">
        <f>(H219+G219)*F219</f>
        <v>276.96900000000011</v>
      </c>
      <c r="J219" s="29"/>
    </row>
    <row r="220" spans="1:12" x14ac:dyDescent="0.3">
      <c r="A220" s="134" t="s">
        <v>363</v>
      </c>
      <c r="B220" s="134" t="s">
        <v>198</v>
      </c>
      <c r="C220" s="124" t="s">
        <v>139</v>
      </c>
      <c r="D220" s="9" t="s">
        <v>140</v>
      </c>
      <c r="E220" s="6" t="s">
        <v>2</v>
      </c>
      <c r="F220" s="7">
        <f>'MEMÓRIA DE CALCULO'!F275</f>
        <v>45.78</v>
      </c>
      <c r="G220" s="108">
        <v>2.0699999999999998</v>
      </c>
      <c r="H220" s="108">
        <v>14.69</v>
      </c>
      <c r="I220" s="114">
        <f>(H220+G220)*F220</f>
        <v>767.27279999999996</v>
      </c>
      <c r="J220" s="29"/>
    </row>
    <row r="221" spans="1:12" x14ac:dyDescent="0.3">
      <c r="A221" s="348" t="s">
        <v>4</v>
      </c>
      <c r="B221" s="349"/>
      <c r="C221" s="349"/>
      <c r="D221" s="349"/>
      <c r="E221" s="349"/>
      <c r="F221" s="349"/>
      <c r="G221" s="349"/>
      <c r="H221" s="350"/>
      <c r="I221" s="116">
        <f>SUM(I219:I220)</f>
        <v>1044.2418</v>
      </c>
      <c r="J221" s="16">
        <f>I221*1.2388</f>
        <v>1293.6067418399998</v>
      </c>
    </row>
    <row r="222" spans="1:12" x14ac:dyDescent="0.3">
      <c r="A222" s="386" t="s">
        <v>193</v>
      </c>
      <c r="B222" s="387"/>
      <c r="C222" s="387"/>
      <c r="D222" s="387"/>
      <c r="E222" s="387"/>
      <c r="F222" s="387"/>
      <c r="G222" s="387"/>
      <c r="H222" s="387"/>
      <c r="I222" s="387"/>
      <c r="J222" s="388"/>
    </row>
    <row r="223" spans="1:12" x14ac:dyDescent="0.3">
      <c r="A223" s="133">
        <v>17</v>
      </c>
      <c r="B223" s="134"/>
      <c r="C223" s="88" t="s">
        <v>142</v>
      </c>
      <c r="D223" s="251" t="s">
        <v>141</v>
      </c>
      <c r="E223" s="6"/>
      <c r="F223" s="7"/>
      <c r="G223" s="106"/>
      <c r="H223" s="106"/>
      <c r="I223" s="117"/>
      <c r="J223" s="29"/>
    </row>
    <row r="224" spans="1:12" s="76" customFormat="1" x14ac:dyDescent="0.3">
      <c r="A224" s="188" t="s">
        <v>364</v>
      </c>
      <c r="B224" s="188" t="s">
        <v>198</v>
      </c>
      <c r="C224" s="60">
        <v>220101</v>
      </c>
      <c r="D224" s="10" t="s">
        <v>638</v>
      </c>
      <c r="E224" s="60" t="s">
        <v>2</v>
      </c>
      <c r="F224" s="145">
        <f>'MEMÓRIA DE CALCULO'!F284</f>
        <v>41.83</v>
      </c>
      <c r="G224" s="156">
        <v>19.989999999999998</v>
      </c>
      <c r="H224" s="156">
        <v>7.96</v>
      </c>
      <c r="I224" s="191">
        <f>(H224+G224)*F224</f>
        <v>1169.1485</v>
      </c>
      <c r="J224" s="192"/>
    </row>
    <row r="225" spans="1:10" x14ac:dyDescent="0.3">
      <c r="A225" s="134" t="s">
        <v>365</v>
      </c>
      <c r="B225" s="134" t="s">
        <v>198</v>
      </c>
      <c r="C225" s="124">
        <v>220102</v>
      </c>
      <c r="D225" s="10" t="s">
        <v>143</v>
      </c>
      <c r="E225" s="6" t="s">
        <v>2</v>
      </c>
      <c r="F225" s="7">
        <f>'MEMÓRIA DE CALCULO'!F290</f>
        <v>17.190000000000001</v>
      </c>
      <c r="G225" s="108">
        <v>17.46</v>
      </c>
      <c r="H225" s="108">
        <v>9.2100000000000009</v>
      </c>
      <c r="I225" s="114">
        <f t="shared" ref="I225:I228" si="10">(H225+G225)*F225</f>
        <v>458.45730000000009</v>
      </c>
      <c r="J225" s="29"/>
    </row>
    <row r="226" spans="1:10" ht="27.6" x14ac:dyDescent="0.3">
      <c r="A226" s="134" t="s">
        <v>366</v>
      </c>
      <c r="B226" s="134" t="s">
        <v>198</v>
      </c>
      <c r="C226" s="124" t="s">
        <v>144</v>
      </c>
      <c r="D226" s="9" t="s">
        <v>145</v>
      </c>
      <c r="E226" s="6" t="s">
        <v>2</v>
      </c>
      <c r="F226" s="7">
        <f>'MEMÓRIA DE CALCULO'!F291</f>
        <v>28.620000000000005</v>
      </c>
      <c r="G226" s="108">
        <v>38.119999999999997</v>
      </c>
      <c r="H226" s="108">
        <v>20.21</v>
      </c>
      <c r="I226" s="114">
        <f t="shared" si="10"/>
        <v>1669.4046000000003</v>
      </c>
      <c r="J226" s="29"/>
    </row>
    <row r="227" spans="1:10" x14ac:dyDescent="0.3">
      <c r="A227" s="134" t="s">
        <v>367</v>
      </c>
      <c r="B227" s="134" t="s">
        <v>198</v>
      </c>
      <c r="C227" s="124" t="s">
        <v>146</v>
      </c>
      <c r="D227" s="9" t="s">
        <v>147</v>
      </c>
      <c r="E227" s="6" t="s">
        <v>11</v>
      </c>
      <c r="F227" s="7">
        <f>'MEMÓRIA DE CALCULO'!F295</f>
        <v>34.52000000000001</v>
      </c>
      <c r="G227" s="108">
        <v>1.87</v>
      </c>
      <c r="H227" s="108">
        <v>4.8099999999999996</v>
      </c>
      <c r="I227" s="114">
        <f t="shared" si="10"/>
        <v>230.59360000000007</v>
      </c>
      <c r="J227" s="29"/>
    </row>
    <row r="228" spans="1:10" ht="27.6" x14ac:dyDescent="0.3">
      <c r="A228" s="134" t="s">
        <v>368</v>
      </c>
      <c r="B228" s="134" t="s">
        <v>198</v>
      </c>
      <c r="C228" s="124" t="s">
        <v>148</v>
      </c>
      <c r="D228" s="8" t="s">
        <v>149</v>
      </c>
      <c r="E228" s="6" t="s">
        <v>2</v>
      </c>
      <c r="F228" s="7">
        <f>'MEMÓRIA DE CALCULO'!F299</f>
        <v>13.21</v>
      </c>
      <c r="G228" s="108">
        <v>38.450000000000003</v>
      </c>
      <c r="H228" s="108">
        <v>20.21</v>
      </c>
      <c r="I228" s="114">
        <f t="shared" si="10"/>
        <v>774.8986000000001</v>
      </c>
      <c r="J228" s="29"/>
    </row>
    <row r="229" spans="1:10" x14ac:dyDescent="0.3">
      <c r="A229" s="348" t="s">
        <v>4</v>
      </c>
      <c r="B229" s="349"/>
      <c r="C229" s="349"/>
      <c r="D229" s="349"/>
      <c r="E229" s="349"/>
      <c r="F229" s="349"/>
      <c r="G229" s="349"/>
      <c r="H229" s="350"/>
      <c r="I229" s="116">
        <f>SUM(I224:I228)</f>
        <v>4302.5026000000007</v>
      </c>
      <c r="J229" s="16">
        <f>I229*1.2388</f>
        <v>5329.9402208800002</v>
      </c>
    </row>
    <row r="230" spans="1:10" x14ac:dyDescent="0.3">
      <c r="A230" s="386" t="s">
        <v>194</v>
      </c>
      <c r="B230" s="387"/>
      <c r="C230" s="387"/>
      <c r="D230" s="387"/>
      <c r="E230" s="387"/>
      <c r="F230" s="387"/>
      <c r="G230" s="387"/>
      <c r="H230" s="387"/>
      <c r="I230" s="387"/>
      <c r="J230" s="388"/>
    </row>
    <row r="231" spans="1:10" x14ac:dyDescent="0.3">
      <c r="A231" s="133">
        <v>18</v>
      </c>
      <c r="B231" s="134"/>
      <c r="C231" s="88" t="s">
        <v>151</v>
      </c>
      <c r="D231" s="251" t="s">
        <v>150</v>
      </c>
      <c r="E231" s="6"/>
      <c r="F231" s="7"/>
      <c r="G231" s="106"/>
      <c r="H231" s="106"/>
      <c r="I231" s="117"/>
      <c r="J231" s="29"/>
    </row>
    <row r="232" spans="1:10" x14ac:dyDescent="0.3">
      <c r="A232" s="134" t="s">
        <v>369</v>
      </c>
      <c r="B232" s="134" t="s">
        <v>198</v>
      </c>
      <c r="C232" s="124" t="s">
        <v>152</v>
      </c>
      <c r="D232" s="9" t="s">
        <v>153</v>
      </c>
      <c r="E232" s="6" t="s">
        <v>456</v>
      </c>
      <c r="F232" s="7">
        <f>'MEMÓRIA DE CALCULO'!F303</f>
        <v>3</v>
      </c>
      <c r="G232" s="108">
        <v>103.95</v>
      </c>
      <c r="H232" s="108">
        <v>15.97</v>
      </c>
      <c r="I232" s="114">
        <f>(H232+G232)*F232</f>
        <v>359.76</v>
      </c>
      <c r="J232" s="29"/>
    </row>
    <row r="233" spans="1:10" x14ac:dyDescent="0.3">
      <c r="A233" s="134" t="s">
        <v>383</v>
      </c>
      <c r="B233" s="134" t="s">
        <v>198</v>
      </c>
      <c r="C233" s="124">
        <v>230201</v>
      </c>
      <c r="D233" s="9" t="s">
        <v>225</v>
      </c>
      <c r="E233" s="6" t="s">
        <v>456</v>
      </c>
      <c r="F233" s="7">
        <f>'MEMÓRIA DE CALCULO'!F305</f>
        <v>9</v>
      </c>
      <c r="G233" s="108">
        <v>20</v>
      </c>
      <c r="H233" s="108">
        <v>6.4</v>
      </c>
      <c r="I233" s="114">
        <f>(H233+G233)*F233</f>
        <v>237.6</v>
      </c>
      <c r="J233" s="29"/>
    </row>
    <row r="234" spans="1:10" s="123" customFormat="1" x14ac:dyDescent="0.3">
      <c r="A234" s="134" t="s">
        <v>540</v>
      </c>
      <c r="B234" s="134" t="s">
        <v>198</v>
      </c>
      <c r="C234" s="202">
        <v>230802</v>
      </c>
      <c r="D234" s="126" t="s">
        <v>539</v>
      </c>
      <c r="E234" s="202" t="s">
        <v>456</v>
      </c>
      <c r="F234" s="125">
        <f>'MEMÓRIA DE CALCULO'!F307</f>
        <v>1</v>
      </c>
      <c r="G234" s="127">
        <v>15.9</v>
      </c>
      <c r="H234" s="203">
        <v>0</v>
      </c>
      <c r="I234" s="128">
        <f>(H234+G234)*F234</f>
        <v>15.9</v>
      </c>
      <c r="J234" s="118"/>
    </row>
    <row r="235" spans="1:10" x14ac:dyDescent="0.3">
      <c r="A235" s="348" t="s">
        <v>4</v>
      </c>
      <c r="B235" s="349"/>
      <c r="C235" s="349"/>
      <c r="D235" s="349"/>
      <c r="E235" s="349"/>
      <c r="F235" s="349"/>
      <c r="G235" s="349"/>
      <c r="H235" s="350"/>
      <c r="I235" s="116">
        <f>SUM(I232:I234)</f>
        <v>613.26</v>
      </c>
      <c r="J235" s="16">
        <f>I235*1.2388</f>
        <v>759.70648799999992</v>
      </c>
    </row>
    <row r="236" spans="1:10" x14ac:dyDescent="0.3">
      <c r="A236" s="386" t="s">
        <v>195</v>
      </c>
      <c r="B236" s="387"/>
      <c r="C236" s="387"/>
      <c r="D236" s="387"/>
      <c r="E236" s="387"/>
      <c r="F236" s="387"/>
      <c r="G236" s="387"/>
      <c r="H236" s="387"/>
      <c r="I236" s="387"/>
      <c r="J236" s="388"/>
    </row>
    <row r="237" spans="1:10" x14ac:dyDescent="0.3">
      <c r="A237" s="133">
        <v>19</v>
      </c>
      <c r="B237" s="134"/>
      <c r="C237" s="88" t="s">
        <v>155</v>
      </c>
      <c r="D237" s="14" t="s">
        <v>154</v>
      </c>
      <c r="E237" s="6"/>
      <c r="F237" s="7"/>
      <c r="G237" s="106"/>
      <c r="H237" s="106"/>
      <c r="I237" s="117"/>
      <c r="J237" s="29"/>
    </row>
    <row r="238" spans="1:10" x14ac:dyDescent="0.3">
      <c r="A238" s="134" t="s">
        <v>371</v>
      </c>
      <c r="B238" s="134" t="s">
        <v>198</v>
      </c>
      <c r="C238" s="124">
        <v>261000</v>
      </c>
      <c r="D238" s="9" t="s">
        <v>689</v>
      </c>
      <c r="E238" s="6" t="s">
        <v>2</v>
      </c>
      <c r="F238" s="7">
        <f>'MEMÓRIA DE CALCULO'!F311</f>
        <v>124.75</v>
      </c>
      <c r="G238" s="108">
        <v>5.91</v>
      </c>
      <c r="H238" s="108">
        <v>5.61</v>
      </c>
      <c r="I238" s="114">
        <f t="shared" ref="I238:I245" si="11">(H238+G238)*F238</f>
        <v>1437.12</v>
      </c>
      <c r="J238" s="29"/>
    </row>
    <row r="239" spans="1:10" x14ac:dyDescent="0.3">
      <c r="A239" s="134" t="s">
        <v>372</v>
      </c>
      <c r="B239" s="134" t="s">
        <v>198</v>
      </c>
      <c r="C239" s="134">
        <v>261301</v>
      </c>
      <c r="D239" s="23" t="s">
        <v>690</v>
      </c>
      <c r="E239" s="124" t="s">
        <v>246</v>
      </c>
      <c r="F239" s="7">
        <f>'MEMÓRIA DE CALCULO'!F312</f>
        <v>164.01000000000002</v>
      </c>
      <c r="G239" s="108">
        <v>1.1000000000000001</v>
      </c>
      <c r="H239" s="108">
        <v>4.6500000000000004</v>
      </c>
      <c r="I239" s="114">
        <f t="shared" si="11"/>
        <v>943.05750000000012</v>
      </c>
      <c r="J239" s="29"/>
    </row>
    <row r="240" spans="1:10" x14ac:dyDescent="0.3">
      <c r="A240" s="134" t="s">
        <v>373</v>
      </c>
      <c r="B240" s="134" t="s">
        <v>198</v>
      </c>
      <c r="C240" s="124" t="s">
        <v>156</v>
      </c>
      <c r="D240" s="9" t="s">
        <v>157</v>
      </c>
      <c r="E240" s="6" t="s">
        <v>2</v>
      </c>
      <c r="F240" s="7">
        <f>'MEMÓRIA DE CALCULO'!F318</f>
        <v>164.01000000000002</v>
      </c>
      <c r="G240" s="108">
        <v>3.97</v>
      </c>
      <c r="H240" s="108">
        <v>3.98</v>
      </c>
      <c r="I240" s="114">
        <f t="shared" si="11"/>
        <v>1303.8795000000002</v>
      </c>
      <c r="J240" s="29"/>
    </row>
    <row r="241" spans="1:10" x14ac:dyDescent="0.3">
      <c r="A241" s="134" t="s">
        <v>374</v>
      </c>
      <c r="B241" s="134" t="s">
        <v>198</v>
      </c>
      <c r="C241" s="124">
        <v>261008</v>
      </c>
      <c r="D241" s="23" t="s">
        <v>249</v>
      </c>
      <c r="E241" s="6" t="s">
        <v>174</v>
      </c>
      <c r="F241" s="7">
        <f>'MEMÓRIA DE CALCULO'!F323</f>
        <v>21.14</v>
      </c>
      <c r="G241" s="108">
        <v>4.2699999999999996</v>
      </c>
      <c r="H241" s="108">
        <v>6.49</v>
      </c>
      <c r="I241" s="114">
        <f t="shared" si="11"/>
        <v>227.46639999999999</v>
      </c>
      <c r="J241" s="29"/>
    </row>
    <row r="242" spans="1:10" x14ac:dyDescent="0.3">
      <c r="A242" s="134" t="s">
        <v>375</v>
      </c>
      <c r="B242" s="134" t="s">
        <v>198</v>
      </c>
      <c r="C242" s="124">
        <v>261504</v>
      </c>
      <c r="D242" s="5" t="s">
        <v>250</v>
      </c>
      <c r="E242" s="6" t="s">
        <v>2</v>
      </c>
      <c r="F242" s="7">
        <f>'MEMÓRIA DE CALCULO'!F331</f>
        <v>21.14</v>
      </c>
      <c r="G242" s="108">
        <v>1.97</v>
      </c>
      <c r="H242" s="108">
        <v>6.49</v>
      </c>
      <c r="I242" s="114">
        <f t="shared" si="11"/>
        <v>178.84440000000004</v>
      </c>
      <c r="J242" s="29"/>
    </row>
    <row r="243" spans="1:10" x14ac:dyDescent="0.3">
      <c r="A243" s="134" t="s">
        <v>376</v>
      </c>
      <c r="B243" s="134" t="s">
        <v>198</v>
      </c>
      <c r="C243" s="124">
        <v>260901</v>
      </c>
      <c r="D243" s="9" t="s">
        <v>158</v>
      </c>
      <c r="E243" s="6" t="s">
        <v>2</v>
      </c>
      <c r="F243" s="7">
        <f>'MEMÓRIA DE CALCULO'!F339</f>
        <v>9.24</v>
      </c>
      <c r="G243" s="108">
        <v>6.13</v>
      </c>
      <c r="H243" s="108">
        <v>4.68</v>
      </c>
      <c r="I243" s="114">
        <f t="shared" si="11"/>
        <v>99.884399999999985</v>
      </c>
      <c r="J243" s="29"/>
    </row>
    <row r="244" spans="1:10" s="123" customFormat="1" x14ac:dyDescent="0.3">
      <c r="A244" s="134" t="s">
        <v>517</v>
      </c>
      <c r="B244" s="134" t="s">
        <v>198</v>
      </c>
      <c r="C244" s="202">
        <v>261010</v>
      </c>
      <c r="D244" s="245" t="s">
        <v>516</v>
      </c>
      <c r="E244" s="124" t="s">
        <v>2</v>
      </c>
      <c r="F244" s="125">
        <f>'MEMÓRIA DE CALCULO'!F340</f>
        <v>3.0239999999999996</v>
      </c>
      <c r="G244" s="127">
        <v>2.4700000000000002</v>
      </c>
      <c r="H244" s="127">
        <v>3.85</v>
      </c>
      <c r="I244" s="127">
        <v>19.09</v>
      </c>
      <c r="J244" s="118"/>
    </row>
    <row r="245" spans="1:10" s="123" customFormat="1" x14ac:dyDescent="0.3">
      <c r="A245" s="135" t="s">
        <v>520</v>
      </c>
      <c r="B245" s="134" t="s">
        <v>198</v>
      </c>
      <c r="C245" s="202">
        <v>261001</v>
      </c>
      <c r="D245" s="126" t="s">
        <v>519</v>
      </c>
      <c r="E245" s="124" t="s">
        <v>2</v>
      </c>
      <c r="F245" s="125">
        <f>'MEMÓRIA DE CALCULO'!F341</f>
        <v>3.0239999999999996</v>
      </c>
      <c r="G245" s="127">
        <v>5.03</v>
      </c>
      <c r="H245" s="203">
        <v>5.58</v>
      </c>
      <c r="I245" s="128">
        <v>32.04</v>
      </c>
      <c r="J245" s="118"/>
    </row>
    <row r="246" spans="1:10" x14ac:dyDescent="0.3">
      <c r="A246" s="348" t="s">
        <v>4</v>
      </c>
      <c r="B246" s="349"/>
      <c r="C246" s="349"/>
      <c r="D246" s="349"/>
      <c r="E246" s="349"/>
      <c r="F246" s="349"/>
      <c r="G246" s="349"/>
      <c r="H246" s="350"/>
      <c r="I246" s="116">
        <f>SUM(I238:I245)</f>
        <v>4241.3822</v>
      </c>
      <c r="J246" s="16">
        <f>I246*1.2388</f>
        <v>5254.2242693599992</v>
      </c>
    </row>
    <row r="247" spans="1:10" x14ac:dyDescent="0.3">
      <c r="A247" s="386" t="s">
        <v>196</v>
      </c>
      <c r="B247" s="387"/>
      <c r="C247" s="387"/>
      <c r="D247" s="387"/>
      <c r="E247" s="387"/>
      <c r="F247" s="387"/>
      <c r="G247" s="387"/>
      <c r="H247" s="387"/>
      <c r="I247" s="387"/>
      <c r="J247" s="388"/>
    </row>
    <row r="248" spans="1:10" x14ac:dyDescent="0.3">
      <c r="A248" s="133">
        <v>20</v>
      </c>
      <c r="B248" s="134"/>
      <c r="C248" s="88" t="s">
        <v>160</v>
      </c>
      <c r="D248" s="14" t="s">
        <v>159</v>
      </c>
      <c r="E248" s="6"/>
      <c r="F248" s="7"/>
      <c r="G248" s="106"/>
      <c r="H248" s="106"/>
      <c r="I248" s="117"/>
      <c r="J248" s="29"/>
    </row>
    <row r="249" spans="1:10" x14ac:dyDescent="0.3">
      <c r="A249" s="134" t="s">
        <v>377</v>
      </c>
      <c r="B249" s="134" t="s">
        <v>198</v>
      </c>
      <c r="C249" s="124" t="s">
        <v>161</v>
      </c>
      <c r="D249" s="9" t="s">
        <v>162</v>
      </c>
      <c r="E249" s="6" t="s">
        <v>2</v>
      </c>
      <c r="F249" s="7">
        <f>'MEMÓRIA DE CALCULO'!F344</f>
        <v>50</v>
      </c>
      <c r="G249" s="108">
        <v>0.71</v>
      </c>
      <c r="H249" s="108">
        <v>1.45</v>
      </c>
      <c r="I249" s="114">
        <f>(H249+G249)*F249</f>
        <v>108</v>
      </c>
      <c r="J249" s="29"/>
    </row>
    <row r="250" spans="1:10" x14ac:dyDescent="0.3">
      <c r="A250" s="134" t="s">
        <v>388</v>
      </c>
      <c r="B250" s="134" t="s">
        <v>198</v>
      </c>
      <c r="C250" s="124">
        <v>270808</v>
      </c>
      <c r="D250" s="9" t="s">
        <v>197</v>
      </c>
      <c r="E250" s="6" t="s">
        <v>456</v>
      </c>
      <c r="F250" s="7">
        <f>'MEMÓRIA DE CALCULO'!F345</f>
        <v>1</v>
      </c>
      <c r="G250" s="108">
        <v>226.78</v>
      </c>
      <c r="H250" s="108">
        <v>5.78</v>
      </c>
      <c r="I250" s="114">
        <f>(H250+G250)*F250</f>
        <v>232.56</v>
      </c>
      <c r="J250" s="29"/>
    </row>
    <row r="251" spans="1:10" s="123" customFormat="1" x14ac:dyDescent="0.3">
      <c r="A251" s="134" t="s">
        <v>671</v>
      </c>
      <c r="B251" s="134" t="s">
        <v>198</v>
      </c>
      <c r="C251" s="124">
        <v>271701</v>
      </c>
      <c r="D251" s="126" t="s">
        <v>672</v>
      </c>
      <c r="E251" s="124" t="s">
        <v>2</v>
      </c>
      <c r="F251" s="125">
        <f>'MEMÓRIA DE CALCULO'!F346</f>
        <v>0.72</v>
      </c>
      <c r="G251" s="127">
        <v>119.29</v>
      </c>
      <c r="H251" s="127">
        <v>91.64</v>
      </c>
      <c r="I251" s="128">
        <f>(H251+G251)*F251</f>
        <v>151.86959999999999</v>
      </c>
      <c r="J251" s="118"/>
    </row>
    <row r="252" spans="1:10" s="123" customFormat="1" x14ac:dyDescent="0.3">
      <c r="A252" s="134" t="s">
        <v>673</v>
      </c>
      <c r="B252" s="134" t="s">
        <v>198</v>
      </c>
      <c r="C252" s="124">
        <v>271605</v>
      </c>
      <c r="D252" s="126" t="s">
        <v>674</v>
      </c>
      <c r="E252" s="124" t="s">
        <v>456</v>
      </c>
      <c r="F252" s="125">
        <f>'MEMÓRIA DE CALCULO'!F347</f>
        <v>2</v>
      </c>
      <c r="G252" s="127">
        <v>18.61</v>
      </c>
      <c r="H252" s="127">
        <v>6.4</v>
      </c>
      <c r="I252" s="128">
        <f>(H252+G252)*F252</f>
        <v>50.019999999999996</v>
      </c>
      <c r="J252" s="118"/>
    </row>
    <row r="253" spans="1:10" x14ac:dyDescent="0.3">
      <c r="A253" s="342" t="s">
        <v>4</v>
      </c>
      <c r="B253" s="342"/>
      <c r="C253" s="342"/>
      <c r="D253" s="342"/>
      <c r="E253" s="342"/>
      <c r="F253" s="342"/>
      <c r="G253" s="342"/>
      <c r="H253" s="342"/>
      <c r="I253" s="116">
        <f>SUM(I249:I252)</f>
        <v>542.44960000000003</v>
      </c>
      <c r="J253" s="16">
        <f>I253*1.2388</f>
        <v>671.98656447999997</v>
      </c>
    </row>
    <row r="254" spans="1:10" x14ac:dyDescent="0.3">
      <c r="A254" s="63"/>
      <c r="B254" s="63"/>
      <c r="C254" s="63"/>
      <c r="D254" s="46"/>
      <c r="E254" s="63"/>
      <c r="F254" s="46"/>
      <c r="G254" s="103"/>
      <c r="H254" s="103"/>
      <c r="I254" s="119"/>
      <c r="J254" s="47"/>
    </row>
    <row r="255" spans="1:10" x14ac:dyDescent="0.3">
      <c r="A255" s="385" t="s">
        <v>199</v>
      </c>
      <c r="B255" s="385"/>
      <c r="C255" s="385"/>
      <c r="D255" s="385"/>
      <c r="E255" s="385"/>
      <c r="F255" s="385"/>
      <c r="G255" s="385"/>
      <c r="H255" s="385"/>
      <c r="I255" s="120">
        <f>I253+I246+I235+I229+I221+I216+I209+I205+I199+I194+I187+I183+I178+I174+I64+I38+I27+I21+I14+I10</f>
        <v>78034.178703500002</v>
      </c>
      <c r="J255" s="16">
        <f>I255*1.2388</f>
        <v>96668.740577895791</v>
      </c>
    </row>
    <row r="256" spans="1:10" x14ac:dyDescent="0.3">
      <c r="E256" s="85"/>
      <c r="F256" s="85"/>
      <c r="G256" s="121"/>
      <c r="H256" s="121"/>
      <c r="I256" s="122"/>
      <c r="J256" s="86"/>
    </row>
    <row r="257" spans="1:11" x14ac:dyDescent="0.3">
      <c r="A257" s="290"/>
      <c r="B257" s="290"/>
      <c r="C257" s="290"/>
      <c r="E257" s="362"/>
      <c r="F257" s="362"/>
      <c r="G257" s="362"/>
      <c r="H257" s="362"/>
      <c r="I257" s="362"/>
      <c r="J257" s="362"/>
    </row>
    <row r="258" spans="1:11" x14ac:dyDescent="0.3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230"/>
    </row>
    <row r="259" spans="1:11" x14ac:dyDescent="0.3">
      <c r="A259" s="362" t="s">
        <v>682</v>
      </c>
      <c r="B259" s="362"/>
      <c r="C259" s="362"/>
      <c r="D259" s="362" t="s">
        <v>681</v>
      </c>
      <c r="E259" s="362"/>
      <c r="F259" s="362"/>
      <c r="G259" s="362"/>
      <c r="H259" s="362" t="s">
        <v>681</v>
      </c>
      <c r="I259" s="362"/>
      <c r="J259" s="362"/>
    </row>
    <row r="260" spans="1:11" x14ac:dyDescent="0.3">
      <c r="A260" s="365" t="s">
        <v>401</v>
      </c>
      <c r="B260" s="365"/>
      <c r="C260" s="365"/>
      <c r="D260" s="362" t="s">
        <v>658</v>
      </c>
      <c r="E260" s="362"/>
      <c r="F260" s="362"/>
      <c r="G260" s="362"/>
      <c r="H260" s="362" t="s">
        <v>683</v>
      </c>
      <c r="I260" s="362"/>
      <c r="J260" s="362"/>
    </row>
    <row r="261" spans="1:11" x14ac:dyDescent="0.3">
      <c r="A261" s="365" t="s">
        <v>402</v>
      </c>
      <c r="B261" s="365"/>
      <c r="C261" s="365"/>
      <c r="D261" s="362" t="s">
        <v>659</v>
      </c>
      <c r="E261" s="362"/>
      <c r="F261" s="362"/>
      <c r="G261" s="362"/>
      <c r="H261" s="362" t="s">
        <v>403</v>
      </c>
      <c r="I261" s="362"/>
      <c r="J261" s="362"/>
    </row>
    <row r="262" spans="1:11" x14ac:dyDescent="0.3">
      <c r="A262" s="365" t="s">
        <v>403</v>
      </c>
      <c r="B262" s="365"/>
      <c r="C262" s="365"/>
      <c r="D262" s="282"/>
      <c r="E262" s="123"/>
      <c r="F262" s="123"/>
      <c r="G262" s="123"/>
      <c r="H262" s="362" t="s">
        <v>684</v>
      </c>
      <c r="I262" s="362"/>
      <c r="J262" s="362"/>
    </row>
    <row r="263" spans="1:11" x14ac:dyDescent="0.3">
      <c r="A263" s="365" t="s">
        <v>404</v>
      </c>
      <c r="B263" s="365"/>
      <c r="C263" s="365"/>
      <c r="D263" s="282"/>
      <c r="E263" s="362"/>
      <c r="F263" s="362"/>
      <c r="G263" s="362"/>
      <c r="H263" s="362"/>
      <c r="I263" s="362"/>
      <c r="J263" s="362"/>
    </row>
    <row r="264" spans="1:11" x14ac:dyDescent="0.3">
      <c r="A264" s="366"/>
      <c r="B264" s="366"/>
      <c r="C264" s="366"/>
      <c r="D264" s="366"/>
      <c r="E264" s="366"/>
      <c r="F264" s="366"/>
      <c r="G264" s="366"/>
      <c r="H264" s="366"/>
      <c r="I264" s="366"/>
      <c r="J264" s="366"/>
    </row>
    <row r="265" spans="1:11" x14ac:dyDescent="0.3">
      <c r="E265" s="281"/>
      <c r="F265" s="281"/>
      <c r="G265" s="281"/>
      <c r="H265" s="281"/>
      <c r="I265" s="281"/>
      <c r="J265" s="281"/>
    </row>
    <row r="266" spans="1:11" x14ac:dyDescent="0.3">
      <c r="E266" s="282"/>
      <c r="F266" s="282"/>
      <c r="G266" s="282"/>
      <c r="H266" s="282"/>
      <c r="I266" s="282"/>
      <c r="J266" s="282"/>
    </row>
    <row r="267" spans="1:11" x14ac:dyDescent="0.3">
      <c r="E267" s="282"/>
      <c r="F267" s="282"/>
      <c r="G267" s="282"/>
      <c r="H267" s="282"/>
      <c r="I267" s="282"/>
      <c r="J267" s="282"/>
    </row>
    <row r="268" spans="1:11" x14ac:dyDescent="0.3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</row>
    <row r="269" spans="1:11" x14ac:dyDescent="0.3">
      <c r="A269" s="365"/>
      <c r="B269" s="365"/>
      <c r="C269" s="365"/>
      <c r="D269" s="362"/>
      <c r="E269" s="362"/>
      <c r="F269" s="362"/>
      <c r="G269" s="362"/>
      <c r="H269" s="362"/>
      <c r="I269" s="362"/>
      <c r="J269" s="362"/>
    </row>
    <row r="270" spans="1:11" x14ac:dyDescent="0.3">
      <c r="A270" s="365"/>
      <c r="B270" s="365"/>
      <c r="C270" s="365"/>
      <c r="D270" s="362"/>
      <c r="E270" s="362"/>
      <c r="F270" s="362"/>
      <c r="G270" s="362"/>
      <c r="H270" s="362"/>
      <c r="I270" s="362"/>
      <c r="J270" s="362"/>
    </row>
    <row r="271" spans="1:11" x14ac:dyDescent="0.3">
      <c r="A271" s="365"/>
      <c r="B271" s="365"/>
      <c r="C271" s="365"/>
      <c r="D271" s="282"/>
      <c r="E271" s="123"/>
      <c r="F271" s="123"/>
      <c r="G271" s="123"/>
      <c r="H271" s="362"/>
      <c r="I271" s="362"/>
      <c r="J271" s="362"/>
    </row>
    <row r="272" spans="1:11" x14ac:dyDescent="0.3">
      <c r="A272" s="365"/>
      <c r="B272" s="365"/>
      <c r="C272" s="365"/>
      <c r="D272" s="282"/>
      <c r="E272" s="362"/>
      <c r="F272" s="362"/>
      <c r="G272" s="362"/>
      <c r="H272" s="362"/>
      <c r="I272" s="362"/>
      <c r="J272" s="362"/>
    </row>
    <row r="273" spans="1:10" x14ac:dyDescent="0.3">
      <c r="A273" s="366"/>
      <c r="B273" s="366"/>
      <c r="C273" s="366"/>
      <c r="D273" s="366"/>
      <c r="E273" s="366"/>
      <c r="F273" s="366"/>
      <c r="G273" s="366"/>
      <c r="H273" s="366"/>
      <c r="I273" s="366"/>
      <c r="J273" s="366"/>
    </row>
  </sheetData>
  <mergeCells count="82">
    <mergeCell ref="E257:J257"/>
    <mergeCell ref="A273:J273"/>
    <mergeCell ref="A264:J264"/>
    <mergeCell ref="A259:C259"/>
    <mergeCell ref="A260:C260"/>
    <mergeCell ref="A261:C261"/>
    <mergeCell ref="A262:C262"/>
    <mergeCell ref="H268:J268"/>
    <mergeCell ref="A269:C269"/>
    <mergeCell ref="D269:G269"/>
    <mergeCell ref="H269:J269"/>
    <mergeCell ref="A258:C258"/>
    <mergeCell ref="D258:G258"/>
    <mergeCell ref="H258:J258"/>
    <mergeCell ref="H259:J259"/>
    <mergeCell ref="D259:G259"/>
    <mergeCell ref="A194:H194"/>
    <mergeCell ref="A195:J195"/>
    <mergeCell ref="A236:J236"/>
    <mergeCell ref="A253:H253"/>
    <mergeCell ref="A221:H221"/>
    <mergeCell ref="A229:H229"/>
    <mergeCell ref="A235:H235"/>
    <mergeCell ref="A247:J247"/>
    <mergeCell ref="B6:C6"/>
    <mergeCell ref="A5:J5"/>
    <mergeCell ref="A15:J15"/>
    <mergeCell ref="A184:J184"/>
    <mergeCell ref="A188:J188"/>
    <mergeCell ref="A175:J175"/>
    <mergeCell ref="A179:J179"/>
    <mergeCell ref="A14:H14"/>
    <mergeCell ref="A7:J7"/>
    <mergeCell ref="A11:J11"/>
    <mergeCell ref="A1:J1"/>
    <mergeCell ref="A21:H21"/>
    <mergeCell ref="A27:H27"/>
    <mergeCell ref="A38:H38"/>
    <mergeCell ref="A246:H246"/>
    <mergeCell ref="A64:H64"/>
    <mergeCell ref="A174:H174"/>
    <mergeCell ref="A178:H178"/>
    <mergeCell ref="A22:J22"/>
    <mergeCell ref="A28:J28"/>
    <mergeCell ref="A39:J39"/>
    <mergeCell ref="A65:J65"/>
    <mergeCell ref="A10:H10"/>
    <mergeCell ref="A4:J4"/>
    <mergeCell ref="A3:J3"/>
    <mergeCell ref="A2:J2"/>
    <mergeCell ref="K13:M13"/>
    <mergeCell ref="K17:M18"/>
    <mergeCell ref="N17:N18"/>
    <mergeCell ref="A255:H255"/>
    <mergeCell ref="A183:H183"/>
    <mergeCell ref="A187:H187"/>
    <mergeCell ref="A199:H199"/>
    <mergeCell ref="A205:H205"/>
    <mergeCell ref="A209:H209"/>
    <mergeCell ref="A216:H216"/>
    <mergeCell ref="A206:J206"/>
    <mergeCell ref="A210:J210"/>
    <mergeCell ref="A217:J217"/>
    <mergeCell ref="A222:J222"/>
    <mergeCell ref="A230:J230"/>
    <mergeCell ref="A200:J200"/>
    <mergeCell ref="A272:C272"/>
    <mergeCell ref="E272:J272"/>
    <mergeCell ref="H261:J261"/>
    <mergeCell ref="D260:G260"/>
    <mergeCell ref="H260:J260"/>
    <mergeCell ref="D261:G261"/>
    <mergeCell ref="H262:J262"/>
    <mergeCell ref="A263:C263"/>
    <mergeCell ref="E263:J263"/>
    <mergeCell ref="A270:C270"/>
    <mergeCell ref="D270:G270"/>
    <mergeCell ref="H270:J270"/>
    <mergeCell ref="A271:C271"/>
    <mergeCell ref="H271:J271"/>
    <mergeCell ref="A268:C268"/>
    <mergeCell ref="D268:G268"/>
  </mergeCells>
  <phoneticPr fontId="12" type="noConversion"/>
  <printOptions horizontalCentered="1"/>
  <pageMargins left="0.9055118110236221" right="0.9055118110236221" top="0.39370078740157483" bottom="0.39370078740157483" header="0.31496062992125984" footer="0.31496062992125984"/>
  <pageSetup paperSize="9" scale="74" fitToHeight="0" orientation="landscape" r:id="rId1"/>
  <ignoredErrors>
    <ignoredError sqref="C176 C185 C189:C190 C201 C204 C207:C208 C211:C215 C218:C220 C223 C226:C228 C231:C232 C248:C249 C196:C197 C237 C240 C18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7"/>
  <sheetViews>
    <sheetView topLeftCell="A322" workbookViewId="0">
      <selection activeCell="D346" sqref="D346"/>
    </sheetView>
  </sheetViews>
  <sheetFormatPr defaultRowHeight="14.4" x14ac:dyDescent="0.3"/>
  <cols>
    <col min="1" max="1" width="6.88671875" style="32" bestFit="1" customWidth="1"/>
    <col min="2" max="2" width="15" style="30" customWidth="1"/>
    <col min="3" max="3" width="7" style="32" bestFit="1" customWidth="1"/>
    <col min="4" max="4" width="81.109375" style="1" customWidth="1"/>
    <col min="5" max="5" width="5" style="1" bestFit="1" customWidth="1"/>
    <col min="6" max="6" width="7.44140625" style="21" bestFit="1" customWidth="1"/>
    <col min="7" max="7" width="49.109375" style="2" bestFit="1" customWidth="1"/>
  </cols>
  <sheetData>
    <row r="1" spans="1:7" s="123" customFormat="1" x14ac:dyDescent="0.3">
      <c r="A1" s="428" t="s">
        <v>163</v>
      </c>
      <c r="B1" s="429"/>
      <c r="C1" s="429"/>
      <c r="D1" s="429"/>
      <c r="E1" s="429"/>
      <c r="F1" s="429"/>
      <c r="G1" s="430"/>
    </row>
    <row r="2" spans="1:7" s="123" customFormat="1" x14ac:dyDescent="0.3">
      <c r="A2" s="431" t="s">
        <v>164</v>
      </c>
      <c r="B2" s="432"/>
      <c r="C2" s="432"/>
      <c r="D2" s="432"/>
      <c r="E2" s="432"/>
      <c r="F2" s="432"/>
      <c r="G2" s="433"/>
    </row>
    <row r="3" spans="1:7" s="123" customFormat="1" x14ac:dyDescent="0.3">
      <c r="A3" s="431" t="s">
        <v>667</v>
      </c>
      <c r="B3" s="432"/>
      <c r="C3" s="432"/>
      <c r="D3" s="432"/>
      <c r="E3" s="432"/>
      <c r="F3" s="432"/>
      <c r="G3" s="433"/>
    </row>
    <row r="4" spans="1:7" s="123" customFormat="1" x14ac:dyDescent="0.3">
      <c r="A4" s="431" t="s">
        <v>665</v>
      </c>
      <c r="B4" s="432"/>
      <c r="C4" s="432"/>
      <c r="D4" s="432"/>
      <c r="E4" s="432"/>
      <c r="F4" s="432"/>
      <c r="G4" s="433"/>
    </row>
    <row r="5" spans="1:7" s="123" customFormat="1" x14ac:dyDescent="0.3">
      <c r="A5" s="336" t="s">
        <v>661</v>
      </c>
      <c r="B5" s="337"/>
      <c r="C5" s="337"/>
      <c r="D5" s="337"/>
      <c r="E5" s="337"/>
      <c r="F5" s="337"/>
      <c r="G5" s="338"/>
    </row>
    <row r="6" spans="1:7" s="123" customFormat="1" x14ac:dyDescent="0.3">
      <c r="A6" s="56" t="s">
        <v>165</v>
      </c>
      <c r="B6" s="434" t="s">
        <v>210</v>
      </c>
      <c r="C6" s="435"/>
      <c r="D6" s="17" t="s">
        <v>166</v>
      </c>
      <c r="E6" s="18" t="s">
        <v>168</v>
      </c>
      <c r="F6" s="19" t="s">
        <v>169</v>
      </c>
      <c r="G6" s="65" t="s">
        <v>211</v>
      </c>
    </row>
    <row r="7" spans="1:7" s="123" customFormat="1" x14ac:dyDescent="0.3">
      <c r="A7" s="340" t="s">
        <v>498</v>
      </c>
      <c r="B7" s="340"/>
      <c r="C7" s="340"/>
      <c r="D7" s="340"/>
      <c r="E7" s="340"/>
      <c r="F7" s="340"/>
      <c r="G7" s="340"/>
    </row>
    <row r="8" spans="1:7" s="123" customFormat="1" x14ac:dyDescent="0.3">
      <c r="A8" s="27">
        <v>1</v>
      </c>
      <c r="B8" s="218"/>
      <c r="C8" s="292">
        <v>20000</v>
      </c>
      <c r="D8" s="218"/>
      <c r="E8" s="219"/>
      <c r="F8" s="218"/>
      <c r="G8" s="220"/>
    </row>
    <row r="9" spans="1:7" s="123" customFormat="1" ht="27.6" x14ac:dyDescent="0.3">
      <c r="A9" s="27" t="s">
        <v>258</v>
      </c>
      <c r="B9" s="34" t="s">
        <v>198</v>
      </c>
      <c r="C9" s="291">
        <v>21301</v>
      </c>
      <c r="D9" s="210" t="s">
        <v>213</v>
      </c>
      <c r="E9" s="209" t="s">
        <v>2</v>
      </c>
      <c r="F9" s="208">
        <f>1.5*2</f>
        <v>3</v>
      </c>
      <c r="G9" s="211" t="s">
        <v>573</v>
      </c>
    </row>
    <row r="10" spans="1:7" s="123" customFormat="1" x14ac:dyDescent="0.3">
      <c r="A10" s="241" t="str">
        <f>ORÇAMENTO!A11</f>
        <v>1.2</v>
      </c>
      <c r="B10" s="241" t="str">
        <f>ORÇAMENTO!B11</f>
        <v>AGETOP</v>
      </c>
      <c r="C10" s="289">
        <f>ORÇAMENTO!C11</f>
        <v>20202</v>
      </c>
      <c r="D10" s="241" t="str">
        <f>ORÇAMENTO!D11</f>
        <v>RASPAGEM E LIMPEZA MANUAL DO TERRENO</v>
      </c>
      <c r="E10" s="22" t="str">
        <f>ORÇAMENTO!E11</f>
        <v>m2</v>
      </c>
      <c r="F10" s="247">
        <f>1807.7-267.21</f>
        <v>1540.49</v>
      </c>
      <c r="G10" s="248" t="s">
        <v>521</v>
      </c>
    </row>
    <row r="11" spans="1:7" s="123" customFormat="1" x14ac:dyDescent="0.3">
      <c r="A11" s="372" t="str">
        <f>ORÇAMENTO!A13 &amp; " (PARA 60 CASAS)"</f>
        <v>GRUPO DE SERVIÇO: 165- TRANSPORTES (PARA 60 CASAS)</v>
      </c>
      <c r="B11" s="373"/>
      <c r="C11" s="373"/>
      <c r="D11" s="373"/>
      <c r="E11" s="373"/>
      <c r="F11" s="373"/>
      <c r="G11" s="374"/>
    </row>
    <row r="12" spans="1:7" s="123" customFormat="1" x14ac:dyDescent="0.3">
      <c r="A12" s="61">
        <f>ORÇAMENTO!A14</f>
        <v>2</v>
      </c>
      <c r="B12" s="61">
        <f>ORÇAMENTO!B14</f>
        <v>0</v>
      </c>
      <c r="C12" s="294">
        <f>ORÇAMENTO!C14</f>
        <v>30000</v>
      </c>
      <c r="D12" s="222" t="str">
        <f>ORÇAMENTO!D14</f>
        <v>TRANSPORTES</v>
      </c>
      <c r="E12" s="223"/>
      <c r="F12" s="239"/>
      <c r="G12" s="73"/>
    </row>
    <row r="13" spans="1:7" s="123" customFormat="1" x14ac:dyDescent="0.3">
      <c r="A13" s="61" t="str">
        <f>ORÇAMENTO!A15</f>
        <v>2.1</v>
      </c>
      <c r="B13" s="61" t="str">
        <f>ORÇAMENTO!B15</f>
        <v>AGETOP</v>
      </c>
      <c r="C13" s="244">
        <f>ORÇAMENTO!C15</f>
        <v>30101</v>
      </c>
      <c r="D13" s="61" t="str">
        <f>ORÇAMENTO!D15</f>
        <v>TRANSPORTE DE ENTULHO EM CAMINHÃO INCLUSO A CARGA MANUAL</v>
      </c>
      <c r="E13" s="244" t="str">
        <f>ORÇAMENTO!E15</f>
        <v>m3</v>
      </c>
      <c r="F13" s="239">
        <f>F10*0.05</f>
        <v>77.024500000000003</v>
      </c>
      <c r="G13" s="73" t="s">
        <v>545</v>
      </c>
    </row>
    <row r="14" spans="1:7" s="123" customFormat="1" x14ac:dyDescent="0.3">
      <c r="A14" s="372" t="s">
        <v>499</v>
      </c>
      <c r="B14" s="373"/>
      <c r="C14" s="373"/>
      <c r="D14" s="373"/>
      <c r="E14" s="373"/>
      <c r="F14" s="373"/>
      <c r="G14" s="374"/>
    </row>
    <row r="15" spans="1:7" s="123" customFormat="1" x14ac:dyDescent="0.3">
      <c r="A15" s="61">
        <v>3</v>
      </c>
      <c r="B15" s="221"/>
      <c r="C15" s="223">
        <v>250000</v>
      </c>
      <c r="D15" s="222" t="s">
        <v>384</v>
      </c>
      <c r="E15" s="223"/>
      <c r="F15" s="208"/>
      <c r="G15" s="73"/>
    </row>
    <row r="16" spans="1:7" s="123" customFormat="1" x14ac:dyDescent="0.3">
      <c r="A16" s="61" t="s">
        <v>261</v>
      </c>
      <c r="B16" s="39" t="s">
        <v>198</v>
      </c>
      <c r="C16" s="224">
        <v>250101</v>
      </c>
      <c r="D16" s="67" t="s">
        <v>385</v>
      </c>
      <c r="E16" s="224" t="s">
        <v>386</v>
      </c>
      <c r="F16" s="208">
        <f>6*20*1</f>
        <v>120</v>
      </c>
      <c r="G16" s="73" t="s">
        <v>579</v>
      </c>
    </row>
    <row r="17" spans="1:7" s="123" customFormat="1" x14ac:dyDescent="0.3">
      <c r="A17" s="79" t="s">
        <v>262</v>
      </c>
      <c r="B17" s="80" t="s">
        <v>198</v>
      </c>
      <c r="C17" s="224">
        <v>250103</v>
      </c>
      <c r="D17" s="67" t="s">
        <v>387</v>
      </c>
      <c r="E17" s="224" t="s">
        <v>389</v>
      </c>
      <c r="F17" s="216">
        <f>6*20*8</f>
        <v>960</v>
      </c>
      <c r="G17" s="70" t="s">
        <v>666</v>
      </c>
    </row>
    <row r="18" spans="1:7" s="123" customFormat="1" x14ac:dyDescent="0.3">
      <c r="A18" s="61" t="s">
        <v>434</v>
      </c>
      <c r="B18" s="80" t="s">
        <v>198</v>
      </c>
      <c r="C18" s="224">
        <v>250110</v>
      </c>
      <c r="D18" s="67" t="s">
        <v>512</v>
      </c>
      <c r="E18" s="224" t="s">
        <v>386</v>
      </c>
      <c r="F18" s="216">
        <f>2*30*12</f>
        <v>720</v>
      </c>
      <c r="G18" s="70" t="s">
        <v>730</v>
      </c>
    </row>
    <row r="19" spans="1:7" s="123" customFormat="1" x14ac:dyDescent="0.3">
      <c r="A19" s="372" t="s">
        <v>500</v>
      </c>
      <c r="B19" s="373"/>
      <c r="C19" s="373"/>
      <c r="D19" s="373"/>
      <c r="E19" s="373"/>
      <c r="F19" s="373"/>
      <c r="G19" s="374"/>
    </row>
    <row r="20" spans="1:7" s="226" customFormat="1" x14ac:dyDescent="0.3">
      <c r="A20" s="225">
        <f>ORÇAMENTO!A24</f>
        <v>4</v>
      </c>
      <c r="B20" s="225"/>
      <c r="C20" s="295"/>
      <c r="D20" s="225" t="s">
        <v>501</v>
      </c>
      <c r="E20" s="225"/>
      <c r="F20" s="225"/>
      <c r="G20" s="225"/>
    </row>
    <row r="21" spans="1:7" s="123" customFormat="1" x14ac:dyDescent="0.3">
      <c r="A21" s="240" t="s">
        <v>542</v>
      </c>
      <c r="B21" s="39"/>
      <c r="C21" s="224"/>
      <c r="D21" s="67" t="s">
        <v>502</v>
      </c>
      <c r="E21" s="174" t="s">
        <v>3</v>
      </c>
      <c r="F21" s="208">
        <v>6</v>
      </c>
      <c r="G21" s="70" t="s">
        <v>668</v>
      </c>
    </row>
    <row r="22" spans="1:7" s="123" customFormat="1" x14ac:dyDescent="0.3">
      <c r="A22" s="240" t="s">
        <v>543</v>
      </c>
      <c r="B22" s="39"/>
      <c r="C22" s="224">
        <v>21401</v>
      </c>
      <c r="D22" s="67" t="s">
        <v>503</v>
      </c>
      <c r="E22" s="174" t="s">
        <v>504</v>
      </c>
      <c r="F22" s="208">
        <f>3.29517*1540.49</f>
        <v>5076.1764333000001</v>
      </c>
      <c r="G22" s="227" t="s">
        <v>576</v>
      </c>
    </row>
    <row r="23" spans="1:7" s="123" customFormat="1" x14ac:dyDescent="0.3">
      <c r="A23" s="257" t="s">
        <v>544</v>
      </c>
      <c r="B23" s="39" t="s">
        <v>198</v>
      </c>
      <c r="C23" s="224">
        <v>21400</v>
      </c>
      <c r="D23" s="67" t="s">
        <v>575</v>
      </c>
      <c r="E23" s="174" t="s">
        <v>8</v>
      </c>
      <c r="F23" s="256">
        <f>0.4628*1540.49</f>
        <v>712.93877199999997</v>
      </c>
      <c r="G23" s="227" t="s">
        <v>577</v>
      </c>
    </row>
    <row r="24" spans="1:7" s="123" customFormat="1" x14ac:dyDescent="0.3"/>
    <row r="25" spans="1:7" s="123" customFormat="1" x14ac:dyDescent="0.3"/>
    <row r="26" spans="1:7" s="123" customFormat="1" x14ac:dyDescent="0.3">
      <c r="A26" s="372" t="s">
        <v>400</v>
      </c>
      <c r="B26" s="373"/>
      <c r="C26" s="373"/>
      <c r="D26" s="373"/>
      <c r="E26" s="373"/>
      <c r="F26" s="373"/>
      <c r="G26" s="374"/>
    </row>
    <row r="27" spans="1:7" s="123" customFormat="1" x14ac:dyDescent="0.3">
      <c r="A27" s="78">
        <v>5</v>
      </c>
      <c r="B27" s="78"/>
      <c r="C27" s="78"/>
      <c r="D27" s="78" t="s">
        <v>398</v>
      </c>
      <c r="E27" s="78"/>
      <c r="F27" s="78"/>
      <c r="G27" s="78"/>
    </row>
    <row r="28" spans="1:7" s="123" customFormat="1" x14ac:dyDescent="0.3">
      <c r="A28" s="401" t="s">
        <v>212</v>
      </c>
      <c r="B28" s="402"/>
      <c r="C28" s="402"/>
      <c r="D28" s="402"/>
      <c r="E28" s="402"/>
      <c r="F28" s="402"/>
      <c r="G28" s="403"/>
    </row>
    <row r="29" spans="1:7" s="123" customFormat="1" x14ac:dyDescent="0.3">
      <c r="A29" s="212">
        <v>1</v>
      </c>
      <c r="B29" s="34"/>
      <c r="C29" s="31">
        <v>20000</v>
      </c>
      <c r="D29" s="20" t="s">
        <v>0</v>
      </c>
      <c r="E29" s="209"/>
      <c r="F29" s="208"/>
      <c r="G29" s="210"/>
    </row>
    <row r="30" spans="1:7" s="123" customFormat="1" ht="27.6" x14ac:dyDescent="0.3">
      <c r="A30" s="212" t="s">
        <v>258</v>
      </c>
      <c r="B30" s="34" t="s">
        <v>198</v>
      </c>
      <c r="C30" s="210">
        <v>20702</v>
      </c>
      <c r="D30" s="210" t="s">
        <v>1</v>
      </c>
      <c r="E30" s="209" t="s">
        <v>2</v>
      </c>
      <c r="F30" s="208">
        <v>50</v>
      </c>
      <c r="G30" s="210" t="s">
        <v>217</v>
      </c>
    </row>
    <row r="31" spans="1:7" s="123" customFormat="1" x14ac:dyDescent="0.3">
      <c r="A31" s="339" t="s">
        <v>176</v>
      </c>
      <c r="B31" s="340"/>
      <c r="C31" s="340"/>
      <c r="D31" s="340"/>
      <c r="E31" s="340"/>
      <c r="F31" s="340"/>
      <c r="G31" s="341"/>
    </row>
    <row r="32" spans="1:7" s="123" customFormat="1" x14ac:dyDescent="0.3">
      <c r="A32" s="211">
        <v>2</v>
      </c>
      <c r="B32" s="11"/>
      <c r="C32" s="12">
        <v>30000</v>
      </c>
      <c r="D32" s="12" t="s">
        <v>177</v>
      </c>
      <c r="E32" s="209"/>
      <c r="F32" s="208"/>
      <c r="G32" s="211"/>
    </row>
    <row r="33" spans="1:7" s="123" customFormat="1" x14ac:dyDescent="0.3">
      <c r="A33" s="211" t="s">
        <v>260</v>
      </c>
      <c r="B33" s="34" t="s">
        <v>198</v>
      </c>
      <c r="C33" s="211">
        <v>30105</v>
      </c>
      <c r="D33" s="211" t="s">
        <v>253</v>
      </c>
      <c r="E33" s="124" t="s">
        <v>178</v>
      </c>
      <c r="F33" s="208">
        <f>50*0.07</f>
        <v>3.5000000000000004</v>
      </c>
      <c r="G33" s="293" t="s">
        <v>669</v>
      </c>
    </row>
    <row r="34" spans="1:7" s="123" customFormat="1" x14ac:dyDescent="0.3">
      <c r="A34" s="401" t="s">
        <v>175</v>
      </c>
      <c r="B34" s="402"/>
      <c r="C34" s="402"/>
      <c r="D34" s="402"/>
      <c r="E34" s="402"/>
      <c r="F34" s="402"/>
      <c r="G34" s="403"/>
    </row>
    <row r="35" spans="1:7" s="123" customFormat="1" x14ac:dyDescent="0.3">
      <c r="A35" s="212">
        <v>3</v>
      </c>
      <c r="B35" s="34"/>
      <c r="C35" s="20">
        <v>40000</v>
      </c>
      <c r="D35" s="20" t="s">
        <v>5</v>
      </c>
      <c r="E35" s="209"/>
      <c r="F35" s="208"/>
      <c r="G35" s="211"/>
    </row>
    <row r="36" spans="1:7" s="123" customFormat="1" x14ac:dyDescent="0.3">
      <c r="A36" s="212" t="s">
        <v>261</v>
      </c>
      <c r="B36" s="34" t="s">
        <v>198</v>
      </c>
      <c r="C36" s="210">
        <v>41002</v>
      </c>
      <c r="D36" s="210" t="s">
        <v>6</v>
      </c>
      <c r="E36" s="209" t="s">
        <v>2</v>
      </c>
      <c r="F36" s="208">
        <v>48</v>
      </c>
      <c r="G36" s="211" t="s">
        <v>432</v>
      </c>
    </row>
    <row r="37" spans="1:7" s="123" customFormat="1" x14ac:dyDescent="0.3">
      <c r="A37" s="212" t="s">
        <v>262</v>
      </c>
      <c r="B37" s="34" t="s">
        <v>198</v>
      </c>
      <c r="C37" s="210">
        <v>41003</v>
      </c>
      <c r="D37" s="210" t="s">
        <v>7</v>
      </c>
      <c r="E37" s="209" t="s">
        <v>8</v>
      </c>
      <c r="F37" s="208">
        <f>48*0.15</f>
        <v>7.1999999999999993</v>
      </c>
      <c r="G37" s="211" t="s">
        <v>433</v>
      </c>
    </row>
    <row r="38" spans="1:7" s="123" customFormat="1" x14ac:dyDescent="0.3">
      <c r="A38" s="187" t="str">
        <f>COMPOSIÇÃO!A19</f>
        <v>3.3</v>
      </c>
      <c r="B38" s="187" t="str">
        <f>COMPOSIÇÃO!B19</f>
        <v>AGETOP</v>
      </c>
      <c r="C38" s="187">
        <f>COMPOSIÇÃO!C19</f>
        <v>40101</v>
      </c>
      <c r="D38" s="187" t="str">
        <f>COMPOSIÇÃO!D19</f>
        <v>ESCAVACAO MANUAL DE VALAS &lt; 1 MTS. (OBRAS CIVIS)</v>
      </c>
      <c r="E38" s="135" t="str">
        <f>COMPOSIÇÃO!E19</f>
        <v>m3</v>
      </c>
      <c r="F38" s="208">
        <f>49.52*0.25*(0.09+0.3)</f>
        <v>4.8282000000000007</v>
      </c>
      <c r="G38" s="90" t="s">
        <v>436</v>
      </c>
    </row>
    <row r="39" spans="1:7" s="123" customFormat="1" x14ac:dyDescent="0.3">
      <c r="A39" s="187" t="str">
        <f>COMPOSIÇÃO!A20</f>
        <v>3.4</v>
      </c>
      <c r="B39" s="187" t="str">
        <f>COMPOSIÇÃO!B20</f>
        <v>AGETOP</v>
      </c>
      <c r="C39" s="187">
        <f>COMPOSIÇÃO!C20</f>
        <v>40902</v>
      </c>
      <c r="D39" s="212" t="str">
        <f>COMPOSIÇÃO!D20</f>
        <v>REATERRO COM APILOAMENTO</v>
      </c>
      <c r="E39" s="134" t="str">
        <f>COMPOSIÇÃO!E20</f>
        <v>m3</v>
      </c>
      <c r="F39" s="208">
        <f>F38-(49.52*0.25*0.09)</f>
        <v>3.7140000000000004</v>
      </c>
      <c r="G39" s="211" t="s">
        <v>546</v>
      </c>
    </row>
    <row r="40" spans="1:7" s="123" customFormat="1" x14ac:dyDescent="0.3">
      <c r="A40" s="339" t="s">
        <v>179</v>
      </c>
      <c r="B40" s="340"/>
      <c r="C40" s="340"/>
      <c r="D40" s="340"/>
      <c r="E40" s="340"/>
      <c r="F40" s="340"/>
      <c r="G40" s="341"/>
    </row>
    <row r="41" spans="1:7" s="123" customFormat="1" x14ac:dyDescent="0.3">
      <c r="A41" s="212">
        <v>4</v>
      </c>
      <c r="B41" s="34"/>
      <c r="C41" s="20">
        <v>50000</v>
      </c>
      <c r="D41" s="20" t="s">
        <v>9</v>
      </c>
      <c r="E41" s="209"/>
      <c r="F41" s="208"/>
      <c r="G41" s="66"/>
    </row>
    <row r="42" spans="1:7" s="123" customFormat="1" x14ac:dyDescent="0.3">
      <c r="A42" s="212" t="s">
        <v>263</v>
      </c>
      <c r="B42" s="34" t="s">
        <v>198</v>
      </c>
      <c r="C42" s="40">
        <v>50301</v>
      </c>
      <c r="D42" s="210" t="s">
        <v>10</v>
      </c>
      <c r="E42" s="209" t="s">
        <v>11</v>
      </c>
      <c r="F42" s="208">
        <f>15*3</f>
        <v>45</v>
      </c>
      <c r="G42" s="66" t="s">
        <v>200</v>
      </c>
    </row>
    <row r="43" spans="1:7" s="123" customFormat="1" x14ac:dyDescent="0.3">
      <c r="A43" s="212" t="s">
        <v>264</v>
      </c>
      <c r="B43" s="34" t="s">
        <v>198</v>
      </c>
      <c r="C43" s="40">
        <v>52004</v>
      </c>
      <c r="D43" s="210" t="s">
        <v>12</v>
      </c>
      <c r="E43" s="209" t="s">
        <v>13</v>
      </c>
      <c r="F43" s="208">
        <v>39.6</v>
      </c>
      <c r="G43" s="66" t="s">
        <v>201</v>
      </c>
    </row>
    <row r="44" spans="1:7" s="123" customFormat="1" x14ac:dyDescent="0.3">
      <c r="A44" s="212" t="s">
        <v>265</v>
      </c>
      <c r="B44" s="34" t="s">
        <v>198</v>
      </c>
      <c r="C44" s="40">
        <v>52012</v>
      </c>
      <c r="D44" s="210" t="s">
        <v>14</v>
      </c>
      <c r="E44" s="209" t="s">
        <v>13</v>
      </c>
      <c r="F44" s="208">
        <v>9.58</v>
      </c>
      <c r="G44" s="66" t="s">
        <v>202</v>
      </c>
    </row>
    <row r="45" spans="1:7" s="123" customFormat="1" x14ac:dyDescent="0.3">
      <c r="A45" s="339">
        <v>3</v>
      </c>
      <c r="B45" s="340"/>
      <c r="C45" s="340"/>
      <c r="D45" s="340"/>
      <c r="E45" s="340"/>
      <c r="F45" s="340"/>
      <c r="G45" s="341"/>
    </row>
    <row r="46" spans="1:7" s="123" customFormat="1" x14ac:dyDescent="0.3">
      <c r="A46" s="212">
        <v>5</v>
      </c>
      <c r="B46" s="34"/>
      <c r="C46" s="20">
        <v>60000</v>
      </c>
      <c r="D46" s="20" t="s">
        <v>15</v>
      </c>
      <c r="E46" s="209"/>
      <c r="F46" s="208"/>
      <c r="G46" s="66"/>
    </row>
    <row r="47" spans="1:7" s="123" customFormat="1" x14ac:dyDescent="0.3">
      <c r="A47" s="212" t="s">
        <v>266</v>
      </c>
      <c r="B47" s="34" t="s">
        <v>198</v>
      </c>
      <c r="C47" s="40">
        <v>60010</v>
      </c>
      <c r="D47" s="126" t="str">
        <f>COMPOSIÇÃO!D30</f>
        <v xml:space="preserve">VERGA/CONTRAVERGA EM CONCRETO ARMADO FCK = 20 MPA </v>
      </c>
      <c r="E47" s="209" t="s">
        <v>8</v>
      </c>
      <c r="F47" s="208">
        <f>F55*0.15*0.09</f>
        <v>0.40229999999999994</v>
      </c>
      <c r="G47" s="66" t="s">
        <v>429</v>
      </c>
    </row>
    <row r="48" spans="1:7" s="123" customFormat="1" x14ac:dyDescent="0.3">
      <c r="A48" s="212"/>
      <c r="B48" s="34"/>
      <c r="C48" s="40"/>
      <c r="D48" s="126" t="s">
        <v>423</v>
      </c>
      <c r="E48" s="209" t="s">
        <v>11</v>
      </c>
      <c r="F48" s="208">
        <f>(80+20+20)*2/100</f>
        <v>2.4</v>
      </c>
      <c r="G48" s="66"/>
    </row>
    <row r="49" spans="1:7" s="123" customFormat="1" x14ac:dyDescent="0.3">
      <c r="A49" s="212"/>
      <c r="B49" s="34"/>
      <c r="C49" s="40"/>
      <c r="D49" s="126" t="s">
        <v>424</v>
      </c>
      <c r="E49" s="209" t="s">
        <v>11</v>
      </c>
      <c r="F49" s="208">
        <f>F48</f>
        <v>2.4</v>
      </c>
      <c r="G49" s="66"/>
    </row>
    <row r="50" spans="1:7" s="123" customFormat="1" x14ac:dyDescent="0.3">
      <c r="A50" s="183"/>
      <c r="B50" s="34"/>
      <c r="C50" s="40"/>
      <c r="D50" s="126" t="s">
        <v>425</v>
      </c>
      <c r="E50" s="182" t="s">
        <v>11</v>
      </c>
      <c r="F50" s="181">
        <f>(60+20+20)*1/100</f>
        <v>1</v>
      </c>
      <c r="G50" s="66"/>
    </row>
    <row r="51" spans="1:7" s="123" customFormat="1" x14ac:dyDescent="0.3">
      <c r="A51" s="183"/>
      <c r="B51" s="34"/>
      <c r="C51" s="40"/>
      <c r="D51" s="126" t="s">
        <v>426</v>
      </c>
      <c r="E51" s="182" t="s">
        <v>11</v>
      </c>
      <c r="F51" s="181">
        <f>(150+30+30)*2/100*2</f>
        <v>8.4</v>
      </c>
      <c r="G51" s="66"/>
    </row>
    <row r="52" spans="1:7" s="123" customFormat="1" x14ac:dyDescent="0.3">
      <c r="A52" s="183"/>
      <c r="B52" s="34"/>
      <c r="C52" s="40"/>
      <c r="D52" s="126" t="s">
        <v>427</v>
      </c>
      <c r="E52" s="182" t="s">
        <v>11</v>
      </c>
      <c r="F52" s="181">
        <f>(120+30+30)*3/100*2</f>
        <v>10.8</v>
      </c>
      <c r="G52" s="66"/>
    </row>
    <row r="53" spans="1:7" s="123" customFormat="1" x14ac:dyDescent="0.3">
      <c r="A53" s="183"/>
      <c r="B53" s="34"/>
      <c r="C53" s="40"/>
      <c r="D53" s="126" t="s">
        <v>428</v>
      </c>
      <c r="E53" s="182" t="s">
        <v>11</v>
      </c>
      <c r="F53" s="181">
        <f>(50+30+30)*1/100*2</f>
        <v>2.2000000000000002</v>
      </c>
      <c r="G53" s="66"/>
    </row>
    <row r="54" spans="1:7" s="123" customFormat="1" x14ac:dyDescent="0.3">
      <c r="A54" s="302"/>
      <c r="B54" s="34"/>
      <c r="C54" s="40"/>
      <c r="D54" s="126" t="s">
        <v>724</v>
      </c>
      <c r="E54" s="300" t="s">
        <v>11</v>
      </c>
      <c r="F54" s="299">
        <f>2*(0.9+0.2+0.2)</f>
        <v>2.6</v>
      </c>
      <c r="G54" s="66"/>
    </row>
    <row r="55" spans="1:7" s="123" customFormat="1" x14ac:dyDescent="0.3">
      <c r="A55" s="183"/>
      <c r="B55" s="34"/>
      <c r="C55" s="40"/>
      <c r="D55" s="185" t="s">
        <v>430</v>
      </c>
      <c r="E55" s="182"/>
      <c r="F55" s="186">
        <f>SUM(F48:F54)</f>
        <v>29.8</v>
      </c>
      <c r="G55" s="66"/>
    </row>
    <row r="56" spans="1:7" x14ac:dyDescent="0.3">
      <c r="A56" s="33" t="s">
        <v>267</v>
      </c>
      <c r="B56" s="34" t="s">
        <v>198</v>
      </c>
      <c r="C56" s="40">
        <v>60192</v>
      </c>
      <c r="D56" s="37" t="str">
        <f>COMPOSIÇÃO!D31</f>
        <v>FORMA - CH.COMPENSADA 17MM PLAST REAP 7 V. - (OBRAS CIVIS)</v>
      </c>
      <c r="E56" s="36" t="s">
        <v>2</v>
      </c>
      <c r="F56" s="35">
        <f>24.76+26.1+7.83+29.22</f>
        <v>87.91</v>
      </c>
      <c r="G56" s="66" t="s">
        <v>201</v>
      </c>
    </row>
    <row r="57" spans="1:7" s="123" customFormat="1" x14ac:dyDescent="0.3">
      <c r="A57" s="200" t="str">
        <f>COMPOSIÇÃO!A32</f>
        <v>5.3</v>
      </c>
      <c r="B57" s="34" t="str">
        <f>COMPOSIÇÃO!B32</f>
        <v>AGETOP</v>
      </c>
      <c r="C57" s="200">
        <f>COMPOSIÇÃO!C32</f>
        <v>60305</v>
      </c>
      <c r="D57" s="34" t="str">
        <f>COMPOSIÇÃO!D32</f>
        <v>ACO CA-50A - 10,0 MM (3/8") - (OBRAS CIVIS)</v>
      </c>
      <c r="E57" s="134" t="str">
        <f>COMPOSIÇÃO!E32</f>
        <v>kg</v>
      </c>
      <c r="F57" s="199">
        <v>395.1</v>
      </c>
      <c r="G57" s="66" t="s">
        <v>202</v>
      </c>
    </row>
    <row r="58" spans="1:7" x14ac:dyDescent="0.3">
      <c r="A58" s="33" t="str">
        <f>COMPOSIÇÃO!A33</f>
        <v>5.4</v>
      </c>
      <c r="B58" s="200" t="str">
        <f>COMPOSIÇÃO!B33</f>
        <v>AGETOP</v>
      </c>
      <c r="C58" s="200">
        <f>COMPOSIÇÃO!C33</f>
        <v>60304</v>
      </c>
      <c r="D58" s="200" t="str">
        <f>COMPOSIÇÃO!D33</f>
        <v>ACO CA-50 A - 8,0 MM (5/16") - (OBRAS CIVIS)</v>
      </c>
      <c r="E58" s="134" t="str">
        <f>COMPOSIÇÃO!E33</f>
        <v>Kg</v>
      </c>
      <c r="F58" s="272">
        <f>F55*2*0.4+((34.38/0.8)*1.2*0.4)</f>
        <v>44.468000000000004</v>
      </c>
      <c r="G58" s="66" t="s">
        <v>449</v>
      </c>
    </row>
    <row r="59" spans="1:7" x14ac:dyDescent="0.3">
      <c r="A59" s="33" t="str">
        <f>COMPOSIÇÃO!A34</f>
        <v>5.5</v>
      </c>
      <c r="B59" s="200" t="str">
        <f>COMPOSIÇÃO!B34</f>
        <v>AGETOP</v>
      </c>
      <c r="C59" s="200">
        <f>COMPOSIÇÃO!C34</f>
        <v>60314</v>
      </c>
      <c r="D59" s="200" t="str">
        <f>COMPOSIÇÃO!D34</f>
        <v>ACO CA-60B - 5,0 MM - (OBRAS CIVIS)</v>
      </c>
      <c r="E59" s="134" t="str">
        <f>COMPOSIÇÃO!E34</f>
        <v>Kg</v>
      </c>
      <c r="F59" s="35">
        <f>96.33</f>
        <v>96.33</v>
      </c>
      <c r="G59" s="66" t="s">
        <v>201</v>
      </c>
    </row>
    <row r="60" spans="1:7" x14ac:dyDescent="0.3">
      <c r="A60" s="33" t="str">
        <f>COMPOSIÇÃO!A35</f>
        <v>5.6</v>
      </c>
      <c r="B60" s="200" t="str">
        <f>COMPOSIÇÃO!B35</f>
        <v>AGETOP</v>
      </c>
      <c r="C60" s="200">
        <f>COMPOSIÇÃO!C35</f>
        <v>60517</v>
      </c>
      <c r="D60" s="200" t="str">
        <f>COMPOSIÇÃO!D35</f>
        <v>PREPARO COM BETONEIRA E TRANSPORTE MANUAL DE CONCRETO FCK=25 MPA</v>
      </c>
      <c r="E60" s="134" t="str">
        <f>COMPOSIÇÃO!E35</f>
        <v>m3</v>
      </c>
      <c r="F60" s="35">
        <v>3.47</v>
      </c>
      <c r="G60" s="66" t="s">
        <v>201</v>
      </c>
    </row>
    <row r="61" spans="1:7" s="123" customFormat="1" x14ac:dyDescent="0.3">
      <c r="A61" s="200" t="str">
        <f>COMPOSIÇÃO!A36</f>
        <v>5.7</v>
      </c>
      <c r="B61" s="200" t="str">
        <f>COMPOSIÇÃO!B36</f>
        <v>AGETOP</v>
      </c>
      <c r="C61" s="200">
        <f>COMPOSIÇÃO!C36</f>
        <v>60802</v>
      </c>
      <c r="D61" s="200" t="str">
        <f>COMPOSIÇÃO!D36</f>
        <v>LANÇAMENTO/APLICAÇÃO/ADENSAMENTO DE CONCRETO EM ESTRUTURA - (O.C.)</v>
      </c>
      <c r="E61" s="134" t="str">
        <f>COMPOSIÇÃO!E36</f>
        <v>m3</v>
      </c>
      <c r="F61" s="199">
        <v>3.47</v>
      </c>
      <c r="G61" s="66" t="s">
        <v>201</v>
      </c>
    </row>
    <row r="62" spans="1:7" x14ac:dyDescent="0.3">
      <c r="A62" s="33" t="str">
        <f>COMPOSIÇÃO!A37</f>
        <v>5.8</v>
      </c>
      <c r="B62" s="200" t="str">
        <f>COMPOSIÇÃO!B37</f>
        <v>AGETOP</v>
      </c>
      <c r="C62" s="200">
        <f>COMPOSIÇÃO!C37</f>
        <v>61101</v>
      </c>
      <c r="D62" s="200" t="str">
        <f>COMPOSIÇÃO!D37</f>
        <v>FORRO EM LAJE PRE-MOLDADA INC.CAPEAMENTO/FERR.DISTRIB./ESCORAMENTO E FORMA/DESFORMA</v>
      </c>
      <c r="E62" s="134" t="str">
        <f>COMPOSIÇÃO!E37</f>
        <v>m2</v>
      </c>
      <c r="F62" s="35">
        <v>54</v>
      </c>
      <c r="G62" s="67" t="s">
        <v>678</v>
      </c>
    </row>
    <row r="63" spans="1:7" ht="15" customHeight="1" x14ac:dyDescent="0.3">
      <c r="A63" s="401" t="s">
        <v>448</v>
      </c>
      <c r="B63" s="402"/>
      <c r="C63" s="402"/>
      <c r="D63" s="402"/>
      <c r="E63" s="402"/>
      <c r="F63" s="402"/>
      <c r="G63" s="403"/>
    </row>
    <row r="64" spans="1:7" x14ac:dyDescent="0.3">
      <c r="A64" s="33">
        <v>6</v>
      </c>
      <c r="B64" s="34"/>
      <c r="C64" s="20">
        <v>70000</v>
      </c>
      <c r="D64" s="20" t="s">
        <v>18</v>
      </c>
      <c r="E64" s="36"/>
      <c r="F64" s="35"/>
      <c r="G64" s="66"/>
    </row>
    <row r="65" spans="1:7" x14ac:dyDescent="0.3">
      <c r="A65" s="33" t="s">
        <v>271</v>
      </c>
      <c r="B65" s="34" t="s">
        <v>198</v>
      </c>
      <c r="C65" s="37">
        <v>70681</v>
      </c>
      <c r="D65" s="37" t="s">
        <v>19</v>
      </c>
      <c r="E65" s="36" t="s">
        <v>20</v>
      </c>
      <c r="F65" s="35">
        <v>6</v>
      </c>
      <c r="G65" s="66" t="s">
        <v>679</v>
      </c>
    </row>
    <row r="66" spans="1:7" x14ac:dyDescent="0.3">
      <c r="A66" s="33" t="s">
        <v>272</v>
      </c>
      <c r="B66" s="34" t="s">
        <v>198</v>
      </c>
      <c r="C66" s="37">
        <v>70691</v>
      </c>
      <c r="D66" s="37" t="s">
        <v>21</v>
      </c>
      <c r="E66" s="36" t="s">
        <v>20</v>
      </c>
      <c r="F66" s="35">
        <v>16</v>
      </c>
      <c r="G66" s="66" t="s">
        <v>680</v>
      </c>
    </row>
    <row r="67" spans="1:7" x14ac:dyDescent="0.3">
      <c r="A67" s="33" t="s">
        <v>273</v>
      </c>
      <c r="B67" s="34" t="s">
        <v>198</v>
      </c>
      <c r="C67" s="37">
        <v>71171</v>
      </c>
      <c r="D67" s="37" t="s">
        <v>22</v>
      </c>
      <c r="E67" s="36" t="s">
        <v>20</v>
      </c>
      <c r="F67" s="35">
        <v>4</v>
      </c>
      <c r="G67" s="66" t="s">
        <v>203</v>
      </c>
    </row>
    <row r="68" spans="1:7" x14ac:dyDescent="0.3">
      <c r="A68" s="33" t="s">
        <v>274</v>
      </c>
      <c r="B68" s="34" t="s">
        <v>198</v>
      </c>
      <c r="C68" s="37">
        <v>71172</v>
      </c>
      <c r="D68" s="37" t="s">
        <v>23</v>
      </c>
      <c r="E68" s="36" t="s">
        <v>20</v>
      </c>
      <c r="F68" s="35">
        <v>1</v>
      </c>
      <c r="G68" s="66" t="s">
        <v>204</v>
      </c>
    </row>
    <row r="69" spans="1:7" x14ac:dyDescent="0.3">
      <c r="A69" s="33" t="s">
        <v>275</v>
      </c>
      <c r="B69" s="34" t="s">
        <v>198</v>
      </c>
      <c r="C69" s="37">
        <v>71194</v>
      </c>
      <c r="D69" s="37" t="s">
        <v>24</v>
      </c>
      <c r="E69" s="36" t="s">
        <v>25</v>
      </c>
      <c r="F69" s="35">
        <v>100</v>
      </c>
      <c r="G69" s="66" t="s">
        <v>685</v>
      </c>
    </row>
    <row r="70" spans="1:7" x14ac:dyDescent="0.3">
      <c r="A70" s="33" t="s">
        <v>276</v>
      </c>
      <c r="B70" s="34" t="s">
        <v>198</v>
      </c>
      <c r="C70" s="37">
        <v>71282</v>
      </c>
      <c r="D70" s="37" t="s">
        <v>26</v>
      </c>
      <c r="E70" s="36" t="s">
        <v>25</v>
      </c>
      <c r="F70" s="35">
        <v>3</v>
      </c>
      <c r="G70" s="66" t="s">
        <v>205</v>
      </c>
    </row>
    <row r="71" spans="1:7" x14ac:dyDescent="0.3">
      <c r="A71" s="33" t="s">
        <v>277</v>
      </c>
      <c r="B71" s="34" t="s">
        <v>198</v>
      </c>
      <c r="C71" s="37">
        <v>71290</v>
      </c>
      <c r="D71" s="37" t="s">
        <v>27</v>
      </c>
      <c r="E71" s="36" t="s">
        <v>25</v>
      </c>
      <c r="F71" s="35">
        <v>110</v>
      </c>
      <c r="G71" s="66" t="s">
        <v>206</v>
      </c>
    </row>
    <row r="72" spans="1:7" x14ac:dyDescent="0.3">
      <c r="A72" s="33" t="s">
        <v>278</v>
      </c>
      <c r="B72" s="34" t="s">
        <v>198</v>
      </c>
      <c r="C72" s="37">
        <v>71291</v>
      </c>
      <c r="D72" s="37" t="s">
        <v>28</v>
      </c>
      <c r="E72" s="36" t="s">
        <v>25</v>
      </c>
      <c r="F72" s="35">
        <v>145</v>
      </c>
      <c r="G72" s="66" t="s">
        <v>670</v>
      </c>
    </row>
    <row r="73" spans="1:7" x14ac:dyDescent="0.3">
      <c r="A73" s="33" t="s">
        <v>279</v>
      </c>
      <c r="B73" s="34" t="s">
        <v>198</v>
      </c>
      <c r="C73" s="37">
        <v>71292</v>
      </c>
      <c r="D73" s="37" t="s">
        <v>29</v>
      </c>
      <c r="E73" s="36" t="s">
        <v>25</v>
      </c>
      <c r="F73" s="35">
        <v>20</v>
      </c>
      <c r="G73" s="66" t="s">
        <v>207</v>
      </c>
    </row>
    <row r="74" spans="1:7" x14ac:dyDescent="0.3">
      <c r="A74" s="33" t="s">
        <v>280</v>
      </c>
      <c r="B74" s="34" t="s">
        <v>198</v>
      </c>
      <c r="C74" s="37">
        <v>71293</v>
      </c>
      <c r="D74" s="37" t="s">
        <v>30</v>
      </c>
      <c r="E74" s="36" t="s">
        <v>25</v>
      </c>
      <c r="F74" s="35">
        <v>20</v>
      </c>
      <c r="G74" s="66" t="s">
        <v>677</v>
      </c>
    </row>
    <row r="75" spans="1:7" x14ac:dyDescent="0.3">
      <c r="A75" s="33" t="s">
        <v>281</v>
      </c>
      <c r="B75" s="34" t="s">
        <v>198</v>
      </c>
      <c r="C75" s="37">
        <v>71294</v>
      </c>
      <c r="D75" s="37" t="s">
        <v>31</v>
      </c>
      <c r="E75" s="36" t="s">
        <v>25</v>
      </c>
      <c r="F75" s="35">
        <v>25</v>
      </c>
      <c r="G75" s="66" t="s">
        <v>208</v>
      </c>
    </row>
    <row r="76" spans="1:7" x14ac:dyDescent="0.3">
      <c r="A76" s="33" t="s">
        <v>282</v>
      </c>
      <c r="B76" s="34" t="s">
        <v>198</v>
      </c>
      <c r="C76" s="37">
        <v>71329</v>
      </c>
      <c r="D76" s="37" t="s">
        <v>32</v>
      </c>
      <c r="E76" s="36" t="s">
        <v>20</v>
      </c>
      <c r="F76" s="35">
        <v>2</v>
      </c>
      <c r="G76" s="66">
        <v>2</v>
      </c>
    </row>
    <row r="77" spans="1:7" x14ac:dyDescent="0.3">
      <c r="A77" s="33" t="s">
        <v>283</v>
      </c>
      <c r="B77" s="34" t="s">
        <v>198</v>
      </c>
      <c r="C77" s="37">
        <v>71380</v>
      </c>
      <c r="D77" s="37" t="s">
        <v>33</v>
      </c>
      <c r="E77" s="36" t="s">
        <v>20</v>
      </c>
      <c r="F77" s="35">
        <v>2</v>
      </c>
      <c r="G77" s="66" t="s">
        <v>209</v>
      </c>
    </row>
    <row r="78" spans="1:7" x14ac:dyDescent="0.3">
      <c r="A78" s="33" t="s">
        <v>284</v>
      </c>
      <c r="B78" s="34" t="s">
        <v>198</v>
      </c>
      <c r="C78" s="37">
        <v>71443</v>
      </c>
      <c r="D78" s="37" t="s">
        <v>34</v>
      </c>
      <c r="E78" s="36" t="s">
        <v>20</v>
      </c>
      <c r="F78" s="35">
        <v>4</v>
      </c>
      <c r="G78" s="66" t="s">
        <v>657</v>
      </c>
    </row>
    <row r="79" spans="1:7" x14ac:dyDescent="0.3">
      <c r="A79" s="425" t="s">
        <v>285</v>
      </c>
      <c r="B79" s="410" t="s">
        <v>198</v>
      </c>
      <c r="C79" s="404">
        <v>71577</v>
      </c>
      <c r="D79" s="404" t="s">
        <v>35</v>
      </c>
      <c r="E79" s="416" t="s">
        <v>20</v>
      </c>
      <c r="F79" s="413">
        <v>14</v>
      </c>
      <c r="G79" s="66" t="s">
        <v>390</v>
      </c>
    </row>
    <row r="80" spans="1:7" x14ac:dyDescent="0.3">
      <c r="A80" s="426"/>
      <c r="B80" s="411"/>
      <c r="C80" s="405"/>
      <c r="D80" s="405"/>
      <c r="E80" s="417"/>
      <c r="F80" s="414"/>
      <c r="G80" s="66" t="s">
        <v>214</v>
      </c>
    </row>
    <row r="81" spans="1:7" x14ac:dyDescent="0.3">
      <c r="A81" s="426"/>
      <c r="B81" s="411"/>
      <c r="C81" s="405"/>
      <c r="D81" s="405"/>
      <c r="E81" s="417"/>
      <c r="F81" s="414"/>
      <c r="G81" s="66" t="s">
        <v>391</v>
      </c>
    </row>
    <row r="82" spans="1:7" s="123" customFormat="1" x14ac:dyDescent="0.3">
      <c r="A82" s="426"/>
      <c r="B82" s="411"/>
      <c r="C82" s="405"/>
      <c r="D82" s="405"/>
      <c r="E82" s="417"/>
      <c r="F82" s="414"/>
      <c r="G82" s="66" t="s">
        <v>636</v>
      </c>
    </row>
    <row r="83" spans="1:7" s="123" customFormat="1" x14ac:dyDescent="0.3">
      <c r="A83" s="426"/>
      <c r="B83" s="411"/>
      <c r="C83" s="405"/>
      <c r="D83" s="405"/>
      <c r="E83" s="417"/>
      <c r="F83" s="414"/>
      <c r="G83" s="66" t="s">
        <v>632</v>
      </c>
    </row>
    <row r="84" spans="1:7" x14ac:dyDescent="0.3">
      <c r="A84" s="427"/>
      <c r="B84" s="412"/>
      <c r="C84" s="406"/>
      <c r="D84" s="406"/>
      <c r="E84" s="418"/>
      <c r="F84" s="415"/>
      <c r="G84" s="66" t="s">
        <v>392</v>
      </c>
    </row>
    <row r="85" spans="1:7" x14ac:dyDescent="0.3">
      <c r="A85" s="57" t="s">
        <v>286</v>
      </c>
      <c r="B85" s="34" t="s">
        <v>198</v>
      </c>
      <c r="C85" s="37">
        <v>71644</v>
      </c>
      <c r="D85" s="37" t="s">
        <v>36</v>
      </c>
      <c r="E85" s="36" t="s">
        <v>20</v>
      </c>
      <c r="F85" s="35">
        <v>6</v>
      </c>
      <c r="G85" s="66">
        <v>5</v>
      </c>
    </row>
    <row r="86" spans="1:7" x14ac:dyDescent="0.3">
      <c r="A86" s="33" t="s">
        <v>287</v>
      </c>
      <c r="B86" s="34" t="s">
        <v>198</v>
      </c>
      <c r="C86" s="37">
        <v>71801</v>
      </c>
      <c r="D86" s="37" t="s">
        <v>37</v>
      </c>
      <c r="E86" s="36" t="s">
        <v>20</v>
      </c>
      <c r="F86" s="35">
        <v>1</v>
      </c>
      <c r="G86" s="66">
        <v>1</v>
      </c>
    </row>
    <row r="87" spans="1:7" x14ac:dyDescent="0.3">
      <c r="A87" s="33" t="s">
        <v>288</v>
      </c>
      <c r="B87" s="34" t="s">
        <v>198</v>
      </c>
      <c r="C87" s="37">
        <f>COMPOSIÇÃO!C58</f>
        <v>72170</v>
      </c>
      <c r="D87" s="301" t="str">
        <f>COMPOSIÇÃO!D58</f>
        <v>QUADRO DE DISTRIBUIÇÃO DE EMBUTIR EM PVC CB 12E - 80A</v>
      </c>
      <c r="E87" s="300" t="s">
        <v>456</v>
      </c>
      <c r="F87" s="35">
        <v>1</v>
      </c>
      <c r="G87" s="66">
        <v>1</v>
      </c>
    </row>
    <row r="88" spans="1:7" x14ac:dyDescent="0.3">
      <c r="A88" s="422" t="s">
        <v>289</v>
      </c>
      <c r="B88" s="410" t="s">
        <v>198</v>
      </c>
      <c r="C88" s="404">
        <v>72578</v>
      </c>
      <c r="D88" s="404" t="s">
        <v>38</v>
      </c>
      <c r="E88" s="455" t="s">
        <v>20</v>
      </c>
      <c r="F88" s="454">
        <v>8</v>
      </c>
      <c r="G88" s="66"/>
    </row>
    <row r="89" spans="1:7" x14ac:dyDescent="0.3">
      <c r="A89" s="423"/>
      <c r="B89" s="411"/>
      <c r="C89" s="405"/>
      <c r="D89" s="405"/>
      <c r="E89" s="455"/>
      <c r="F89" s="454"/>
      <c r="G89" s="66"/>
    </row>
    <row r="90" spans="1:7" x14ac:dyDescent="0.3">
      <c r="A90" s="423"/>
      <c r="B90" s="411"/>
      <c r="C90" s="405"/>
      <c r="D90" s="405"/>
      <c r="E90" s="455"/>
      <c r="F90" s="454"/>
      <c r="G90" s="66"/>
    </row>
    <row r="91" spans="1:7" x14ac:dyDescent="0.3">
      <c r="A91" s="424"/>
      <c r="B91" s="412"/>
      <c r="C91" s="406"/>
      <c r="D91" s="406"/>
      <c r="E91" s="455"/>
      <c r="F91" s="454"/>
      <c r="G91" s="66"/>
    </row>
    <row r="92" spans="1:7" s="123" customFormat="1" x14ac:dyDescent="0.3">
      <c r="A92" s="61" t="str">
        <f>COMPOSIÇÃO!A60</f>
        <v>6.20</v>
      </c>
      <c r="B92" s="61" t="str">
        <f>COMPOSIÇÃO!B60</f>
        <v>AGETOP</v>
      </c>
      <c r="C92" s="61">
        <f>COMPOSIÇÃO!C60</f>
        <v>71615</v>
      </c>
      <c r="D92" s="61" t="str">
        <f>COMPOSIÇÃO!D60</f>
        <v>LUMINÁRIA TIPO ARANDELA DE USO EXTERNO - BASE E-27</v>
      </c>
      <c r="E92" s="274" t="str">
        <f>COMPOSIÇÃO!E60</f>
        <v>und</v>
      </c>
      <c r="F92" s="273">
        <v>2</v>
      </c>
      <c r="G92" s="66" t="s">
        <v>635</v>
      </c>
    </row>
    <row r="93" spans="1:7" s="123" customFormat="1" x14ac:dyDescent="0.3">
      <c r="A93" s="274" t="str">
        <f>COMPOSIÇÃO!A61</f>
        <v>6.21</v>
      </c>
      <c r="B93" s="274" t="str">
        <f>COMPOSIÇÃO!B61</f>
        <v>AGETOP</v>
      </c>
      <c r="C93" s="274">
        <f>COMPOSIÇÃO!C61</f>
        <v>71440</v>
      </c>
      <c r="D93" s="302" t="str">
        <f>COMPOSIÇÃO!D61</f>
        <v>INTERRUPTOR SIMPLES (1 SECAO)</v>
      </c>
      <c r="E93" s="302" t="str">
        <f>COMPOSIÇÃO!E61</f>
        <v>und</v>
      </c>
      <c r="F93" s="299">
        <v>4</v>
      </c>
      <c r="G93" s="66" t="s">
        <v>656</v>
      </c>
    </row>
    <row r="94" spans="1:7" s="123" customFormat="1" x14ac:dyDescent="0.3">
      <c r="A94" s="302" t="str">
        <f>COMPOSIÇÃO!A62</f>
        <v>6.22</v>
      </c>
      <c r="B94" s="302" t="str">
        <f>COMPOSIÇÃO!B62</f>
        <v>AGETOP</v>
      </c>
      <c r="C94" s="302">
        <f>COMPOSIÇÃO!C62</f>
        <v>71451</v>
      </c>
      <c r="D94" s="302" t="str">
        <f>COMPOSIÇÃO!D62</f>
        <v>INTERRUPTOR DIFERENCIAL RESIDUAL (D.R.) BIPOLAR DE 40A-30mA</v>
      </c>
      <c r="E94" s="302" t="str">
        <f>COMPOSIÇÃO!E62</f>
        <v>und</v>
      </c>
      <c r="F94" s="299">
        <v>1</v>
      </c>
      <c r="G94" s="66"/>
    </row>
    <row r="95" spans="1:7" s="123" customFormat="1" x14ac:dyDescent="0.3">
      <c r="A95" s="302" t="str">
        <f>COMPOSIÇÃO!A63</f>
        <v>6.23</v>
      </c>
      <c r="B95" s="302" t="str">
        <f>COMPOSIÇÃO!B63</f>
        <v>AGETOP</v>
      </c>
      <c r="C95" s="302">
        <f>COMPOSIÇÃO!C63</f>
        <v>71184</v>
      </c>
      <c r="D95" s="302" t="str">
        <f>COMPOSIÇÃO!D63</f>
        <v>DISPOSITIVO DE PROTEÇÃO CONTRA SURTOS (D.P.S.) 275V DE 8 A 40KA</v>
      </c>
      <c r="E95" s="302" t="str">
        <f>COMPOSIÇÃO!E63</f>
        <v>und</v>
      </c>
      <c r="F95" s="299">
        <v>1</v>
      </c>
      <c r="G95" s="66"/>
    </row>
    <row r="96" spans="1:7" x14ac:dyDescent="0.3">
      <c r="A96" s="339" t="s">
        <v>183</v>
      </c>
      <c r="B96" s="340"/>
      <c r="C96" s="340"/>
      <c r="D96" s="340"/>
      <c r="E96" s="340"/>
      <c r="F96" s="340"/>
      <c r="G96" s="341"/>
    </row>
    <row r="97" spans="1:7" x14ac:dyDescent="0.3">
      <c r="A97" s="33">
        <v>7</v>
      </c>
      <c r="B97" s="34"/>
      <c r="C97" s="20">
        <v>80000</v>
      </c>
      <c r="D97" s="20" t="s">
        <v>39</v>
      </c>
      <c r="E97" s="36"/>
      <c r="F97" s="35"/>
      <c r="G97" s="68"/>
    </row>
    <row r="98" spans="1:7" x14ac:dyDescent="0.3">
      <c r="A98" s="33" t="s">
        <v>321</v>
      </c>
      <c r="B98" s="34" t="s">
        <v>198</v>
      </c>
      <c r="C98" s="40">
        <v>80500</v>
      </c>
      <c r="D98" s="20" t="s">
        <v>41</v>
      </c>
      <c r="E98" s="36"/>
      <c r="F98" s="35"/>
      <c r="G98" s="68"/>
    </row>
    <row r="99" spans="1:7" x14ac:dyDescent="0.3">
      <c r="A99" s="33" t="s">
        <v>290</v>
      </c>
      <c r="B99" s="34" t="s">
        <v>198</v>
      </c>
      <c r="C99" s="40">
        <v>80501</v>
      </c>
      <c r="D99" s="20" t="s">
        <v>42</v>
      </c>
      <c r="E99" s="36"/>
      <c r="F99" s="35"/>
      <c r="G99" s="68"/>
    </row>
    <row r="100" spans="1:7" x14ac:dyDescent="0.3">
      <c r="A100" s="33" t="s">
        <v>291</v>
      </c>
      <c r="B100" s="34" t="s">
        <v>198</v>
      </c>
      <c r="C100" s="40">
        <v>80504</v>
      </c>
      <c r="D100" s="37" t="s">
        <v>43</v>
      </c>
      <c r="E100" s="36" t="s">
        <v>20</v>
      </c>
      <c r="F100" s="35">
        <v>1</v>
      </c>
      <c r="G100" s="68"/>
    </row>
    <row r="101" spans="1:7" x14ac:dyDescent="0.3">
      <c r="A101" s="33" t="s">
        <v>292</v>
      </c>
      <c r="B101" s="34" t="s">
        <v>198</v>
      </c>
      <c r="C101" s="40">
        <f>COMPOSIÇÃO!C70</f>
        <v>80510</v>
      </c>
      <c r="D101" s="37" t="str">
        <f>COMPOSIÇÃO!D70</f>
        <v xml:space="preserve">ANEL DE VEDAÇÃO PARA VASO SANITÁRIO </v>
      </c>
      <c r="E101" s="36" t="str">
        <f>COMPOSIÇÃO!E70</f>
        <v>und</v>
      </c>
      <c r="F101" s="35">
        <v>1</v>
      </c>
      <c r="G101" s="68"/>
    </row>
    <row r="102" spans="1:7" x14ac:dyDescent="0.3">
      <c r="A102" s="33" t="s">
        <v>293</v>
      </c>
      <c r="B102" s="34" t="s">
        <v>198</v>
      </c>
      <c r="C102" s="40">
        <v>80520</v>
      </c>
      <c r="D102" s="37" t="s">
        <v>44</v>
      </c>
      <c r="E102" s="36" t="s">
        <v>45</v>
      </c>
      <c r="F102" s="35">
        <v>2</v>
      </c>
      <c r="G102" s="68"/>
    </row>
    <row r="103" spans="1:7" x14ac:dyDescent="0.3">
      <c r="A103" s="33" t="s">
        <v>294</v>
      </c>
      <c r="B103" s="34" t="s">
        <v>198</v>
      </c>
      <c r="C103" s="38">
        <v>80526</v>
      </c>
      <c r="D103" s="37" t="s">
        <v>46</v>
      </c>
      <c r="E103" s="36" t="s">
        <v>20</v>
      </c>
      <c r="F103" s="35">
        <v>1</v>
      </c>
      <c r="G103" s="68"/>
    </row>
    <row r="104" spans="1:7" x14ac:dyDescent="0.3">
      <c r="A104" s="33" t="s">
        <v>295</v>
      </c>
      <c r="B104" s="34" t="s">
        <v>198</v>
      </c>
      <c r="C104" s="38">
        <v>80532</v>
      </c>
      <c r="D104" s="37" t="s">
        <v>47</v>
      </c>
      <c r="E104" s="36" t="s">
        <v>20</v>
      </c>
      <c r="F104" s="35">
        <v>1</v>
      </c>
      <c r="G104" s="68"/>
    </row>
    <row r="105" spans="1:7" x14ac:dyDescent="0.3">
      <c r="A105" s="33" t="s">
        <v>296</v>
      </c>
      <c r="B105" s="34" t="s">
        <v>198</v>
      </c>
      <c r="C105" s="40">
        <v>80540</v>
      </c>
      <c r="D105" s="20" t="s">
        <v>48</v>
      </c>
      <c r="E105" s="36"/>
      <c r="F105" s="35"/>
      <c r="G105" s="68"/>
    </row>
    <row r="106" spans="1:7" x14ac:dyDescent="0.3">
      <c r="A106" s="33" t="s">
        <v>297</v>
      </c>
      <c r="B106" s="34" t="s">
        <v>198</v>
      </c>
      <c r="C106" s="40">
        <v>80541</v>
      </c>
      <c r="D106" s="37" t="s">
        <v>393</v>
      </c>
      <c r="E106" s="36" t="s">
        <v>20</v>
      </c>
      <c r="F106" s="35">
        <v>1</v>
      </c>
      <c r="G106" s="68"/>
    </row>
    <row r="107" spans="1:7" x14ac:dyDescent="0.3">
      <c r="A107" s="33" t="s">
        <v>298</v>
      </c>
      <c r="B107" s="34" t="s">
        <v>198</v>
      </c>
      <c r="C107" s="40">
        <v>80550</v>
      </c>
      <c r="D107" s="37" t="s">
        <v>49</v>
      </c>
      <c r="E107" s="36" t="s">
        <v>50</v>
      </c>
      <c r="F107" s="35">
        <v>1</v>
      </c>
      <c r="G107" s="68"/>
    </row>
    <row r="108" spans="1:7" x14ac:dyDescent="0.3">
      <c r="A108" s="422" t="s">
        <v>299</v>
      </c>
      <c r="B108" s="410" t="s">
        <v>198</v>
      </c>
      <c r="C108" s="451">
        <v>80556</v>
      </c>
      <c r="D108" s="404" t="s">
        <v>51</v>
      </c>
      <c r="E108" s="416" t="s">
        <v>20</v>
      </c>
      <c r="F108" s="413">
        <v>2</v>
      </c>
      <c r="G108" s="68"/>
    </row>
    <row r="109" spans="1:7" x14ac:dyDescent="0.3">
      <c r="A109" s="423"/>
      <c r="B109" s="411"/>
      <c r="C109" s="452"/>
      <c r="D109" s="405"/>
      <c r="E109" s="417"/>
      <c r="F109" s="414"/>
      <c r="G109" s="68"/>
    </row>
    <row r="110" spans="1:7" x14ac:dyDescent="0.3">
      <c r="A110" s="424"/>
      <c r="B110" s="412"/>
      <c r="C110" s="453"/>
      <c r="D110" s="406"/>
      <c r="E110" s="418"/>
      <c r="F110" s="415"/>
      <c r="G110" s="68"/>
    </row>
    <row r="111" spans="1:7" x14ac:dyDescent="0.3">
      <c r="A111" s="33" t="s">
        <v>300</v>
      </c>
      <c r="B111" s="34" t="s">
        <v>198</v>
      </c>
      <c r="C111" s="40">
        <v>80562</v>
      </c>
      <c r="D111" s="37" t="s">
        <v>52</v>
      </c>
      <c r="E111" s="36" t="s">
        <v>20</v>
      </c>
      <c r="F111" s="35">
        <v>1</v>
      </c>
      <c r="G111" s="68"/>
    </row>
    <row r="112" spans="1:7" x14ac:dyDescent="0.3">
      <c r="A112" s="33" t="s">
        <v>301</v>
      </c>
      <c r="B112" s="34" t="s">
        <v>198</v>
      </c>
      <c r="C112" s="38">
        <v>80570</v>
      </c>
      <c r="D112" s="37" t="s">
        <v>53</v>
      </c>
      <c r="E112" s="36" t="s">
        <v>20</v>
      </c>
      <c r="F112" s="35">
        <v>1</v>
      </c>
      <c r="G112" s="68"/>
    </row>
    <row r="113" spans="1:7" x14ac:dyDescent="0.3">
      <c r="A113" s="33" t="s">
        <v>302</v>
      </c>
      <c r="B113" s="34" t="s">
        <v>198</v>
      </c>
      <c r="C113" s="38">
        <v>80580</v>
      </c>
      <c r="D113" s="37" t="s">
        <v>54</v>
      </c>
      <c r="E113" s="36" t="s">
        <v>20</v>
      </c>
      <c r="F113" s="35">
        <v>1</v>
      </c>
      <c r="G113" s="68"/>
    </row>
    <row r="114" spans="1:7" x14ac:dyDescent="0.3">
      <c r="A114" s="33" t="s">
        <v>303</v>
      </c>
      <c r="B114" s="34" t="s">
        <v>198</v>
      </c>
      <c r="C114" s="40">
        <v>80650</v>
      </c>
      <c r="D114" s="20" t="s">
        <v>55</v>
      </c>
      <c r="E114" s="36"/>
      <c r="F114" s="35"/>
      <c r="G114" s="68"/>
    </row>
    <row r="115" spans="1:7" x14ac:dyDescent="0.3">
      <c r="A115" s="33" t="s">
        <v>304</v>
      </c>
      <c r="B115" s="34" t="s">
        <v>198</v>
      </c>
      <c r="C115" s="40">
        <v>80651</v>
      </c>
      <c r="D115" s="37" t="s">
        <v>56</v>
      </c>
      <c r="E115" s="36" t="s">
        <v>20</v>
      </c>
      <c r="F115" s="35">
        <v>1</v>
      </c>
      <c r="G115" s="68"/>
    </row>
    <row r="116" spans="1:7" x14ac:dyDescent="0.3">
      <c r="A116" s="33" t="s">
        <v>305</v>
      </c>
      <c r="B116" s="34" t="s">
        <v>198</v>
      </c>
      <c r="C116" s="38">
        <v>80660</v>
      </c>
      <c r="D116" s="37" t="s">
        <v>57</v>
      </c>
      <c r="E116" s="36" t="s">
        <v>20</v>
      </c>
      <c r="F116" s="35">
        <v>1</v>
      </c>
      <c r="G116" s="68"/>
    </row>
    <row r="117" spans="1:7" x14ac:dyDescent="0.3">
      <c r="A117" s="33" t="s">
        <v>306</v>
      </c>
      <c r="B117" s="34" t="s">
        <v>198</v>
      </c>
      <c r="C117" s="40">
        <v>80671</v>
      </c>
      <c r="D117" s="37" t="s">
        <v>58</v>
      </c>
      <c r="E117" s="36" t="s">
        <v>20</v>
      </c>
      <c r="F117" s="35">
        <v>3</v>
      </c>
      <c r="G117" s="68"/>
    </row>
    <row r="118" spans="1:7" x14ac:dyDescent="0.3">
      <c r="A118" s="33" t="s">
        <v>307</v>
      </c>
      <c r="B118" s="34" t="s">
        <v>198</v>
      </c>
      <c r="C118" s="38">
        <v>80680</v>
      </c>
      <c r="D118" s="37" t="str">
        <f>COMPOSIÇÃO!D85</f>
        <v>VALVULA P/LAVATORIO OU BEBEDOURO METALICO DIAMETRO 1"</v>
      </c>
      <c r="E118" s="36" t="s">
        <v>20</v>
      </c>
      <c r="F118" s="35">
        <v>2</v>
      </c>
      <c r="G118" s="68"/>
    </row>
    <row r="119" spans="1:7" x14ac:dyDescent="0.3">
      <c r="A119" s="33" t="s">
        <v>308</v>
      </c>
      <c r="B119" s="34" t="s">
        <v>198</v>
      </c>
      <c r="C119" s="40">
        <v>80720</v>
      </c>
      <c r="D119" s="20" t="s">
        <v>59</v>
      </c>
      <c r="E119" s="36"/>
      <c r="F119" s="35"/>
      <c r="G119" s="68"/>
    </row>
    <row r="120" spans="1:7" x14ac:dyDescent="0.3">
      <c r="A120" s="33" t="s">
        <v>309</v>
      </c>
      <c r="B120" s="34" t="s">
        <v>198</v>
      </c>
      <c r="C120" s="38">
        <v>80721</v>
      </c>
      <c r="D120" s="37" t="s">
        <v>60</v>
      </c>
      <c r="E120" s="36" t="s">
        <v>20</v>
      </c>
      <c r="F120" s="35">
        <v>1</v>
      </c>
      <c r="G120" s="68"/>
    </row>
    <row r="121" spans="1:7" x14ac:dyDescent="0.3">
      <c r="A121" s="33" t="s">
        <v>310</v>
      </c>
      <c r="B121" s="34" t="s">
        <v>198</v>
      </c>
      <c r="C121" s="38">
        <f>COMPOSIÇÃO!C88</f>
        <v>80733</v>
      </c>
      <c r="D121" s="37" t="str">
        <f>COMPOSIÇÃO!D88</f>
        <v xml:space="preserve">PORTA TOALHA HASTE CURTA EM METAL/ACABAMENTO CROMADO </v>
      </c>
      <c r="E121" s="36" t="str">
        <f>COMPOSIÇÃO!E88</f>
        <v>und</v>
      </c>
      <c r="F121" s="35">
        <v>1</v>
      </c>
      <c r="G121" s="68"/>
    </row>
    <row r="122" spans="1:7" x14ac:dyDescent="0.3">
      <c r="A122" s="33" t="s">
        <v>311</v>
      </c>
      <c r="B122" s="34" t="s">
        <v>198</v>
      </c>
      <c r="C122" s="38">
        <v>80741</v>
      </c>
      <c r="D122" s="37" t="s">
        <v>61</v>
      </c>
      <c r="E122" s="36" t="s">
        <v>62</v>
      </c>
      <c r="F122" s="35">
        <v>1</v>
      </c>
      <c r="G122" s="68"/>
    </row>
    <row r="123" spans="1:7" x14ac:dyDescent="0.3">
      <c r="A123" s="33" t="s">
        <v>312</v>
      </c>
      <c r="B123" s="34" t="s">
        <v>198</v>
      </c>
      <c r="C123" s="40">
        <v>80800</v>
      </c>
      <c r="D123" s="20" t="s">
        <v>63</v>
      </c>
      <c r="E123" s="36"/>
      <c r="F123" s="35"/>
      <c r="G123" s="68"/>
    </row>
    <row r="124" spans="1:7" x14ac:dyDescent="0.3">
      <c r="A124" s="33" t="s">
        <v>313</v>
      </c>
      <c r="B124" s="34" t="s">
        <v>198</v>
      </c>
      <c r="C124" s="40">
        <v>80803</v>
      </c>
      <c r="D124" s="37" t="s">
        <v>64</v>
      </c>
      <c r="E124" s="36" t="s">
        <v>20</v>
      </c>
      <c r="F124" s="35">
        <v>1</v>
      </c>
      <c r="G124" s="68"/>
    </row>
    <row r="125" spans="1:7" x14ac:dyDescent="0.3">
      <c r="A125" s="33" t="s">
        <v>314</v>
      </c>
      <c r="B125" s="34" t="s">
        <v>198</v>
      </c>
      <c r="C125" s="40">
        <v>80810</v>
      </c>
      <c r="D125" s="37" t="s">
        <v>65</v>
      </c>
      <c r="E125" s="36" t="s">
        <v>20</v>
      </c>
      <c r="F125" s="35">
        <v>1</v>
      </c>
      <c r="G125" s="68"/>
    </row>
    <row r="126" spans="1:7" x14ac:dyDescent="0.3">
      <c r="A126" s="33" t="s">
        <v>315</v>
      </c>
      <c r="B126" s="34" t="s">
        <v>198</v>
      </c>
      <c r="C126" s="40">
        <v>80820</v>
      </c>
      <c r="D126" s="37" t="s">
        <v>66</v>
      </c>
      <c r="E126" s="36" t="s">
        <v>20</v>
      </c>
      <c r="F126" s="35">
        <v>1</v>
      </c>
      <c r="G126" s="68"/>
    </row>
    <row r="127" spans="1:7" x14ac:dyDescent="0.3">
      <c r="A127" s="33" t="s">
        <v>316</v>
      </c>
      <c r="B127" s="34" t="s">
        <v>198</v>
      </c>
      <c r="C127" s="38">
        <v>80830</v>
      </c>
      <c r="D127" s="37" t="s">
        <v>67</v>
      </c>
      <c r="E127" s="36" t="s">
        <v>20</v>
      </c>
      <c r="F127" s="35">
        <v>1</v>
      </c>
      <c r="G127" s="68"/>
    </row>
    <row r="128" spans="1:7" x14ac:dyDescent="0.3">
      <c r="A128" s="33" t="s">
        <v>317</v>
      </c>
      <c r="B128" s="34" t="s">
        <v>198</v>
      </c>
      <c r="C128" s="40">
        <v>80900</v>
      </c>
      <c r="D128" s="20" t="s">
        <v>68</v>
      </c>
      <c r="E128" s="36"/>
      <c r="F128" s="35"/>
      <c r="G128" s="68"/>
    </row>
    <row r="129" spans="1:7" x14ac:dyDescent="0.3">
      <c r="A129" s="422" t="s">
        <v>318</v>
      </c>
      <c r="B129" s="422" t="s">
        <v>198</v>
      </c>
      <c r="C129" s="451">
        <v>80902</v>
      </c>
      <c r="D129" s="404" t="s">
        <v>69</v>
      </c>
      <c r="E129" s="416" t="s">
        <v>20</v>
      </c>
      <c r="F129" s="413">
        <v>3</v>
      </c>
      <c r="G129" s="68"/>
    </row>
    <row r="130" spans="1:7" x14ac:dyDescent="0.3">
      <c r="A130" s="424"/>
      <c r="B130" s="424"/>
      <c r="C130" s="453"/>
      <c r="D130" s="406"/>
      <c r="E130" s="418"/>
      <c r="F130" s="415"/>
      <c r="G130" s="68"/>
    </row>
    <row r="131" spans="1:7" x14ac:dyDescent="0.3">
      <c r="A131" s="33" t="s">
        <v>319</v>
      </c>
      <c r="B131" s="34" t="s">
        <v>198</v>
      </c>
      <c r="C131" s="40">
        <v>80906</v>
      </c>
      <c r="D131" s="37" t="str">
        <f>COMPOSIÇÃO!D97</f>
        <v xml:space="preserve">REGISTRO DE GAVETA BRUTO DIAMETRO 1.1/4" </v>
      </c>
      <c r="E131" s="36" t="s">
        <v>20</v>
      </c>
      <c r="F131" s="35">
        <v>1</v>
      </c>
      <c r="G131" s="68"/>
    </row>
    <row r="132" spans="1:7" x14ac:dyDescent="0.3">
      <c r="A132" s="33" t="s">
        <v>320</v>
      </c>
      <c r="B132" s="34" t="s">
        <v>198</v>
      </c>
      <c r="C132" s="40">
        <v>80946</v>
      </c>
      <c r="D132" s="37" t="s">
        <v>70</v>
      </c>
      <c r="E132" s="36" t="s">
        <v>20</v>
      </c>
      <c r="F132" s="35">
        <v>1</v>
      </c>
      <c r="G132" s="68"/>
    </row>
    <row r="133" spans="1:7" s="123" customFormat="1" x14ac:dyDescent="0.3">
      <c r="A133" s="207" t="str">
        <f>COMPOSIÇÃO!A99</f>
        <v>7.6.4</v>
      </c>
      <c r="B133" s="207" t="str">
        <f>COMPOSIÇÃO!B99</f>
        <v>AGETOP</v>
      </c>
      <c r="C133" s="207">
        <f>COMPOSIÇÃO!C99</f>
        <v>80977</v>
      </c>
      <c r="D133" s="207" t="str">
        <f>COMPOSIÇÃO!D99</f>
        <v>REGISTRO DE ESFERA DIAMETRO 1"</v>
      </c>
      <c r="E133" s="134" t="str">
        <f>COMPOSIÇÃO!E99</f>
        <v>und</v>
      </c>
      <c r="F133" s="204">
        <v>2</v>
      </c>
      <c r="G133" s="130"/>
    </row>
    <row r="134" spans="1:7" s="123" customFormat="1" x14ac:dyDescent="0.3">
      <c r="A134" s="207" t="str">
        <f>COMPOSIÇÃO!A100</f>
        <v>7.6.5</v>
      </c>
      <c r="B134" s="207" t="str">
        <f>COMPOSIÇÃO!B100</f>
        <v>AGETOP</v>
      </c>
      <c r="C134" s="207">
        <f>COMPOSIÇÃO!C100</f>
        <v>80975</v>
      </c>
      <c r="D134" s="207" t="str">
        <f>COMPOSIÇÃO!D100</f>
        <v>REGISTRO DE ESFERA DIAM.1/2"</v>
      </c>
      <c r="E134" s="134" t="str">
        <f>COMPOSIÇÃO!E100</f>
        <v>und</v>
      </c>
      <c r="F134" s="204">
        <v>2</v>
      </c>
      <c r="G134" s="130"/>
    </row>
    <row r="135" spans="1:7" x14ac:dyDescent="0.3">
      <c r="A135" s="33" t="s">
        <v>322</v>
      </c>
      <c r="B135" s="34" t="s">
        <v>198</v>
      </c>
      <c r="C135" s="40">
        <v>81000</v>
      </c>
      <c r="D135" s="37" t="s">
        <v>71</v>
      </c>
      <c r="E135" s="36"/>
      <c r="F135" s="35"/>
      <c r="G135" s="68"/>
    </row>
    <row r="136" spans="1:7" x14ac:dyDescent="0.3">
      <c r="A136" s="33" t="s">
        <v>323</v>
      </c>
      <c r="B136" s="34" t="s">
        <v>198</v>
      </c>
      <c r="C136" s="40">
        <v>81001</v>
      </c>
      <c r="D136" s="20" t="s">
        <v>72</v>
      </c>
      <c r="E136" s="36"/>
      <c r="F136" s="35"/>
      <c r="G136" s="68"/>
    </row>
    <row r="137" spans="1:7" x14ac:dyDescent="0.3">
      <c r="A137" s="33" t="s">
        <v>324</v>
      </c>
      <c r="B137" s="34" t="s">
        <v>198</v>
      </c>
      <c r="C137" s="40">
        <v>81003</v>
      </c>
      <c r="D137" s="37" t="s">
        <v>73</v>
      </c>
      <c r="E137" s="36" t="s">
        <v>25</v>
      </c>
      <c r="F137" s="35">
        <v>15</v>
      </c>
      <c r="G137" s="68"/>
    </row>
    <row r="138" spans="1:7" s="123" customFormat="1" x14ac:dyDescent="0.3">
      <c r="A138" s="207" t="str">
        <f>COMPOSIÇÃO!A104</f>
        <v>7.7.2</v>
      </c>
      <c r="B138" s="207" t="str">
        <f>COMPOSIÇÃO!B104</f>
        <v>AGETOP</v>
      </c>
      <c r="C138" s="207">
        <f>COMPOSIÇÃO!C104</f>
        <v>81004</v>
      </c>
      <c r="D138" s="207" t="str">
        <f>COMPOSIÇÃO!D104</f>
        <v>TUBO SOLDAVEL PVC MARROM DIAMETRO 32 mm</v>
      </c>
      <c r="E138" s="134" t="str">
        <f>COMPOSIÇÃO!E104</f>
        <v>m</v>
      </c>
      <c r="F138" s="204">
        <v>15</v>
      </c>
      <c r="G138" s="130"/>
    </row>
    <row r="139" spans="1:7" s="123" customFormat="1" x14ac:dyDescent="0.3">
      <c r="A139" s="207" t="str">
        <f>COMPOSIÇÃO!A105</f>
        <v>7.7.3</v>
      </c>
      <c r="B139" s="207" t="str">
        <f>COMPOSIÇÃO!B105</f>
        <v>AGETOP</v>
      </c>
      <c r="C139" s="207">
        <f>COMPOSIÇÃO!C105</f>
        <v>81005</v>
      </c>
      <c r="D139" s="207" t="str">
        <f>COMPOSIÇÃO!D105</f>
        <v>TUBO SOLDAVEL PVC MARROM DIAM.(40 mm)</v>
      </c>
      <c r="E139" s="134" t="str">
        <f>COMPOSIÇÃO!E105</f>
        <v>m</v>
      </c>
      <c r="F139" s="204">
        <v>9</v>
      </c>
      <c r="G139" s="130"/>
    </row>
    <row r="140" spans="1:7" s="123" customFormat="1" x14ac:dyDescent="0.3">
      <c r="A140" s="207" t="str">
        <f>COMPOSIÇÃO!A106</f>
        <v>7.7.4</v>
      </c>
      <c r="B140" s="207" t="str">
        <f>COMPOSIÇÃO!B106</f>
        <v>AGETOP</v>
      </c>
      <c r="C140" s="207">
        <f>COMPOSIÇÃO!C106</f>
        <v>81002</v>
      </c>
      <c r="D140" s="207" t="str">
        <f>COMPOSIÇÃO!D106</f>
        <v>TUBO SOLDAVEL PVC MARROM DIAMETRO 20 mm</v>
      </c>
      <c r="E140" s="134" t="str">
        <f>COMPOSIÇÃO!E106</f>
        <v>m</v>
      </c>
      <c r="F140" s="204">
        <v>18</v>
      </c>
      <c r="G140" s="130"/>
    </row>
    <row r="141" spans="1:7" x14ac:dyDescent="0.3">
      <c r="A141" s="33" t="s">
        <v>326</v>
      </c>
      <c r="B141" s="34" t="s">
        <v>198</v>
      </c>
      <c r="C141" s="40">
        <v>81040</v>
      </c>
      <c r="D141" s="20" t="s">
        <v>74</v>
      </c>
      <c r="E141" s="36"/>
      <c r="F141" s="35"/>
      <c r="G141" s="68"/>
    </row>
    <row r="142" spans="1:7" s="123" customFormat="1" x14ac:dyDescent="0.3">
      <c r="A142" s="260" t="str">
        <f>COMPOSIÇÃO!A108</f>
        <v>7.8.1</v>
      </c>
      <c r="B142" s="260" t="str">
        <f>COMPOSIÇÃO!B108</f>
        <v>AGETOP</v>
      </c>
      <c r="C142" s="260">
        <f>COMPOSIÇÃO!C108</f>
        <v>81041</v>
      </c>
      <c r="D142" s="260" t="str">
        <f>COMPOSIÇÃO!D108</f>
        <v>ADAPTAD.PVC SOLD.LONGO C/FLANGES LIVRES P/CX.DAGUA 25X3/4"</v>
      </c>
      <c r="E142" s="260" t="str">
        <f>COMPOSIÇÃO!E108</f>
        <v>und</v>
      </c>
      <c r="F142" s="258">
        <v>1</v>
      </c>
      <c r="G142" s="130"/>
    </row>
    <row r="143" spans="1:7" x14ac:dyDescent="0.3">
      <c r="A143" s="33" t="str">
        <f>COMPOSIÇÃO!A109</f>
        <v>7.8.2</v>
      </c>
      <c r="B143" s="207" t="str">
        <f>COMPOSIÇÃO!B109</f>
        <v>AGETOP</v>
      </c>
      <c r="C143" s="207">
        <f>COMPOSIÇÃO!C109</f>
        <v>81056</v>
      </c>
      <c r="D143" s="207" t="str">
        <f>COMPOSIÇÃO!D109</f>
        <v>ADAPTADOR SOLD.C/FLANGES LIVRES P/CX.DAGUA 32X1"</v>
      </c>
      <c r="E143" s="134" t="str">
        <f>COMPOSIÇÃO!E109</f>
        <v>und</v>
      </c>
      <c r="F143" s="35">
        <v>2</v>
      </c>
      <c r="G143" s="68"/>
    </row>
    <row r="144" spans="1:7" s="123" customFormat="1" x14ac:dyDescent="0.3">
      <c r="A144" s="207" t="str">
        <f>COMPOSIÇÃO!A110</f>
        <v>7.8.3</v>
      </c>
      <c r="B144" s="207" t="str">
        <f>COMPOSIÇÃO!B110</f>
        <v>AGETOP</v>
      </c>
      <c r="C144" s="207">
        <f>COMPOSIÇÃO!C110</f>
        <v>81057</v>
      </c>
      <c r="D144" s="207" t="str">
        <f>COMPOSIÇÃO!D110</f>
        <v>ADAPTADOR SOLD.C/FLANGES LIV.P/CX.DAGUA 40X1.1/4"</v>
      </c>
      <c r="E144" s="134" t="str">
        <f>COMPOSIÇÃO!E110</f>
        <v>und</v>
      </c>
      <c r="F144" s="204">
        <v>2</v>
      </c>
      <c r="G144" s="130"/>
    </row>
    <row r="145" spans="1:7" s="123" customFormat="1" x14ac:dyDescent="0.3">
      <c r="A145" s="207" t="s">
        <v>462</v>
      </c>
      <c r="B145" s="34" t="s">
        <v>198</v>
      </c>
      <c r="C145" s="40">
        <v>81066</v>
      </c>
      <c r="D145" s="207" t="s">
        <v>479</v>
      </c>
      <c r="E145" s="205" t="s">
        <v>456</v>
      </c>
      <c r="F145" s="204">
        <v>7</v>
      </c>
      <c r="G145" s="130"/>
    </row>
    <row r="146" spans="1:7" s="123" customFormat="1" x14ac:dyDescent="0.3">
      <c r="A146" s="207" t="str">
        <f>COMPOSIÇÃO!A112</f>
        <v>7.8.3</v>
      </c>
      <c r="B146" s="207" t="str">
        <f>COMPOSIÇÃO!B112</f>
        <v>AGETOP</v>
      </c>
      <c r="C146" s="207">
        <f>COMPOSIÇÃO!C112</f>
        <v>81065</v>
      </c>
      <c r="D146" s="207" t="str">
        <f>COMPOSIÇÃO!D112</f>
        <v>ADAPTAD.SOLD.CURTO C/BOLSA E ROSCA P/REG.20X1/2"</v>
      </c>
      <c r="E146" s="134" t="str">
        <f>COMPOSIÇÃO!E112</f>
        <v>und</v>
      </c>
      <c r="F146" s="204">
        <v>1</v>
      </c>
      <c r="G146" s="130"/>
    </row>
    <row r="147" spans="1:7" s="123" customFormat="1" x14ac:dyDescent="0.3">
      <c r="A147" s="207" t="str">
        <f>COMPOSIÇÃO!A113</f>
        <v>7.8.4</v>
      </c>
      <c r="B147" s="207" t="str">
        <f>COMPOSIÇÃO!B113</f>
        <v>AGETOP</v>
      </c>
      <c r="C147" s="207">
        <f>COMPOSIÇÃO!C113</f>
        <v>81068</v>
      </c>
      <c r="D147" s="207" t="str">
        <f>COMPOSIÇÃO!D113</f>
        <v>ADAPTAD.SOLD.CURTO C/BOLSA/ROSCA P/REG.40X1 1/4"</v>
      </c>
      <c r="E147" s="134" t="str">
        <f>COMPOSIÇÃO!E113</f>
        <v>und</v>
      </c>
      <c r="F147" s="204">
        <v>2</v>
      </c>
      <c r="G147" s="130"/>
    </row>
    <row r="148" spans="1:7" x14ac:dyDescent="0.3">
      <c r="A148" s="33" t="s">
        <v>328</v>
      </c>
      <c r="B148" s="34" t="s">
        <v>198</v>
      </c>
      <c r="C148" s="40">
        <v>81300</v>
      </c>
      <c r="D148" s="20" t="s">
        <v>75</v>
      </c>
      <c r="E148" s="36"/>
      <c r="F148" s="35"/>
      <c r="G148" s="68"/>
    </row>
    <row r="149" spans="1:7" x14ac:dyDescent="0.3">
      <c r="A149" s="33" t="s">
        <v>329</v>
      </c>
      <c r="B149" s="34" t="s">
        <v>198</v>
      </c>
      <c r="C149" s="40">
        <v>81321</v>
      </c>
      <c r="D149" s="37" t="s">
        <v>76</v>
      </c>
      <c r="E149" s="36" t="s">
        <v>20</v>
      </c>
      <c r="F149" s="35">
        <v>6</v>
      </c>
      <c r="G149" s="68"/>
    </row>
    <row r="150" spans="1:7" s="123" customFormat="1" x14ac:dyDescent="0.3">
      <c r="A150" s="207" t="str">
        <f>COMPOSIÇÃO!A116</f>
        <v>7.9.2</v>
      </c>
      <c r="B150" s="207" t="str">
        <f>COMPOSIÇÃO!B116</f>
        <v>AGETOP</v>
      </c>
      <c r="C150" s="207">
        <f>COMPOSIÇÃO!C116</f>
        <v>81322</v>
      </c>
      <c r="D150" s="207" t="str">
        <f>COMPOSIÇÃO!D116</f>
        <v>JOELHO 90 GRAUS SOLDAVEL DIAMETRO 32 MM (1")</v>
      </c>
      <c r="E150" s="134" t="str">
        <f>COMPOSIÇÃO!E116</f>
        <v>und</v>
      </c>
      <c r="F150" s="204">
        <v>9</v>
      </c>
      <c r="G150" s="130"/>
    </row>
    <row r="151" spans="1:7" s="123" customFormat="1" x14ac:dyDescent="0.3">
      <c r="A151" s="207" t="str">
        <f>COMPOSIÇÃO!A117</f>
        <v>7.9.3</v>
      </c>
      <c r="B151" s="207" t="str">
        <f>COMPOSIÇÃO!B117</f>
        <v>AGETOP</v>
      </c>
      <c r="C151" s="207">
        <f>COMPOSIÇÃO!C117</f>
        <v>81320</v>
      </c>
      <c r="D151" s="207" t="s">
        <v>467</v>
      </c>
      <c r="E151" s="134" t="s">
        <v>456</v>
      </c>
      <c r="F151" s="204">
        <v>5</v>
      </c>
      <c r="G151" s="130"/>
    </row>
    <row r="152" spans="1:7" x14ac:dyDescent="0.3">
      <c r="A152" s="33" t="s">
        <v>331</v>
      </c>
      <c r="B152" s="34" t="s">
        <v>198</v>
      </c>
      <c r="C152" s="40">
        <v>81369</v>
      </c>
      <c r="D152" s="37" t="s">
        <v>77</v>
      </c>
      <c r="E152" s="36" t="s">
        <v>20</v>
      </c>
      <c r="F152" s="35">
        <v>4</v>
      </c>
      <c r="G152" s="68"/>
    </row>
    <row r="153" spans="1:7" s="123" customFormat="1" x14ac:dyDescent="0.3">
      <c r="A153" s="207" t="str">
        <f>COMPOSIÇÃO!A119</f>
        <v>7.9.5</v>
      </c>
      <c r="B153" s="207" t="str">
        <f>COMPOSIÇÃO!B119</f>
        <v>AGETOP</v>
      </c>
      <c r="C153" s="207">
        <f>COMPOSIÇÃO!C119</f>
        <v>81360</v>
      </c>
      <c r="D153" s="206" t="str">
        <f>COMPOSIÇÃO!D119</f>
        <v>JOELHO RED.90 GRAUS SOLD.C/BUCHA LATAO 25X1/2"</v>
      </c>
      <c r="E153" s="205" t="s">
        <v>456</v>
      </c>
      <c r="F153" s="204">
        <v>1</v>
      </c>
      <c r="G153" s="130"/>
    </row>
    <row r="154" spans="1:7" s="123" customFormat="1" x14ac:dyDescent="0.3">
      <c r="A154" s="207" t="str">
        <f>COMPOSIÇÃO!A120</f>
        <v>7.9.6</v>
      </c>
      <c r="B154" s="207" t="str">
        <f>COMPOSIÇÃO!B120</f>
        <v>AGETOP</v>
      </c>
      <c r="C154" s="207">
        <f>COMPOSIÇÃO!C120</f>
        <v>81340</v>
      </c>
      <c r="D154" s="207" t="str">
        <f>COMPOSIÇÃO!D120</f>
        <v>JOELHO REDUÇÃO 90º SOLDÁVEL 32 mm X 25 mm</v>
      </c>
      <c r="E154" s="134" t="str">
        <f>COMPOSIÇÃO!E120</f>
        <v>und</v>
      </c>
      <c r="F154" s="204">
        <v>2</v>
      </c>
      <c r="G154" s="130"/>
    </row>
    <row r="155" spans="1:7" s="123" customFormat="1" x14ac:dyDescent="0.3">
      <c r="A155" s="207" t="str">
        <f>COMPOSIÇÃO!A121</f>
        <v>7.9.7</v>
      </c>
      <c r="B155" s="207" t="str">
        <f>COMPOSIÇÃO!B121</f>
        <v>AGETOP</v>
      </c>
      <c r="C155" s="207">
        <f>COMPOSIÇÃO!C121</f>
        <v>81323</v>
      </c>
      <c r="D155" s="207" t="str">
        <f>COMPOSIÇÃO!D121</f>
        <v>JOELHO 90 GRAUS SOLDAVEL DIAMETRO 40 mm (1.1/4")</v>
      </c>
      <c r="E155" s="134" t="str">
        <f>COMPOSIÇÃO!E121</f>
        <v>und</v>
      </c>
      <c r="F155" s="204">
        <v>5</v>
      </c>
      <c r="G155" s="130"/>
    </row>
    <row r="156" spans="1:7" s="123" customFormat="1" x14ac:dyDescent="0.3">
      <c r="A156" s="207" t="str">
        <f>COMPOSIÇÃO!A122</f>
        <v>7.9.8</v>
      </c>
      <c r="B156" s="207" t="str">
        <f>COMPOSIÇÃO!B122</f>
        <v>AGETOP</v>
      </c>
      <c r="C156" s="207">
        <f>COMPOSIÇÃO!C122</f>
        <v>81361</v>
      </c>
      <c r="D156" s="207" t="str">
        <f>COMPOSIÇÃO!D122</f>
        <v>JOELHO REDUCAO 90 GRAUS SOLD./ROSCA 25 X 1/2"</v>
      </c>
      <c r="E156" s="134" t="str">
        <f>COMPOSIÇÃO!E122</f>
        <v>und</v>
      </c>
      <c r="F156" s="204">
        <v>1</v>
      </c>
      <c r="G156" s="130"/>
    </row>
    <row r="157" spans="1:7" s="123" customFormat="1" x14ac:dyDescent="0.3">
      <c r="A157" s="207" t="str">
        <f>COMPOSIÇÃO!A123</f>
        <v>7.9.9</v>
      </c>
      <c r="B157" s="207" t="str">
        <f>COMPOSIÇÃO!B123</f>
        <v>AGETOP</v>
      </c>
      <c r="C157" s="207">
        <f>COMPOSIÇÃO!C123</f>
        <v>81350</v>
      </c>
      <c r="D157" s="207" t="str">
        <f>COMPOSIÇÃO!D123</f>
        <v>JOELHO 90 GRAUS SOLDAVEL/ROSCA DIAM.20 X 1/2"</v>
      </c>
      <c r="E157" s="134" t="str">
        <f>COMPOSIÇÃO!E123</f>
        <v>und</v>
      </c>
      <c r="F157" s="204">
        <v>1</v>
      </c>
      <c r="G157" s="130"/>
    </row>
    <row r="158" spans="1:7" x14ac:dyDescent="0.3">
      <c r="A158" s="207" t="str">
        <f>COMPOSIÇÃO!A124</f>
        <v>7.10</v>
      </c>
      <c r="B158" s="34" t="s">
        <v>198</v>
      </c>
      <c r="C158" s="40">
        <v>81400</v>
      </c>
      <c r="D158" s="20" t="s">
        <v>78</v>
      </c>
      <c r="E158" s="36"/>
      <c r="F158" s="35"/>
      <c r="G158" s="68"/>
    </row>
    <row r="159" spans="1:7" x14ac:dyDescent="0.3">
      <c r="A159" s="207" t="str">
        <f>COMPOSIÇÃO!A125</f>
        <v>7.10.1</v>
      </c>
      <c r="B159" s="34" t="s">
        <v>198</v>
      </c>
      <c r="C159" s="40">
        <v>81402</v>
      </c>
      <c r="D159" s="37" t="s">
        <v>79</v>
      </c>
      <c r="E159" s="36" t="s">
        <v>20</v>
      </c>
      <c r="F159" s="35">
        <v>3</v>
      </c>
      <c r="G159" s="68"/>
    </row>
    <row r="160" spans="1:7" s="123" customFormat="1" x14ac:dyDescent="0.3">
      <c r="A160" s="207" t="str">
        <f>COMPOSIÇÃO!A126</f>
        <v>7.10.2</v>
      </c>
      <c r="B160" s="207" t="str">
        <f>COMPOSIÇÃO!B126</f>
        <v>AGETOP</v>
      </c>
      <c r="C160" s="207">
        <f>COMPOSIÇÃO!C126</f>
        <v>81403</v>
      </c>
      <c r="D160" s="207" t="str">
        <f>COMPOSIÇÃO!D126</f>
        <v>TE 90 GRAUS SOLDAVEL DIAMETRO 32 mm</v>
      </c>
      <c r="E160" s="134" t="str">
        <f>COMPOSIÇÃO!E126</f>
        <v>und</v>
      </c>
      <c r="F160" s="204">
        <v>1</v>
      </c>
      <c r="G160" s="130"/>
    </row>
    <row r="161" spans="1:7" s="123" customFormat="1" x14ac:dyDescent="0.3">
      <c r="A161" s="207" t="str">
        <f>COMPOSIÇÃO!A127</f>
        <v>7.10.3</v>
      </c>
      <c r="B161" s="207" t="str">
        <f>COMPOSIÇÃO!B127</f>
        <v>AGETOP</v>
      </c>
      <c r="C161" s="207">
        <f>COMPOSIÇÃO!C127</f>
        <v>81404</v>
      </c>
      <c r="D161" s="207" t="str">
        <f>COMPOSIÇÃO!D127</f>
        <v>TE 90 GRAUS SOLDAVEL DIAMETRO 40 mm</v>
      </c>
      <c r="E161" s="134" t="str">
        <f>COMPOSIÇÃO!E127</f>
        <v>und</v>
      </c>
      <c r="F161" s="204">
        <v>1</v>
      </c>
      <c r="G161" s="130"/>
    </row>
    <row r="162" spans="1:7" s="123" customFormat="1" x14ac:dyDescent="0.3">
      <c r="A162" s="207"/>
      <c r="B162" s="207"/>
      <c r="C162" s="207"/>
      <c r="D162" s="31" t="str">
        <f>COMPOSIÇÃO!D128</f>
        <v>U N I Ã O</v>
      </c>
      <c r="E162" s="134"/>
      <c r="F162" s="204"/>
      <c r="G162" s="130"/>
    </row>
    <row r="163" spans="1:7" s="123" customFormat="1" x14ac:dyDescent="0.3">
      <c r="A163" s="207" t="str">
        <f>COMPOSIÇÃO!A128</f>
        <v>7.11</v>
      </c>
      <c r="B163" s="207" t="str">
        <f>COMPOSIÇÃO!B128</f>
        <v>AGETOP</v>
      </c>
      <c r="C163" s="207">
        <f>COMPOSIÇÃO!C128</f>
        <v>81460</v>
      </c>
      <c r="D163" s="207" t="str">
        <f>COMPOSIÇÃO!D129</f>
        <v>UNIAO SOLDAVEL DIAMETRO 20 mm</v>
      </c>
      <c r="E163" s="134" t="s">
        <v>456</v>
      </c>
      <c r="F163" s="204">
        <v>1</v>
      </c>
      <c r="G163" s="130"/>
    </row>
    <row r="164" spans="1:7" x14ac:dyDescent="0.3">
      <c r="A164" s="33" t="s">
        <v>334</v>
      </c>
      <c r="B164" s="34" t="s">
        <v>198</v>
      </c>
      <c r="C164" s="40">
        <v>81600</v>
      </c>
      <c r="D164" s="20" t="s">
        <v>80</v>
      </c>
      <c r="E164" s="36"/>
      <c r="F164" s="35"/>
      <c r="G164" s="68"/>
    </row>
    <row r="165" spans="1:7" x14ac:dyDescent="0.3">
      <c r="A165" s="33" t="str">
        <f>COMPOSIÇÃO!A131</f>
        <v>7.12</v>
      </c>
      <c r="B165" s="34" t="s">
        <v>198</v>
      </c>
      <c r="C165" s="40">
        <v>81660</v>
      </c>
      <c r="D165" s="20" t="s">
        <v>81</v>
      </c>
      <c r="E165" s="36"/>
      <c r="F165" s="35"/>
      <c r="G165" s="68"/>
    </row>
    <row r="166" spans="1:7" x14ac:dyDescent="0.3">
      <c r="A166" s="91" t="str">
        <f>COMPOSIÇÃO!A132</f>
        <v>7.12.1</v>
      </c>
      <c r="B166" s="34" t="s">
        <v>198</v>
      </c>
      <c r="C166" s="40">
        <v>81661</v>
      </c>
      <c r="D166" s="37" t="s">
        <v>82</v>
      </c>
      <c r="E166" s="36" t="s">
        <v>20</v>
      </c>
      <c r="F166" s="35">
        <v>2</v>
      </c>
      <c r="G166" s="68"/>
    </row>
    <row r="167" spans="1:7" x14ac:dyDescent="0.3">
      <c r="A167" s="91" t="str">
        <f>COMPOSIÇÃO!A133</f>
        <v>7.13</v>
      </c>
      <c r="B167" s="34" t="s">
        <v>198</v>
      </c>
      <c r="C167" s="40">
        <v>81750</v>
      </c>
      <c r="D167" s="20" t="s">
        <v>83</v>
      </c>
      <c r="E167" s="36"/>
      <c r="F167" s="35"/>
      <c r="G167" s="68"/>
    </row>
    <row r="168" spans="1:7" x14ac:dyDescent="0.3">
      <c r="A168" s="91" t="str">
        <f>COMPOSIÇÃO!A134</f>
        <v>7.13.1</v>
      </c>
      <c r="B168" s="34" t="s">
        <v>198</v>
      </c>
      <c r="C168" s="40">
        <v>81770</v>
      </c>
      <c r="D168" s="37" t="s">
        <v>84</v>
      </c>
      <c r="E168" s="36" t="s">
        <v>20</v>
      </c>
      <c r="F168" s="35">
        <v>2</v>
      </c>
      <c r="G168" s="68"/>
    </row>
    <row r="169" spans="1:7" x14ac:dyDescent="0.3">
      <c r="A169" s="91" t="str">
        <f>COMPOSIÇÃO!A135</f>
        <v>7.14</v>
      </c>
      <c r="B169" s="34" t="s">
        <v>198</v>
      </c>
      <c r="C169" s="40">
        <v>81810</v>
      </c>
      <c r="D169" s="20" t="s">
        <v>85</v>
      </c>
      <c r="E169" s="36"/>
      <c r="F169" s="35"/>
      <c r="G169" s="68"/>
    </row>
    <row r="170" spans="1:7" s="123" customFormat="1" x14ac:dyDescent="0.3">
      <c r="A170" s="207" t="str">
        <f>COMPOSIÇÃO!A136</f>
        <v>7.14.1</v>
      </c>
      <c r="B170" s="207" t="str">
        <f>COMPOSIÇÃO!B136</f>
        <v>AGETOP</v>
      </c>
      <c r="C170" s="207">
        <f>COMPOSIÇÃO!C136</f>
        <v>81860</v>
      </c>
      <c r="D170" s="207" t="str">
        <f>COMPOSIÇÃO!D136</f>
        <v>CAIXA DAGUA POLIETILENO 500 LTS.C/TAMPA</v>
      </c>
      <c r="E170" s="134" t="str">
        <f>COMPOSIÇÃO!E136</f>
        <v>und</v>
      </c>
      <c r="F170" s="204">
        <v>1</v>
      </c>
      <c r="G170" s="130"/>
    </row>
    <row r="171" spans="1:7" x14ac:dyDescent="0.3">
      <c r="A171" s="91" t="str">
        <f>COMPOSIÇÃO!A137</f>
        <v>7.14.2</v>
      </c>
      <c r="B171" s="34" t="s">
        <v>198</v>
      </c>
      <c r="C171" s="40">
        <v>81815</v>
      </c>
      <c r="D171" s="37" t="s">
        <v>86</v>
      </c>
      <c r="E171" s="36" t="s">
        <v>20</v>
      </c>
      <c r="F171" s="35">
        <v>1</v>
      </c>
      <c r="G171" s="68"/>
    </row>
    <row r="172" spans="1:7" ht="27.6" x14ac:dyDescent="0.3">
      <c r="A172" s="91" t="str">
        <f>COMPOSIÇÃO!A138</f>
        <v>7.14.3</v>
      </c>
      <c r="B172" s="34" t="s">
        <v>198</v>
      </c>
      <c r="C172" s="40">
        <v>81846</v>
      </c>
      <c r="D172" s="37" t="s">
        <v>87</v>
      </c>
      <c r="E172" s="36" t="s">
        <v>62</v>
      </c>
      <c r="F172" s="35">
        <v>1</v>
      </c>
      <c r="G172" s="68"/>
    </row>
    <row r="173" spans="1:7" x14ac:dyDescent="0.3">
      <c r="A173" s="91" t="str">
        <f>COMPOSIÇÃO!A139</f>
        <v>7.14.4</v>
      </c>
      <c r="B173" s="34" t="s">
        <v>198</v>
      </c>
      <c r="C173" s="40">
        <v>81885</v>
      </c>
      <c r="D173" s="37" t="s">
        <v>88</v>
      </c>
      <c r="E173" s="36" t="s">
        <v>20</v>
      </c>
      <c r="F173" s="35">
        <v>1</v>
      </c>
      <c r="G173" s="68"/>
    </row>
    <row r="174" spans="1:7" x14ac:dyDescent="0.3">
      <c r="A174" s="260" t="str">
        <f>COMPOSIÇÃO!A140</f>
        <v>7.14.5</v>
      </c>
      <c r="B174" s="34" t="s">
        <v>198</v>
      </c>
      <c r="C174" s="38">
        <v>81860</v>
      </c>
      <c r="D174" s="37" t="s">
        <v>89</v>
      </c>
      <c r="E174" s="298" t="s">
        <v>20</v>
      </c>
      <c r="F174" s="35">
        <v>1</v>
      </c>
      <c r="G174" s="68"/>
    </row>
    <row r="175" spans="1:7" x14ac:dyDescent="0.3">
      <c r="A175" s="91" t="str">
        <f>COMPOSIÇÃO!A140</f>
        <v>7.14.5</v>
      </c>
      <c r="B175" s="34" t="s">
        <v>198</v>
      </c>
      <c r="C175" s="40">
        <v>81888</v>
      </c>
      <c r="D175" s="37" t="s">
        <v>90</v>
      </c>
      <c r="E175" s="298" t="s">
        <v>20</v>
      </c>
      <c r="F175" s="35">
        <v>1</v>
      </c>
      <c r="G175" s="68"/>
    </row>
    <row r="176" spans="1:7" s="123" customFormat="1" x14ac:dyDescent="0.3">
      <c r="A176" s="260" t="str">
        <f>COMPOSIÇÃO!A141</f>
        <v>7.14.6</v>
      </c>
      <c r="B176" s="260" t="str">
        <f>COMPOSIÇÃO!B141</f>
        <v>AGETOP</v>
      </c>
      <c r="C176" s="260">
        <f>COMPOSIÇÃO!C141</f>
        <v>81829</v>
      </c>
      <c r="D176" s="260" t="str">
        <f>COMPOSIÇÃO!D141</f>
        <v>CAIXA DE INSPEÇÃO - TAMPA EM CONCRETO ARMADO 25 MPA E=5CM</v>
      </c>
      <c r="E176" s="134" t="str">
        <f>COMPOSIÇÃO!E141</f>
        <v>m2</v>
      </c>
      <c r="F176" s="258">
        <f>0.6*0.6</f>
        <v>0.36</v>
      </c>
      <c r="G176" s="130" t="s">
        <v>615</v>
      </c>
    </row>
    <row r="177" spans="1:7" s="123" customFormat="1" ht="27.6" customHeight="1" x14ac:dyDescent="0.3">
      <c r="A177" s="260" t="str">
        <f>COMPOSIÇÃO!A142</f>
        <v>7.14.7</v>
      </c>
      <c r="B177" s="260" t="str">
        <f>COMPOSIÇÃO!B142</f>
        <v>AGETOP</v>
      </c>
      <c r="C177" s="260">
        <f>COMPOSIÇÃO!C142</f>
        <v>81830</v>
      </c>
      <c r="D177" s="265" t="str">
        <f>COMPOSIÇÃO!D142</f>
        <v>CAIXA DE INSPEÇÃO - LASTRO DE CONCRETO (COM ADIÇÃO DE IMPERMEABILIZANTE) 20 MPA E=5CM PARA O FUNDO</v>
      </c>
      <c r="E177" s="134" t="s">
        <v>8</v>
      </c>
      <c r="F177" s="258">
        <f>0.6*0.6*0.05</f>
        <v>1.7999999999999999E-2</v>
      </c>
      <c r="G177" s="266" t="s">
        <v>617</v>
      </c>
    </row>
    <row r="178" spans="1:7" s="123" customFormat="1" ht="27.6" customHeight="1" x14ac:dyDescent="0.3">
      <c r="A178" s="260" t="str">
        <f>COMPOSIÇÃO!A143</f>
        <v>7.14.8</v>
      </c>
      <c r="B178" s="260" t="str">
        <f>COMPOSIÇÃO!B143</f>
        <v>AGETOP</v>
      </c>
      <c r="C178" s="260">
        <f>COMPOSIÇÃO!C143</f>
        <v>81831</v>
      </c>
      <c r="D178" s="265" t="str">
        <f>COMPOSIÇÃO!D143</f>
        <v>CAIXA DE INSPEÇÃO - ALVENARIA DE 1/2 VEZ COM REVESTIMENTO INTERNO EM REBOCO PAULISTA A-14 (COM ADIÇÃO DE IMPERMEABILIZANTE)</v>
      </c>
      <c r="E178" s="134" t="str">
        <f>COMPOSIÇÃO!E143</f>
        <v>m2</v>
      </c>
      <c r="F178" s="258">
        <f>0.6*0.5*4</f>
        <v>1.2</v>
      </c>
      <c r="G178" s="266" t="s">
        <v>620</v>
      </c>
    </row>
    <row r="179" spans="1:7" s="123" customFormat="1" x14ac:dyDescent="0.3">
      <c r="A179" s="260" t="str">
        <f>COMPOSIÇÃO!A144</f>
        <v>7.14.9</v>
      </c>
      <c r="B179" s="260" t="str">
        <f>COMPOSIÇÃO!B144</f>
        <v>AGETOP</v>
      </c>
      <c r="C179" s="260">
        <f>COMPOSIÇÃO!C144</f>
        <v>81833</v>
      </c>
      <c r="D179" s="260" t="str">
        <f>COMPOSIÇÃO!D144</f>
        <v>CAIXA DE INSPEÇÃO - ESCAVAÇÃO MANUAL / REATERRO/ APILOAMENTO DO FUNDO</v>
      </c>
      <c r="E179" s="134" t="str">
        <f>COMPOSIÇÃO!E144</f>
        <v>m3</v>
      </c>
      <c r="F179" s="258">
        <f>0.6*0.6*0.5</f>
        <v>0.18</v>
      </c>
      <c r="G179" s="266" t="s">
        <v>623</v>
      </c>
    </row>
    <row r="180" spans="1:7" s="123" customFormat="1" x14ac:dyDescent="0.3">
      <c r="A180" s="296" t="str">
        <f>COMPOSIÇÃO!A145</f>
        <v>7.14.10</v>
      </c>
      <c r="B180" s="296" t="str">
        <f>COMPOSIÇÃO!B145</f>
        <v>AGETOP</v>
      </c>
      <c r="C180" s="296">
        <f>COMPOSIÇÃO!C145</f>
        <v>81865</v>
      </c>
      <c r="D180" s="296" t="str">
        <f>COMPOSIÇÃO!D145</f>
        <v>FOSSA SEPTICA 1500 LITROS COM IMPERMEABILIZAÇÃO</v>
      </c>
      <c r="E180" s="134" t="str">
        <f>COMPOSIÇÃO!E145</f>
        <v>und</v>
      </c>
      <c r="F180" s="297">
        <v>1</v>
      </c>
      <c r="G180" s="266"/>
    </row>
    <row r="181" spans="1:7" s="123" customFormat="1" x14ac:dyDescent="0.3">
      <c r="A181" s="296" t="str">
        <f>COMPOSIÇÃO!A146</f>
        <v>7.14.11</v>
      </c>
      <c r="B181" s="296" t="str">
        <f>COMPOSIÇÃO!B146</f>
        <v>COMPOSIÇÃO</v>
      </c>
      <c r="C181" s="296" t="str">
        <f>COMPOSIÇÃO!C146</f>
        <v>-</v>
      </c>
      <c r="D181" s="296" t="str">
        <f>COMPOSIÇÃO!D146</f>
        <v>SUMIDOURO COM DIÂMETRO=0,60M E PROFUNDIDADE=4,00 M</v>
      </c>
      <c r="E181" s="134" t="str">
        <f>COMPOSIÇÃO!E146</f>
        <v>und</v>
      </c>
      <c r="F181" s="297">
        <v>1</v>
      </c>
      <c r="G181" s="266"/>
    </row>
    <row r="182" spans="1:7" s="123" customFormat="1" x14ac:dyDescent="0.3">
      <c r="A182" s="321" t="str">
        <f>COMPOSIÇÃO!A147</f>
        <v>7.14.12</v>
      </c>
      <c r="B182" s="321" t="str">
        <f>COMPOSIÇÃO!B147</f>
        <v>AGETOP</v>
      </c>
      <c r="C182" s="321">
        <f>COMPOSIÇÃO!C147</f>
        <v>81841</v>
      </c>
      <c r="D182" s="321" t="str">
        <f>COMPOSIÇÃO!D147</f>
        <v>TAMPÃO DE FERRO FUNDIDO PARA POÇO DE VISITA T-60 SIMPLES PARA TRÁFEGO LEVE</v>
      </c>
      <c r="E182" s="134" t="str">
        <f>COMPOSIÇÃO!E147</f>
        <v>und</v>
      </c>
      <c r="F182" s="320">
        <v>1</v>
      </c>
      <c r="G182" s="266" t="s">
        <v>734</v>
      </c>
    </row>
    <row r="183" spans="1:7" x14ac:dyDescent="0.3">
      <c r="A183" s="91" t="str">
        <f>COMPOSIÇÃO!A148</f>
        <v>7.15</v>
      </c>
      <c r="B183" s="34" t="s">
        <v>198</v>
      </c>
      <c r="C183" s="40">
        <v>82300</v>
      </c>
      <c r="D183" s="20" t="s">
        <v>91</v>
      </c>
      <c r="E183" s="298"/>
      <c r="F183" s="35"/>
      <c r="G183" s="68"/>
    </row>
    <row r="184" spans="1:7" x14ac:dyDescent="0.3">
      <c r="A184" s="91" t="str">
        <f>COMPOSIÇÃO!A149</f>
        <v>7.15.1</v>
      </c>
      <c r="B184" s="34" t="s">
        <v>198</v>
      </c>
      <c r="C184" s="40">
        <v>82301</v>
      </c>
      <c r="D184" s="37" t="s">
        <v>92</v>
      </c>
      <c r="E184" s="298" t="s">
        <v>11</v>
      </c>
      <c r="F184" s="35">
        <v>3</v>
      </c>
      <c r="G184" s="68"/>
    </row>
    <row r="185" spans="1:7" x14ac:dyDescent="0.3">
      <c r="A185" s="91" t="str">
        <f>COMPOSIÇÃO!A150</f>
        <v>7.15.2</v>
      </c>
      <c r="B185" s="34" t="s">
        <v>198</v>
      </c>
      <c r="C185" s="40">
        <v>82302</v>
      </c>
      <c r="D185" s="37" t="s">
        <v>93</v>
      </c>
      <c r="E185" s="298" t="s">
        <v>11</v>
      </c>
      <c r="F185" s="35">
        <v>12</v>
      </c>
      <c r="G185" s="68"/>
    </row>
    <row r="186" spans="1:7" x14ac:dyDescent="0.3">
      <c r="A186" s="91" t="str">
        <f>COMPOSIÇÃO!A151</f>
        <v>7.15.3</v>
      </c>
      <c r="B186" s="34" t="s">
        <v>198</v>
      </c>
      <c r="C186" s="40">
        <v>82303</v>
      </c>
      <c r="D186" s="37" t="s">
        <v>94</v>
      </c>
      <c r="E186" s="298" t="s">
        <v>11</v>
      </c>
      <c r="F186" s="35">
        <v>1</v>
      </c>
      <c r="G186" s="68"/>
    </row>
    <row r="187" spans="1:7" x14ac:dyDescent="0.3">
      <c r="A187" s="91" t="str">
        <f>COMPOSIÇÃO!A152</f>
        <v>7.15.4</v>
      </c>
      <c r="B187" s="34" t="s">
        <v>198</v>
      </c>
      <c r="C187" s="40">
        <v>82304</v>
      </c>
      <c r="D187" s="37" t="s">
        <v>95</v>
      </c>
      <c r="E187" s="36" t="s">
        <v>11</v>
      </c>
      <c r="F187" s="35">
        <v>14</v>
      </c>
      <c r="G187" s="69"/>
    </row>
    <row r="188" spans="1:7" s="123" customFormat="1" x14ac:dyDescent="0.3">
      <c r="A188" s="260"/>
      <c r="B188" s="34"/>
      <c r="C188" s="93"/>
      <c r="D188" s="20" t="s">
        <v>75</v>
      </c>
      <c r="E188" s="100"/>
      <c r="F188" s="101"/>
      <c r="G188" s="94"/>
    </row>
    <row r="189" spans="1:7" s="123" customFormat="1" x14ac:dyDescent="0.3">
      <c r="A189" s="260" t="str">
        <f>COMPOSIÇÃO!A154</f>
        <v>7.16.1</v>
      </c>
      <c r="B189" s="260" t="str">
        <f>COMPOSIÇÃO!B154</f>
        <v>AGETOP</v>
      </c>
      <c r="C189" s="187">
        <f>COMPOSIÇÃO!C154</f>
        <v>81936</v>
      </c>
      <c r="D189" s="260" t="str">
        <f>COMPOSIÇÃO!D154</f>
        <v>JOELHO 90 GRAUS DIAMETRO 50 MM</v>
      </c>
      <c r="E189" s="134" t="str">
        <f>COMPOSIÇÃO!E154</f>
        <v>und</v>
      </c>
      <c r="F189" s="258">
        <v>6</v>
      </c>
      <c r="G189" s="99"/>
    </row>
    <row r="190" spans="1:7" s="123" customFormat="1" x14ac:dyDescent="0.3">
      <c r="A190" s="260" t="str">
        <f>COMPOSIÇÃO!A155</f>
        <v>7.16.2</v>
      </c>
      <c r="B190" s="260" t="str">
        <f>COMPOSIÇÃO!B155</f>
        <v>AGETOP</v>
      </c>
      <c r="C190" s="187">
        <f>COMPOSIÇÃO!C155</f>
        <v>81927</v>
      </c>
      <c r="D190" s="260" t="str">
        <f>COMPOSIÇÃO!D155</f>
        <v>JOELHO 90 GRAUS C/ANEL 40 mm</v>
      </c>
      <c r="E190" s="134" t="str">
        <f>COMPOSIÇÃO!E155</f>
        <v>und</v>
      </c>
      <c r="F190" s="258">
        <v>2</v>
      </c>
      <c r="G190" s="99"/>
    </row>
    <row r="191" spans="1:7" s="95" customFormat="1" x14ac:dyDescent="0.3">
      <c r="A191" s="91" t="str">
        <f>COMPOSIÇÃO!A156</f>
        <v>7.17</v>
      </c>
      <c r="B191" s="34" t="s">
        <v>198</v>
      </c>
      <c r="C191" s="93">
        <f>COMPOSIÇÃO!C156</f>
        <v>81960</v>
      </c>
      <c r="D191" s="20" t="str">
        <f>COMPOSIÇÃO!D156</f>
        <v>J U N C O E S</v>
      </c>
      <c r="E191" s="298"/>
      <c r="F191" s="258"/>
      <c r="G191" s="99"/>
    </row>
    <row r="192" spans="1:7" s="95" customFormat="1" x14ac:dyDescent="0.3">
      <c r="A192" s="91" t="str">
        <f>COMPOSIÇÃO!A157</f>
        <v>7.17.1</v>
      </c>
      <c r="B192" s="34" t="s">
        <v>198</v>
      </c>
      <c r="C192" s="93">
        <f>COMPOSIÇÃO!C157</f>
        <v>81974</v>
      </c>
      <c r="D192" s="259" t="str">
        <f>COMPOSIÇÃO!D157</f>
        <v xml:space="preserve">JUNCAO SIMPLES DIAMETRO 100 X 75 MM </v>
      </c>
      <c r="E192" s="298" t="str">
        <f>COMPOSIÇÃO!E157</f>
        <v>und</v>
      </c>
      <c r="F192" s="258">
        <v>1</v>
      </c>
      <c r="G192" s="99"/>
    </row>
    <row r="193" spans="1:7" s="95" customFormat="1" x14ac:dyDescent="0.3">
      <c r="A193" s="91" t="str">
        <f>COMPOSIÇÃO!A158</f>
        <v>7.17.2</v>
      </c>
      <c r="B193" s="34" t="s">
        <v>198</v>
      </c>
      <c r="C193" s="93">
        <f>COMPOSIÇÃO!C158</f>
        <v>81973</v>
      </c>
      <c r="D193" s="259" t="str">
        <f>COMPOSIÇÃO!D158</f>
        <v xml:space="preserve">JUNCAO SIMPLES DIAM. 100 X 50 MM </v>
      </c>
      <c r="E193" s="298" t="str">
        <f>COMPOSIÇÃO!E158</f>
        <v>und</v>
      </c>
      <c r="F193" s="258">
        <v>3</v>
      </c>
      <c r="G193" s="99"/>
    </row>
    <row r="194" spans="1:7" s="123" customFormat="1" x14ac:dyDescent="0.3">
      <c r="A194" s="187"/>
      <c r="B194" s="264"/>
      <c r="C194" s="93"/>
      <c r="D194" s="20" t="s">
        <v>587</v>
      </c>
      <c r="E194" s="298"/>
      <c r="F194" s="258"/>
      <c r="G194" s="99"/>
    </row>
    <row r="195" spans="1:7" s="123" customFormat="1" x14ac:dyDescent="0.3">
      <c r="A195" s="187" t="str">
        <f>COMPOSIÇÃO!A160</f>
        <v>7.18.1</v>
      </c>
      <c r="B195" s="187" t="str">
        <f>COMPOSIÇÃO!B160</f>
        <v>AGETOP</v>
      </c>
      <c r="C195" s="187">
        <f>COMPOSIÇÃO!C160</f>
        <v>82230</v>
      </c>
      <c r="D195" s="260" t="str">
        <f>COMPOSIÇÃO!D160</f>
        <v>TE SANITARIO DIAMETRO 50 X 50 MM</v>
      </c>
      <c r="E195" s="134" t="str">
        <f>COMPOSIÇÃO!E160</f>
        <v>und</v>
      </c>
      <c r="F195" s="258">
        <v>1</v>
      </c>
      <c r="G195" s="99"/>
    </row>
    <row r="196" spans="1:7" s="123" customFormat="1" x14ac:dyDescent="0.3">
      <c r="A196" s="187"/>
      <c r="B196" s="261"/>
      <c r="C196" s="261"/>
      <c r="D196" s="31" t="s">
        <v>591</v>
      </c>
      <c r="E196" s="260"/>
      <c r="F196" s="258"/>
      <c r="G196" s="99"/>
    </row>
    <row r="197" spans="1:7" s="123" customFormat="1" x14ac:dyDescent="0.3">
      <c r="A197" s="187" t="str">
        <f>COMPOSIÇÃO!A162</f>
        <v>7.19.1</v>
      </c>
      <c r="B197" s="187" t="str">
        <f>COMPOSIÇÃO!B162</f>
        <v>AGETOP</v>
      </c>
      <c r="C197" s="187" t="str">
        <f>COMPOSIÇÃO!C162</f>
        <v>H634</v>
      </c>
      <c r="D197" s="260" t="str">
        <f>COMPOSIÇÃO!D162</f>
        <v>CURVA 45º DIAMETRO 50 MM</v>
      </c>
      <c r="E197" s="260" t="str">
        <f>COMPOSIÇÃO!E162</f>
        <v>und</v>
      </c>
      <c r="F197" s="258">
        <v>1</v>
      </c>
      <c r="G197" s="99"/>
    </row>
    <row r="198" spans="1:7" s="123" customFormat="1" x14ac:dyDescent="0.3">
      <c r="A198" s="187" t="str">
        <f>COMPOSIÇÃO!A163</f>
        <v>7.19.2</v>
      </c>
      <c r="B198" s="187" t="str">
        <f>COMPOSIÇÃO!B163</f>
        <v>AGETOP</v>
      </c>
      <c r="C198" s="187" t="str">
        <f>COMPOSIÇÃO!C163</f>
        <v>H350</v>
      </c>
      <c r="D198" s="260" t="str">
        <f>COMPOSIÇÃO!D163</f>
        <v>CURVA 45 GRAUS DIAMETRO 40 mm (ESGOTO)</v>
      </c>
      <c r="E198" s="260" t="str">
        <f>COMPOSIÇÃO!E163</f>
        <v>und</v>
      </c>
      <c r="F198" s="258">
        <v>3</v>
      </c>
      <c r="G198" s="99"/>
    </row>
    <row r="199" spans="1:7" s="123" customFormat="1" x14ac:dyDescent="0.3">
      <c r="A199" s="187" t="str">
        <f>COMPOSIÇÃO!A164</f>
        <v>7.19.3</v>
      </c>
      <c r="B199" s="187" t="str">
        <f>COMPOSIÇÃO!B164</f>
        <v>AGETOP</v>
      </c>
      <c r="C199" s="187" t="str">
        <f>COMPOSIÇÃO!C164</f>
        <v>H635</v>
      </c>
      <c r="D199" s="260" t="str">
        <f>COMPOSIÇÃO!D164</f>
        <v>CURVA 45 GRAUS SOLDAVEL DIAMETRO 75 MM</v>
      </c>
      <c r="E199" s="260" t="str">
        <f>COMPOSIÇÃO!E164</f>
        <v>und</v>
      </c>
      <c r="F199" s="258">
        <v>1</v>
      </c>
      <c r="G199" s="99"/>
    </row>
    <row r="200" spans="1:7" s="123" customFormat="1" x14ac:dyDescent="0.3">
      <c r="A200" s="187" t="str">
        <f>COMPOSIÇÃO!A165</f>
        <v>7.19.4</v>
      </c>
      <c r="B200" s="187" t="str">
        <f>COMPOSIÇÃO!B165</f>
        <v>AGETOP</v>
      </c>
      <c r="C200" s="187">
        <f>COMPOSIÇÃO!C165</f>
        <v>81733</v>
      </c>
      <c r="D200" s="260" t="str">
        <f>COMPOSIÇÃO!D165</f>
        <v>CURVA 90 GRAUS CURTA DIAM. 100 MM</v>
      </c>
      <c r="E200" s="260" t="str">
        <f>COMPOSIÇÃO!E165</f>
        <v>und</v>
      </c>
      <c r="F200" s="258">
        <v>1</v>
      </c>
      <c r="G200" s="99"/>
    </row>
    <row r="201" spans="1:7" s="123" customFormat="1" x14ac:dyDescent="0.3">
      <c r="A201" s="187" t="str">
        <f>COMPOSIÇÃO!A166</f>
        <v>7.19.5</v>
      </c>
      <c r="B201" s="187" t="str">
        <f>COMPOSIÇÃO!B166</f>
        <v>AGETOP</v>
      </c>
      <c r="C201" s="187">
        <f>COMPOSIÇÃO!C166</f>
        <v>81730</v>
      </c>
      <c r="D201" s="260" t="str">
        <f>COMPOSIÇÃO!D166</f>
        <v>CURVA 90 GRAUS CURTA DIAM. 40 MM</v>
      </c>
      <c r="E201" s="260" t="str">
        <f>COMPOSIÇÃO!E166</f>
        <v>und</v>
      </c>
      <c r="F201" s="258">
        <v>2</v>
      </c>
      <c r="G201" s="99"/>
    </row>
    <row r="202" spans="1:7" s="123" customFormat="1" x14ac:dyDescent="0.3">
      <c r="A202" s="187"/>
      <c r="B202" s="261"/>
      <c r="C202" s="261"/>
      <c r="D202" s="31" t="s">
        <v>606</v>
      </c>
      <c r="E202" s="260"/>
      <c r="F202" s="258"/>
      <c r="G202" s="99"/>
    </row>
    <row r="203" spans="1:7" s="123" customFormat="1" x14ac:dyDescent="0.3">
      <c r="A203" s="187" t="str">
        <f>COMPOSIÇÃO!A168</f>
        <v>7.20.1</v>
      </c>
      <c r="B203" s="187" t="str">
        <f>COMPOSIÇÃO!B168</f>
        <v>AGETOP</v>
      </c>
      <c r="C203" s="187">
        <f>COMPOSIÇÃO!C168</f>
        <v>82002</v>
      </c>
      <c r="D203" s="260" t="str">
        <f>COMPOSIÇÃO!D168</f>
        <v>LUVA SIMPLES DIAMETRO 50 MM</v>
      </c>
      <c r="E203" s="260" t="str">
        <f>COMPOSIÇÃO!E168</f>
        <v>und</v>
      </c>
      <c r="F203" s="258">
        <v>1</v>
      </c>
      <c r="G203" s="99"/>
    </row>
    <row r="204" spans="1:7" s="123" customFormat="1" x14ac:dyDescent="0.3">
      <c r="A204" s="187" t="str">
        <f>COMPOSIÇÃO!A169</f>
        <v>7.20.2</v>
      </c>
      <c r="B204" s="187" t="str">
        <f>COMPOSIÇÃO!B169</f>
        <v>AGETOP</v>
      </c>
      <c r="C204" s="187">
        <f>COMPOSIÇÃO!C169</f>
        <v>82004</v>
      </c>
      <c r="D204" s="260" t="str">
        <f>COMPOSIÇÃO!D169</f>
        <v>LUVA SIMPLES DIAM. 100 MM</v>
      </c>
      <c r="E204" s="260" t="str">
        <f>COMPOSIÇÃO!E169</f>
        <v>und</v>
      </c>
      <c r="F204" s="258">
        <v>1</v>
      </c>
      <c r="G204" s="99"/>
    </row>
    <row r="205" spans="1:7" s="123" customFormat="1" x14ac:dyDescent="0.3">
      <c r="A205" s="187" t="str">
        <f>COMPOSIÇÃO!A170</f>
        <v>7.20.3</v>
      </c>
      <c r="B205" s="187" t="str">
        <f>COMPOSIÇÃO!B170</f>
        <v>AGETOP</v>
      </c>
      <c r="C205" s="187">
        <f>COMPOSIÇÃO!C170</f>
        <v>81104</v>
      </c>
      <c r="D205" s="260" t="str">
        <f>COMPOSIÇÃO!D170</f>
        <v>LUVA SOLDAVEL DIAMETRO 40 mm</v>
      </c>
      <c r="E205" s="260" t="str">
        <f>COMPOSIÇÃO!E170</f>
        <v>und</v>
      </c>
      <c r="F205" s="258">
        <v>2</v>
      </c>
      <c r="G205" s="99"/>
    </row>
    <row r="206" spans="1:7" s="123" customFormat="1" x14ac:dyDescent="0.3">
      <c r="A206" s="187" t="str">
        <f>COMPOSIÇÃO!A171</f>
        <v>7.20.4</v>
      </c>
      <c r="B206" s="187" t="str">
        <f>COMPOSIÇÃO!B171</f>
        <v>AGETOP</v>
      </c>
      <c r="C206" s="187">
        <f>COMPOSIÇÃO!C171</f>
        <v>81122</v>
      </c>
      <c r="D206" s="260" t="str">
        <f>COMPOSIÇÃO!D171</f>
        <v>LUVA DE REDUCAO SOLDAVEL DIAMETRO 32 X 25 mm</v>
      </c>
      <c r="E206" s="260" t="str">
        <f>COMPOSIÇÃO!E171</f>
        <v>und</v>
      </c>
      <c r="F206" s="258">
        <v>1</v>
      </c>
      <c r="G206" s="99"/>
    </row>
    <row r="207" spans="1:7" s="123" customFormat="1" x14ac:dyDescent="0.3">
      <c r="A207" s="187" t="str">
        <f>COMPOSIÇÃO!A172</f>
        <v>7.20.5</v>
      </c>
      <c r="B207" s="187" t="str">
        <f>COMPOSIÇÃO!B172</f>
        <v>AGETOP</v>
      </c>
      <c r="C207" s="187">
        <f>COMPOSIÇÃO!C172</f>
        <v>81102</v>
      </c>
      <c r="D207" s="260" t="str">
        <f>COMPOSIÇÃO!D172</f>
        <v>LUVA SOLDAVEL DIAMETRO 25 mm</v>
      </c>
      <c r="E207" s="260" t="str">
        <f>COMPOSIÇÃO!E172</f>
        <v>und</v>
      </c>
      <c r="F207" s="258">
        <v>2</v>
      </c>
      <c r="G207" s="99"/>
    </row>
    <row r="208" spans="1:7" s="123" customFormat="1" x14ac:dyDescent="0.3">
      <c r="A208" s="187" t="str">
        <f>COMPOSIÇÃO!A173</f>
        <v>7.20.6</v>
      </c>
      <c r="B208" s="187" t="str">
        <f>COMPOSIÇÃO!B173</f>
        <v>AGETOP</v>
      </c>
      <c r="C208" s="187">
        <f>COMPOSIÇÃO!C173</f>
        <v>81131</v>
      </c>
      <c r="D208" s="260" t="str">
        <f>COMPOSIÇÃO!D173</f>
        <v>LUVA SOLDAVEL C/ROSCA DIAMETRO 25 X 3/4"</v>
      </c>
      <c r="E208" s="260" t="str">
        <f>COMPOSIÇÃO!E173</f>
        <v>und</v>
      </c>
      <c r="F208" s="258">
        <v>1</v>
      </c>
      <c r="G208" s="99"/>
    </row>
    <row r="209" spans="1:10" x14ac:dyDescent="0.3">
      <c r="A209" s="339" t="s">
        <v>184</v>
      </c>
      <c r="B209" s="340"/>
      <c r="C209" s="340"/>
      <c r="D209" s="340"/>
      <c r="E209" s="340"/>
      <c r="F209" s="340"/>
      <c r="G209" s="341"/>
      <c r="I209" s="123"/>
      <c r="J209" s="123"/>
    </row>
    <row r="210" spans="1:10" x14ac:dyDescent="0.3">
      <c r="A210" s="57">
        <v>8</v>
      </c>
      <c r="B210" s="34"/>
      <c r="C210" s="20" t="s">
        <v>96</v>
      </c>
      <c r="D210" s="20" t="s">
        <v>97</v>
      </c>
      <c r="E210" s="36"/>
      <c r="F210" s="35"/>
      <c r="G210" s="70"/>
      <c r="I210" s="123"/>
      <c r="J210" s="123"/>
    </row>
    <row r="211" spans="1:10" ht="41.4" x14ac:dyDescent="0.3">
      <c r="A211" s="422" t="str">
        <f>COMPOSIÇÃO!A177</f>
        <v>8.1</v>
      </c>
      <c r="B211" s="422" t="str">
        <f>COMPOSIÇÃO!B177</f>
        <v>AGETOP</v>
      </c>
      <c r="C211" s="422">
        <f>COMPOSIÇÃO!C177</f>
        <v>100160</v>
      </c>
      <c r="D211" s="422" t="str">
        <f>COMPOSIÇÃO!D177</f>
        <v>ALVENARIA DE TIJOLO FURADO 1/2 VEZ 14X29X9 - 6 FUROS - ARG. (1CALH:4ARML+100KG
DE CI/M3)</v>
      </c>
      <c r="E211" s="439" t="str">
        <f>COMPOSIÇÃO!E177</f>
        <v>m2</v>
      </c>
      <c r="F211" s="413">
        <v>169.67</v>
      </c>
      <c r="G211" s="70" t="s">
        <v>547</v>
      </c>
      <c r="I211" s="123"/>
      <c r="J211" s="123"/>
    </row>
    <row r="212" spans="1:10" x14ac:dyDescent="0.3">
      <c r="A212" s="424"/>
      <c r="B212" s="424"/>
      <c r="C212" s="424"/>
      <c r="D212" s="424"/>
      <c r="E212" s="441"/>
      <c r="F212" s="415"/>
      <c r="G212" s="70" t="s">
        <v>494</v>
      </c>
      <c r="I212" s="123"/>
      <c r="J212" s="123"/>
    </row>
    <row r="213" spans="1:10" ht="15" customHeight="1" x14ac:dyDescent="0.3">
      <c r="A213" s="448" t="s">
        <v>185</v>
      </c>
      <c r="B213" s="449"/>
      <c r="C213" s="449"/>
      <c r="D213" s="449"/>
      <c r="E213" s="449"/>
      <c r="F213" s="449"/>
      <c r="G213" s="450"/>
      <c r="I213" s="123"/>
      <c r="J213" s="123"/>
    </row>
    <row r="214" spans="1:10" x14ac:dyDescent="0.3">
      <c r="A214" s="33">
        <v>9</v>
      </c>
      <c r="B214" s="34"/>
      <c r="C214" s="20">
        <v>120000</v>
      </c>
      <c r="D214" s="20" t="s">
        <v>98</v>
      </c>
      <c r="E214" s="36"/>
      <c r="F214" s="35"/>
      <c r="G214" s="71"/>
      <c r="I214" s="123"/>
      <c r="J214" s="123"/>
    </row>
    <row r="215" spans="1:10" x14ac:dyDescent="0.3">
      <c r="A215" s="33" t="s">
        <v>347</v>
      </c>
      <c r="B215" s="34" t="s">
        <v>198</v>
      </c>
      <c r="C215" s="37">
        <v>120902</v>
      </c>
      <c r="D215" s="37" t="s">
        <v>99</v>
      </c>
      <c r="E215" s="36" t="s">
        <v>2</v>
      </c>
      <c r="F215" s="35">
        <f>(2*0.15*49.52)+(0.09*49.52)</f>
        <v>19.312799999999999</v>
      </c>
      <c r="G215" s="71" t="s">
        <v>569</v>
      </c>
      <c r="I215" s="123"/>
      <c r="J215" s="123"/>
    </row>
    <row r="216" spans="1:10" s="123" customFormat="1" x14ac:dyDescent="0.3">
      <c r="A216" s="187" t="str">
        <f>COMPOSIÇÃO!A182</f>
        <v>9.2</v>
      </c>
      <c r="B216" s="187" t="str">
        <f>COMPOSIÇÃO!B182</f>
        <v>AGETOP</v>
      </c>
      <c r="C216" s="187">
        <f>COMPOSIÇÃO!C182</f>
        <v>121001</v>
      </c>
      <c r="D216" s="240" t="str">
        <f>COMPOSIÇÃO!D182</f>
        <v>IMPERMEABILIZAÇÃO-REBAIXO BANHEIRO COM 4 DEMÃOS DE EMULSÃO ASFÁLTICA</v>
      </c>
      <c r="E216" s="134" t="str">
        <f>COMPOSIÇÃO!E182</f>
        <v>m2</v>
      </c>
      <c r="F216" s="239">
        <f>1.72*1.8</f>
        <v>3.0960000000000001</v>
      </c>
      <c r="G216" s="71" t="s">
        <v>567</v>
      </c>
    </row>
    <row r="217" spans="1:10" ht="15" customHeight="1" x14ac:dyDescent="0.3">
      <c r="A217" s="448" t="s">
        <v>186</v>
      </c>
      <c r="B217" s="449"/>
      <c r="C217" s="449"/>
      <c r="D217" s="449"/>
      <c r="E217" s="449"/>
      <c r="F217" s="449"/>
      <c r="G217" s="450"/>
    </row>
    <row r="218" spans="1:10" x14ac:dyDescent="0.3">
      <c r="A218" s="33">
        <v>10</v>
      </c>
      <c r="B218" s="34"/>
      <c r="C218" s="12" t="s">
        <v>101</v>
      </c>
      <c r="D218" s="20" t="s">
        <v>100</v>
      </c>
      <c r="E218" s="36"/>
      <c r="F218" s="35"/>
      <c r="G218" s="70"/>
    </row>
    <row r="219" spans="1:10" ht="27.6" x14ac:dyDescent="0.3">
      <c r="A219" s="33" t="s">
        <v>348</v>
      </c>
      <c r="B219" s="34" t="s">
        <v>198</v>
      </c>
      <c r="C219" s="38" t="s">
        <v>102</v>
      </c>
      <c r="D219" s="37" t="s">
        <v>103</v>
      </c>
      <c r="E219" s="36" t="s">
        <v>2</v>
      </c>
      <c r="F219" s="35">
        <v>48</v>
      </c>
      <c r="G219" s="217">
        <v>48</v>
      </c>
    </row>
    <row r="220" spans="1:10" x14ac:dyDescent="0.3">
      <c r="A220" s="339" t="s">
        <v>187</v>
      </c>
      <c r="B220" s="340"/>
      <c r="C220" s="340"/>
      <c r="D220" s="340"/>
      <c r="E220" s="340"/>
      <c r="F220" s="340"/>
      <c r="G220" s="341"/>
    </row>
    <row r="221" spans="1:10" x14ac:dyDescent="0.3">
      <c r="A221" s="33">
        <v>11</v>
      </c>
      <c r="B221" s="34"/>
      <c r="C221" s="12" t="s">
        <v>105</v>
      </c>
      <c r="D221" s="20" t="s">
        <v>104</v>
      </c>
      <c r="E221" s="36"/>
      <c r="F221" s="35"/>
      <c r="G221" s="70"/>
    </row>
    <row r="222" spans="1:10" x14ac:dyDescent="0.3">
      <c r="A222" s="33" t="s">
        <v>349</v>
      </c>
      <c r="B222" s="34" t="s">
        <v>198</v>
      </c>
      <c r="C222" s="38" t="s">
        <v>106</v>
      </c>
      <c r="D222" s="37" t="s">
        <v>107</v>
      </c>
      <c r="E222" s="36" t="s">
        <v>2</v>
      </c>
      <c r="F222" s="35">
        <v>48</v>
      </c>
      <c r="G222" s="71">
        <v>48</v>
      </c>
    </row>
    <row r="223" spans="1:10" x14ac:dyDescent="0.3">
      <c r="A223" s="33" t="s">
        <v>350</v>
      </c>
      <c r="B223" s="34" t="s">
        <v>198</v>
      </c>
      <c r="C223" s="38">
        <v>160601</v>
      </c>
      <c r="D223" s="37" t="s">
        <v>108</v>
      </c>
      <c r="E223" s="36" t="s">
        <v>11</v>
      </c>
      <c r="F223" s="35">
        <f>4.86+2.6+3.89</f>
        <v>11.350000000000001</v>
      </c>
      <c r="G223" s="70" t="s">
        <v>218</v>
      </c>
    </row>
    <row r="224" spans="1:10" x14ac:dyDescent="0.3">
      <c r="A224" s="33" t="s">
        <v>351</v>
      </c>
      <c r="B224" s="34" t="s">
        <v>198</v>
      </c>
      <c r="C224" s="38">
        <v>160602</v>
      </c>
      <c r="D224" s="37" t="s">
        <v>109</v>
      </c>
      <c r="E224" s="36" t="s">
        <v>11</v>
      </c>
      <c r="F224" s="35">
        <f>2.71+11.35+2.71+2.53+2.53</f>
        <v>21.830000000000002</v>
      </c>
      <c r="G224" s="70" t="s">
        <v>219</v>
      </c>
    </row>
    <row r="225" spans="1:7" s="123" customFormat="1" x14ac:dyDescent="0.3">
      <c r="A225" s="237" t="str">
        <f>COMPOSIÇÃO!A193</f>
        <v>11.4</v>
      </c>
      <c r="B225" s="237" t="str">
        <f>COMPOSIÇÃO!B193</f>
        <v>AGETOP</v>
      </c>
      <c r="C225" s="237">
        <f>COMPOSIÇÃO!C193</f>
        <v>160600</v>
      </c>
      <c r="D225" s="237" t="str">
        <f>COMPOSIÇÃO!D193</f>
        <v>CALHA DE CHAPA GALVANIZADA</v>
      </c>
      <c r="E225" s="134" t="str">
        <f>COMPOSIÇÃO!E193</f>
        <v>m2</v>
      </c>
      <c r="F225" s="235">
        <f>(0.09+0.09+0.05+0.05)*3*3*1.2</f>
        <v>3.0239999999999996</v>
      </c>
      <c r="G225" s="73" t="s">
        <v>515</v>
      </c>
    </row>
    <row r="226" spans="1:7" x14ac:dyDescent="0.3">
      <c r="A226" s="339" t="s">
        <v>188</v>
      </c>
      <c r="B226" s="340"/>
      <c r="C226" s="340"/>
      <c r="D226" s="340"/>
      <c r="E226" s="340"/>
      <c r="F226" s="340"/>
      <c r="G226" s="341"/>
    </row>
    <row r="227" spans="1:7" x14ac:dyDescent="0.3">
      <c r="A227" s="33">
        <v>12</v>
      </c>
      <c r="B227" s="34"/>
      <c r="C227" s="12" t="s">
        <v>110</v>
      </c>
      <c r="D227" s="20" t="s">
        <v>111</v>
      </c>
      <c r="E227" s="36"/>
      <c r="F227" s="35"/>
      <c r="G227" s="70"/>
    </row>
    <row r="228" spans="1:7" x14ac:dyDescent="0.3">
      <c r="A228" s="33" t="s">
        <v>352</v>
      </c>
      <c r="B228" s="34" t="s">
        <v>198</v>
      </c>
      <c r="C228" s="38" t="s">
        <v>112</v>
      </c>
      <c r="D228" s="37" t="s">
        <v>113</v>
      </c>
      <c r="E228" s="36" t="s">
        <v>20</v>
      </c>
      <c r="F228" s="35">
        <v>1</v>
      </c>
      <c r="G228" s="70" t="s">
        <v>216</v>
      </c>
    </row>
    <row r="229" spans="1:7" x14ac:dyDescent="0.3">
      <c r="A229" s="33" t="s">
        <v>353</v>
      </c>
      <c r="B229" s="34" t="s">
        <v>198</v>
      </c>
      <c r="C229" s="38">
        <v>170103</v>
      </c>
      <c r="D229" s="37" t="s">
        <v>114</v>
      </c>
      <c r="E229" s="36" t="s">
        <v>20</v>
      </c>
      <c r="F229" s="35">
        <v>2</v>
      </c>
      <c r="G229" s="70" t="s">
        <v>215</v>
      </c>
    </row>
    <row r="230" spans="1:7" x14ac:dyDescent="0.3">
      <c r="A230" s="339" t="s">
        <v>189</v>
      </c>
      <c r="B230" s="340"/>
      <c r="C230" s="340"/>
      <c r="D230" s="340"/>
      <c r="E230" s="340"/>
      <c r="F230" s="340"/>
      <c r="G230" s="341"/>
    </row>
    <row r="231" spans="1:7" x14ac:dyDescent="0.3">
      <c r="A231" s="33">
        <v>13</v>
      </c>
      <c r="B231" s="34"/>
      <c r="C231" s="12" t="s">
        <v>115</v>
      </c>
      <c r="D231" s="20" t="s">
        <v>116</v>
      </c>
      <c r="E231" s="36"/>
      <c r="F231" s="35"/>
      <c r="G231" s="70"/>
    </row>
    <row r="232" spans="1:7" x14ac:dyDescent="0.3">
      <c r="A232" s="33" t="s">
        <v>354</v>
      </c>
      <c r="B232" s="34" t="s">
        <v>198</v>
      </c>
      <c r="C232" s="38">
        <v>180380</v>
      </c>
      <c r="D232" s="37" t="s">
        <v>117</v>
      </c>
      <c r="E232" s="36" t="s">
        <v>2</v>
      </c>
      <c r="F232" s="35">
        <v>0.25</v>
      </c>
      <c r="G232" s="70" t="s">
        <v>223</v>
      </c>
    </row>
    <row r="233" spans="1:7" x14ac:dyDescent="0.3">
      <c r="A233" s="425" t="s">
        <v>355</v>
      </c>
      <c r="B233" s="410" t="s">
        <v>198</v>
      </c>
      <c r="C233" s="407">
        <v>180402</v>
      </c>
      <c r="D233" s="404" t="s">
        <v>118</v>
      </c>
      <c r="E233" s="416" t="s">
        <v>2</v>
      </c>
      <c r="F233" s="413">
        <f>(1.5*1)+(1.5*1)*(2*1.2*1)+(1.2*1)</f>
        <v>6.3</v>
      </c>
      <c r="G233" s="70" t="s">
        <v>239</v>
      </c>
    </row>
    <row r="234" spans="1:7" x14ac:dyDescent="0.3">
      <c r="A234" s="426"/>
      <c r="B234" s="411"/>
      <c r="C234" s="408"/>
      <c r="D234" s="405"/>
      <c r="E234" s="417"/>
      <c r="F234" s="414"/>
      <c r="G234" s="70" t="s">
        <v>236</v>
      </c>
    </row>
    <row r="235" spans="1:7" x14ac:dyDescent="0.3">
      <c r="A235" s="426"/>
      <c r="B235" s="411"/>
      <c r="C235" s="408"/>
      <c r="D235" s="405"/>
      <c r="E235" s="417"/>
      <c r="F235" s="414"/>
      <c r="G235" s="70" t="s">
        <v>237</v>
      </c>
    </row>
    <row r="236" spans="1:7" x14ac:dyDescent="0.3">
      <c r="A236" s="427"/>
      <c r="B236" s="412"/>
      <c r="C236" s="409"/>
      <c r="D236" s="406"/>
      <c r="E236" s="418"/>
      <c r="F236" s="415"/>
      <c r="G236" s="70" t="s">
        <v>238</v>
      </c>
    </row>
    <row r="237" spans="1:7" x14ac:dyDescent="0.3">
      <c r="A237" s="422" t="s">
        <v>356</v>
      </c>
      <c r="B237" s="410" t="s">
        <v>198</v>
      </c>
      <c r="C237" s="407" t="s">
        <v>119</v>
      </c>
      <c r="D237" s="404" t="s">
        <v>120</v>
      </c>
      <c r="E237" s="416" t="s">
        <v>2</v>
      </c>
      <c r="F237" s="413">
        <f>(2.1*0.8)+(2.1*0.8)+(0.6*0.6)</f>
        <v>3.72</v>
      </c>
      <c r="G237" s="70" t="s">
        <v>220</v>
      </c>
    </row>
    <row r="238" spans="1:7" x14ac:dyDescent="0.3">
      <c r="A238" s="423"/>
      <c r="B238" s="411"/>
      <c r="C238" s="408"/>
      <c r="D238" s="405"/>
      <c r="E238" s="417"/>
      <c r="F238" s="414"/>
      <c r="G238" s="70" t="s">
        <v>221</v>
      </c>
    </row>
    <row r="239" spans="1:7" x14ac:dyDescent="0.3">
      <c r="A239" s="424"/>
      <c r="B239" s="412"/>
      <c r="C239" s="409"/>
      <c r="D239" s="406"/>
      <c r="E239" s="418"/>
      <c r="F239" s="415"/>
      <c r="G239" s="70" t="s">
        <v>222</v>
      </c>
    </row>
    <row r="240" spans="1:7" x14ac:dyDescent="0.3">
      <c r="A240" s="339" t="s">
        <v>190</v>
      </c>
      <c r="B240" s="340"/>
      <c r="C240" s="340"/>
      <c r="D240" s="340"/>
      <c r="E240" s="340"/>
      <c r="F240" s="340"/>
      <c r="G240" s="341"/>
    </row>
    <row r="241" spans="1:7" x14ac:dyDescent="0.3">
      <c r="A241" s="33">
        <v>14</v>
      </c>
      <c r="B241" s="34"/>
      <c r="C241" s="12" t="s">
        <v>122</v>
      </c>
      <c r="D241" s="20" t="s">
        <v>121</v>
      </c>
      <c r="E241" s="36"/>
      <c r="F241" s="35"/>
      <c r="G241" s="70"/>
    </row>
    <row r="242" spans="1:7" x14ac:dyDescent="0.3">
      <c r="A242" s="422" t="s">
        <v>357</v>
      </c>
      <c r="B242" s="410" t="s">
        <v>198</v>
      </c>
      <c r="C242" s="407" t="s">
        <v>123</v>
      </c>
      <c r="D242" s="404" t="s">
        <v>124</v>
      </c>
      <c r="E242" s="416" t="s">
        <v>2</v>
      </c>
      <c r="F242" s="413">
        <f>(3.15)+0.25</f>
        <v>3.4</v>
      </c>
      <c r="G242" s="70" t="s">
        <v>224</v>
      </c>
    </row>
    <row r="243" spans="1:7" x14ac:dyDescent="0.3">
      <c r="A243" s="424"/>
      <c r="B243" s="412"/>
      <c r="C243" s="409"/>
      <c r="D243" s="406"/>
      <c r="E243" s="418"/>
      <c r="F243" s="415"/>
      <c r="G243" s="70" t="s">
        <v>394</v>
      </c>
    </row>
    <row r="244" spans="1:7" x14ac:dyDescent="0.3">
      <c r="A244" s="339" t="s">
        <v>191</v>
      </c>
      <c r="B244" s="340"/>
      <c r="C244" s="340"/>
      <c r="D244" s="340"/>
      <c r="E244" s="340"/>
      <c r="F244" s="340"/>
      <c r="G244" s="341"/>
    </row>
    <row r="245" spans="1:7" x14ac:dyDescent="0.3">
      <c r="A245" s="33">
        <v>15</v>
      </c>
      <c r="B245" s="34"/>
      <c r="C245" s="12" t="s">
        <v>126</v>
      </c>
      <c r="D245" s="20" t="s">
        <v>125</v>
      </c>
      <c r="E245" s="36"/>
      <c r="F245" s="35"/>
      <c r="G245" s="70"/>
    </row>
    <row r="246" spans="1:7" x14ac:dyDescent="0.3">
      <c r="A246" s="422" t="s">
        <v>358</v>
      </c>
      <c r="B246" s="410" t="s">
        <v>198</v>
      </c>
      <c r="C246" s="407" t="s">
        <v>127</v>
      </c>
      <c r="D246" s="404" t="s">
        <v>128</v>
      </c>
      <c r="E246" s="416" t="s">
        <v>2</v>
      </c>
      <c r="F246" s="413">
        <v>339.34</v>
      </c>
      <c r="G246" s="70" t="s">
        <v>525</v>
      </c>
    </row>
    <row r="247" spans="1:7" ht="27.6" x14ac:dyDescent="0.3">
      <c r="A247" s="423"/>
      <c r="B247" s="411"/>
      <c r="C247" s="408"/>
      <c r="D247" s="405"/>
      <c r="E247" s="417"/>
      <c r="F247" s="414"/>
      <c r="G247" s="70" t="s">
        <v>526</v>
      </c>
    </row>
    <row r="248" spans="1:7" x14ac:dyDescent="0.3">
      <c r="A248" s="423"/>
      <c r="B248" s="411"/>
      <c r="C248" s="408"/>
      <c r="D248" s="405"/>
      <c r="E248" s="417"/>
      <c r="F248" s="414"/>
      <c r="G248" s="70" t="s">
        <v>527</v>
      </c>
    </row>
    <row r="249" spans="1:7" ht="27.6" x14ac:dyDescent="0.3">
      <c r="A249" s="423"/>
      <c r="B249" s="411"/>
      <c r="C249" s="408"/>
      <c r="D249" s="405"/>
      <c r="E249" s="417"/>
      <c r="F249" s="414"/>
      <c r="G249" s="70" t="s">
        <v>528</v>
      </c>
    </row>
    <row r="250" spans="1:7" x14ac:dyDescent="0.3">
      <c r="A250" s="423"/>
      <c r="B250" s="411"/>
      <c r="C250" s="408"/>
      <c r="D250" s="405"/>
      <c r="E250" s="417"/>
      <c r="F250" s="414"/>
      <c r="G250" s="70" t="s">
        <v>529</v>
      </c>
    </row>
    <row r="251" spans="1:7" x14ac:dyDescent="0.3">
      <c r="A251" s="423"/>
      <c r="B251" s="411"/>
      <c r="C251" s="408"/>
      <c r="D251" s="405"/>
      <c r="E251" s="417"/>
      <c r="F251" s="414"/>
      <c r="G251" s="70" t="s">
        <v>530</v>
      </c>
    </row>
    <row r="252" spans="1:7" s="123" customFormat="1" x14ac:dyDescent="0.3">
      <c r="A252" s="423"/>
      <c r="B252" s="411"/>
      <c r="C252" s="408"/>
      <c r="D252" s="405"/>
      <c r="E252" s="417"/>
      <c r="F252" s="414"/>
      <c r="G252" s="70" t="s">
        <v>531</v>
      </c>
    </row>
    <row r="253" spans="1:7" s="123" customFormat="1" x14ac:dyDescent="0.3">
      <c r="A253" s="423"/>
      <c r="B253" s="411"/>
      <c r="C253" s="408"/>
      <c r="D253" s="405"/>
      <c r="E253" s="417"/>
      <c r="F253" s="414"/>
      <c r="G253" s="70" t="s">
        <v>532</v>
      </c>
    </row>
    <row r="254" spans="1:7" ht="49.95" customHeight="1" x14ac:dyDescent="0.3">
      <c r="A254" s="424"/>
      <c r="B254" s="412"/>
      <c r="C254" s="409"/>
      <c r="D254" s="406"/>
      <c r="E254" s="418"/>
      <c r="F254" s="415"/>
      <c r="G254" s="243" t="s">
        <v>550</v>
      </c>
    </row>
    <row r="255" spans="1:7" x14ac:dyDescent="0.3">
      <c r="A255" s="422" t="s">
        <v>359</v>
      </c>
      <c r="B255" s="410" t="s">
        <v>198</v>
      </c>
      <c r="C255" s="407" t="s">
        <v>129</v>
      </c>
      <c r="D255" s="404" t="s">
        <v>130</v>
      </c>
      <c r="E255" s="416" t="s">
        <v>2</v>
      </c>
      <c r="F255" s="413">
        <f xml:space="preserve"> ((2.6+2.85)*1.1)+18.09+(2*1.1)</f>
        <v>26.285</v>
      </c>
      <c r="G255" s="70" t="s">
        <v>555</v>
      </c>
    </row>
    <row r="256" spans="1:7" ht="41.4" x14ac:dyDescent="0.3">
      <c r="A256" s="423"/>
      <c r="B256" s="411"/>
      <c r="C256" s="408"/>
      <c r="D256" s="405"/>
      <c r="E256" s="417"/>
      <c r="F256" s="414"/>
      <c r="G256" s="70" t="s">
        <v>554</v>
      </c>
    </row>
    <row r="257" spans="1:8" x14ac:dyDescent="0.3">
      <c r="A257" s="424"/>
      <c r="B257" s="412"/>
      <c r="C257" s="409"/>
      <c r="D257" s="406"/>
      <c r="E257" s="418"/>
      <c r="F257" s="415"/>
      <c r="G257" s="70" t="s">
        <v>556</v>
      </c>
    </row>
    <row r="258" spans="1:8" x14ac:dyDescent="0.3">
      <c r="A258" s="422" t="s">
        <v>360</v>
      </c>
      <c r="B258" s="410" t="s">
        <v>198</v>
      </c>
      <c r="C258" s="407" t="s">
        <v>131</v>
      </c>
      <c r="D258" s="404" t="s">
        <v>132</v>
      </c>
      <c r="E258" s="416" t="s">
        <v>2</v>
      </c>
      <c r="F258" s="413">
        <f>F246-F255</f>
        <v>313.05499999999995</v>
      </c>
      <c r="G258" s="436" t="s">
        <v>534</v>
      </c>
    </row>
    <row r="259" spans="1:8" x14ac:dyDescent="0.3">
      <c r="A259" s="423"/>
      <c r="B259" s="411"/>
      <c r="C259" s="408"/>
      <c r="D259" s="405"/>
      <c r="E259" s="417"/>
      <c r="F259" s="414"/>
      <c r="G259" s="437"/>
    </row>
    <row r="260" spans="1:8" x14ac:dyDescent="0.3">
      <c r="A260" s="423"/>
      <c r="B260" s="411"/>
      <c r="C260" s="408"/>
      <c r="D260" s="405"/>
      <c r="E260" s="417"/>
      <c r="F260" s="414"/>
      <c r="G260" s="437"/>
    </row>
    <row r="261" spans="1:8" x14ac:dyDescent="0.3">
      <c r="A261" s="423"/>
      <c r="B261" s="411"/>
      <c r="C261" s="408"/>
      <c r="D261" s="405"/>
      <c r="E261" s="417"/>
      <c r="F261" s="414"/>
      <c r="G261" s="437"/>
      <c r="H261" s="242"/>
    </row>
    <row r="262" spans="1:8" x14ac:dyDescent="0.3">
      <c r="A262" s="424"/>
      <c r="B262" s="412"/>
      <c r="C262" s="409"/>
      <c r="D262" s="406"/>
      <c r="E262" s="418"/>
      <c r="F262" s="415"/>
      <c r="G262" s="438"/>
    </row>
    <row r="263" spans="1:8" x14ac:dyDescent="0.3">
      <c r="A263" s="422" t="s">
        <v>361</v>
      </c>
      <c r="B263" s="410" t="s">
        <v>198</v>
      </c>
      <c r="C263" s="407" t="s">
        <v>133</v>
      </c>
      <c r="D263" s="404" t="s">
        <v>134</v>
      </c>
      <c r="E263" s="416" t="s">
        <v>2</v>
      </c>
      <c r="F263" s="413">
        <f>F255</f>
        <v>26.285</v>
      </c>
      <c r="G263" s="70" t="s">
        <v>555</v>
      </c>
    </row>
    <row r="264" spans="1:8" ht="41.4" x14ac:dyDescent="0.3">
      <c r="A264" s="423"/>
      <c r="B264" s="411"/>
      <c r="C264" s="408"/>
      <c r="D264" s="405"/>
      <c r="E264" s="417"/>
      <c r="F264" s="414"/>
      <c r="G264" s="70" t="s">
        <v>554</v>
      </c>
    </row>
    <row r="265" spans="1:8" x14ac:dyDescent="0.3">
      <c r="A265" s="424"/>
      <c r="B265" s="412"/>
      <c r="C265" s="409"/>
      <c r="D265" s="406"/>
      <c r="E265" s="418"/>
      <c r="F265" s="415"/>
      <c r="G265" s="70" t="s">
        <v>533</v>
      </c>
    </row>
    <row r="266" spans="1:8" x14ac:dyDescent="0.3">
      <c r="A266" s="443" t="s">
        <v>192</v>
      </c>
      <c r="B266" s="444"/>
      <c r="C266" s="444"/>
      <c r="D266" s="444"/>
      <c r="E266" s="444"/>
      <c r="F266" s="444"/>
      <c r="G266" s="445"/>
    </row>
    <row r="267" spans="1:8" x14ac:dyDescent="0.3">
      <c r="A267" s="33">
        <v>16</v>
      </c>
      <c r="B267" s="34"/>
      <c r="C267" s="12" t="s">
        <v>136</v>
      </c>
      <c r="D267" s="20" t="s">
        <v>135</v>
      </c>
      <c r="E267" s="36"/>
      <c r="F267" s="35"/>
      <c r="G267" s="70"/>
    </row>
    <row r="268" spans="1:8" x14ac:dyDescent="0.3">
      <c r="A268" s="422" t="s">
        <v>362</v>
      </c>
      <c r="B268" s="422" t="s">
        <v>198</v>
      </c>
      <c r="C268" s="407" t="s">
        <v>137</v>
      </c>
      <c r="D268" s="404" t="s">
        <v>138</v>
      </c>
      <c r="E268" s="416" t="s">
        <v>2</v>
      </c>
      <c r="F268" s="413">
        <f>11.94+10.05+7.11+8.15+1.85+3.16+3.52</f>
        <v>45.780000000000008</v>
      </c>
      <c r="G268" s="70" t="s">
        <v>242</v>
      </c>
    </row>
    <row r="269" spans="1:8" x14ac:dyDescent="0.3">
      <c r="A269" s="423"/>
      <c r="B269" s="423"/>
      <c r="C269" s="408"/>
      <c r="D269" s="405"/>
      <c r="E269" s="417"/>
      <c r="F269" s="414"/>
      <c r="G269" s="70" t="s">
        <v>243</v>
      </c>
    </row>
    <row r="270" spans="1:8" x14ac:dyDescent="0.3">
      <c r="A270" s="423"/>
      <c r="B270" s="423"/>
      <c r="C270" s="408"/>
      <c r="D270" s="405"/>
      <c r="E270" s="417"/>
      <c r="F270" s="414"/>
      <c r="G270" s="70" t="s">
        <v>244</v>
      </c>
    </row>
    <row r="271" spans="1:8" x14ac:dyDescent="0.3">
      <c r="A271" s="423"/>
      <c r="B271" s="423"/>
      <c r="C271" s="408"/>
      <c r="D271" s="405"/>
      <c r="E271" s="417"/>
      <c r="F271" s="414"/>
      <c r="G271" s="70" t="s">
        <v>241</v>
      </c>
    </row>
    <row r="272" spans="1:8" x14ac:dyDescent="0.3">
      <c r="A272" s="423"/>
      <c r="B272" s="423"/>
      <c r="C272" s="408"/>
      <c r="D272" s="405"/>
      <c r="E272" s="417"/>
      <c r="F272" s="414"/>
      <c r="G272" s="70" t="s">
        <v>240</v>
      </c>
    </row>
    <row r="273" spans="1:7" x14ac:dyDescent="0.3">
      <c r="A273" s="423"/>
      <c r="B273" s="423"/>
      <c r="C273" s="408"/>
      <c r="D273" s="405"/>
      <c r="E273" s="417"/>
      <c r="F273" s="414"/>
      <c r="G273" s="70" t="s">
        <v>245</v>
      </c>
    </row>
    <row r="274" spans="1:7" x14ac:dyDescent="0.3">
      <c r="A274" s="424"/>
      <c r="B274" s="424"/>
      <c r="C274" s="409"/>
      <c r="D274" s="406"/>
      <c r="E274" s="418"/>
      <c r="F274" s="415"/>
      <c r="G274" s="70" t="s">
        <v>395</v>
      </c>
    </row>
    <row r="275" spans="1:7" x14ac:dyDescent="0.3">
      <c r="A275" s="442" t="s">
        <v>363</v>
      </c>
      <c r="B275" s="442" t="s">
        <v>198</v>
      </c>
      <c r="C275" s="457" t="s">
        <v>139</v>
      </c>
      <c r="D275" s="456" t="s">
        <v>140</v>
      </c>
      <c r="E275" s="455" t="s">
        <v>2</v>
      </c>
      <c r="F275" s="454">
        <v>45.78</v>
      </c>
      <c r="G275" s="70" t="s">
        <v>242</v>
      </c>
    </row>
    <row r="276" spans="1:7" x14ac:dyDescent="0.3">
      <c r="A276" s="442"/>
      <c r="B276" s="442"/>
      <c r="C276" s="457"/>
      <c r="D276" s="456"/>
      <c r="E276" s="455"/>
      <c r="F276" s="454"/>
      <c r="G276" s="70" t="s">
        <v>243</v>
      </c>
    </row>
    <row r="277" spans="1:7" x14ac:dyDescent="0.3">
      <c r="A277" s="442"/>
      <c r="B277" s="442"/>
      <c r="C277" s="457"/>
      <c r="D277" s="456"/>
      <c r="E277" s="455"/>
      <c r="F277" s="454"/>
      <c r="G277" s="70" t="s">
        <v>244</v>
      </c>
    </row>
    <row r="278" spans="1:7" x14ac:dyDescent="0.3">
      <c r="A278" s="442"/>
      <c r="B278" s="442"/>
      <c r="C278" s="457"/>
      <c r="D278" s="456"/>
      <c r="E278" s="455"/>
      <c r="F278" s="454"/>
      <c r="G278" s="70" t="s">
        <v>241</v>
      </c>
    </row>
    <row r="279" spans="1:7" x14ac:dyDescent="0.3">
      <c r="A279" s="442"/>
      <c r="B279" s="442"/>
      <c r="C279" s="457"/>
      <c r="D279" s="456"/>
      <c r="E279" s="455"/>
      <c r="F279" s="454"/>
      <c r="G279" s="70" t="s">
        <v>240</v>
      </c>
    </row>
    <row r="280" spans="1:7" x14ac:dyDescent="0.3">
      <c r="A280" s="442"/>
      <c r="B280" s="442"/>
      <c r="C280" s="457"/>
      <c r="D280" s="456"/>
      <c r="E280" s="455"/>
      <c r="F280" s="454"/>
      <c r="G280" s="70" t="s">
        <v>245</v>
      </c>
    </row>
    <row r="281" spans="1:7" x14ac:dyDescent="0.3">
      <c r="A281" s="442"/>
      <c r="B281" s="442"/>
      <c r="C281" s="457"/>
      <c r="D281" s="456"/>
      <c r="E281" s="455"/>
      <c r="F281" s="454"/>
      <c r="G281" s="70" t="s">
        <v>395</v>
      </c>
    </row>
    <row r="282" spans="1:7" ht="15" customHeight="1" x14ac:dyDescent="0.3">
      <c r="A282" s="419" t="s">
        <v>193</v>
      </c>
      <c r="B282" s="420"/>
      <c r="C282" s="420"/>
      <c r="D282" s="420"/>
      <c r="E282" s="420"/>
      <c r="F282" s="420"/>
      <c r="G282" s="421"/>
    </row>
    <row r="283" spans="1:7" x14ac:dyDescent="0.3">
      <c r="A283" s="33">
        <v>17</v>
      </c>
      <c r="B283" s="34"/>
      <c r="C283" s="12" t="s">
        <v>142</v>
      </c>
      <c r="D283" s="20" t="s">
        <v>141</v>
      </c>
      <c r="E283" s="36"/>
      <c r="F283" s="35"/>
      <c r="G283" s="70"/>
    </row>
    <row r="284" spans="1:7" x14ac:dyDescent="0.3">
      <c r="A284" s="422" t="str">
        <f>COMPOSIÇÃO!A224</f>
        <v>17.1</v>
      </c>
      <c r="B284" s="422" t="str">
        <f>COMPOSIÇÃO!B224</f>
        <v>AGETOP</v>
      </c>
      <c r="C284" s="422">
        <f>COMPOSIÇÃO!C224</f>
        <v>220101</v>
      </c>
      <c r="D284" s="422" t="str">
        <f>COMPOSIÇÃO!D224</f>
        <v>LASTRO DE CONCRETO REGULARIZADO IMPERMEABILIZADO 1:3:6 ESP=5CM (BASE)</v>
      </c>
      <c r="E284" s="439" t="str">
        <f>COMPOSIÇÃO!E224</f>
        <v>m2</v>
      </c>
      <c r="F284" s="413">
        <f>11.51+10.05+7.11+8.15+1.85+3.16</f>
        <v>41.83</v>
      </c>
      <c r="G284" s="70" t="s">
        <v>242</v>
      </c>
    </row>
    <row r="285" spans="1:7" x14ac:dyDescent="0.3">
      <c r="A285" s="423"/>
      <c r="B285" s="423"/>
      <c r="C285" s="423"/>
      <c r="D285" s="423"/>
      <c r="E285" s="440"/>
      <c r="F285" s="414"/>
      <c r="G285" s="70" t="s">
        <v>243</v>
      </c>
    </row>
    <row r="286" spans="1:7" x14ac:dyDescent="0.3">
      <c r="A286" s="423"/>
      <c r="B286" s="423"/>
      <c r="C286" s="423"/>
      <c r="D286" s="423"/>
      <c r="E286" s="440"/>
      <c r="F286" s="414"/>
      <c r="G286" s="70" t="s">
        <v>244</v>
      </c>
    </row>
    <row r="287" spans="1:7" x14ac:dyDescent="0.3">
      <c r="A287" s="423"/>
      <c r="B287" s="423"/>
      <c r="C287" s="423"/>
      <c r="D287" s="423"/>
      <c r="E287" s="440"/>
      <c r="F287" s="414"/>
      <c r="G287" s="70" t="s">
        <v>241</v>
      </c>
    </row>
    <row r="288" spans="1:7" x14ac:dyDescent="0.3">
      <c r="A288" s="423"/>
      <c r="B288" s="423"/>
      <c r="C288" s="423"/>
      <c r="D288" s="423"/>
      <c r="E288" s="440"/>
      <c r="F288" s="414"/>
      <c r="G288" s="70" t="s">
        <v>240</v>
      </c>
    </row>
    <row r="289" spans="1:7" x14ac:dyDescent="0.3">
      <c r="A289" s="424"/>
      <c r="B289" s="424"/>
      <c r="C289" s="424"/>
      <c r="D289" s="424"/>
      <c r="E289" s="441"/>
      <c r="F289" s="415"/>
      <c r="G289" s="70" t="s">
        <v>245</v>
      </c>
    </row>
    <row r="290" spans="1:7" x14ac:dyDescent="0.3">
      <c r="A290" s="33" t="s">
        <v>365</v>
      </c>
      <c r="B290" s="34" t="s">
        <v>198</v>
      </c>
      <c r="C290" s="38">
        <v>220102</v>
      </c>
      <c r="D290" s="37" t="s">
        <v>143</v>
      </c>
      <c r="E290" s="36" t="s">
        <v>2</v>
      </c>
      <c r="F290" s="35">
        <v>17.190000000000001</v>
      </c>
      <c r="G290" s="70" t="s">
        <v>251</v>
      </c>
    </row>
    <row r="291" spans="1:7" ht="25.5" customHeight="1" x14ac:dyDescent="0.3">
      <c r="A291" s="410" t="s">
        <v>366</v>
      </c>
      <c r="B291" s="410" t="s">
        <v>198</v>
      </c>
      <c r="C291" s="407" t="s">
        <v>144</v>
      </c>
      <c r="D291" s="404" t="s">
        <v>145</v>
      </c>
      <c r="E291" s="416" t="s">
        <v>2</v>
      </c>
      <c r="F291" s="413">
        <f>11.51+7.11+8.15+1.85</f>
        <v>28.620000000000005</v>
      </c>
      <c r="G291" s="70" t="s">
        <v>242</v>
      </c>
    </row>
    <row r="292" spans="1:7" x14ac:dyDescent="0.3">
      <c r="A292" s="411"/>
      <c r="B292" s="411"/>
      <c r="C292" s="408"/>
      <c r="D292" s="405"/>
      <c r="E292" s="417"/>
      <c r="F292" s="414"/>
      <c r="G292" s="70" t="s">
        <v>244</v>
      </c>
    </row>
    <row r="293" spans="1:7" x14ac:dyDescent="0.3">
      <c r="A293" s="411"/>
      <c r="B293" s="411"/>
      <c r="C293" s="408"/>
      <c r="D293" s="405"/>
      <c r="E293" s="417"/>
      <c r="F293" s="414"/>
      <c r="G293" s="70" t="s">
        <v>241</v>
      </c>
    </row>
    <row r="294" spans="1:7" x14ac:dyDescent="0.3">
      <c r="A294" s="412"/>
      <c r="B294" s="412"/>
      <c r="C294" s="409"/>
      <c r="D294" s="406"/>
      <c r="E294" s="418"/>
      <c r="F294" s="415"/>
      <c r="G294" s="70" t="s">
        <v>240</v>
      </c>
    </row>
    <row r="295" spans="1:7" x14ac:dyDescent="0.3">
      <c r="A295" s="422" t="s">
        <v>367</v>
      </c>
      <c r="B295" s="410" t="s">
        <v>198</v>
      </c>
      <c r="C295" s="407" t="s">
        <v>146</v>
      </c>
      <c r="D295" s="404" t="s">
        <v>147</v>
      </c>
      <c r="E295" s="416" t="s">
        <v>11</v>
      </c>
      <c r="F295" s="413">
        <f>2.6+4.43+2.6+4.43-0.8-0.9-0.9+2.84+2.5+2.5+2.84-0.8+2.85+2.85+2.85+2.85-0.8+1.84+1.84+2-0.9-0.8-0.8-0.6</f>
        <v>34.52000000000001</v>
      </c>
      <c r="G295" s="70" t="s">
        <v>538</v>
      </c>
    </row>
    <row r="296" spans="1:7" x14ac:dyDescent="0.3">
      <c r="A296" s="423"/>
      <c r="B296" s="411"/>
      <c r="C296" s="408"/>
      <c r="D296" s="405"/>
      <c r="E296" s="417"/>
      <c r="F296" s="414"/>
      <c r="G296" s="70" t="s">
        <v>535</v>
      </c>
    </row>
    <row r="297" spans="1:7" x14ac:dyDescent="0.3">
      <c r="A297" s="423"/>
      <c r="B297" s="411"/>
      <c r="C297" s="408"/>
      <c r="D297" s="405"/>
      <c r="E297" s="417"/>
      <c r="F297" s="414"/>
      <c r="G297" s="70" t="s">
        <v>536</v>
      </c>
    </row>
    <row r="298" spans="1:7" x14ac:dyDescent="0.3">
      <c r="A298" s="424"/>
      <c r="B298" s="412"/>
      <c r="C298" s="409"/>
      <c r="D298" s="406"/>
      <c r="E298" s="418"/>
      <c r="F298" s="415"/>
      <c r="G298" s="70" t="s">
        <v>537</v>
      </c>
    </row>
    <row r="299" spans="1:7" ht="25.5" customHeight="1" x14ac:dyDescent="0.3">
      <c r="A299" s="422" t="s">
        <v>368</v>
      </c>
      <c r="B299" s="410" t="s">
        <v>198</v>
      </c>
      <c r="C299" s="407" t="s">
        <v>148</v>
      </c>
      <c r="D299" s="404" t="s">
        <v>149</v>
      </c>
      <c r="E299" s="416" t="s">
        <v>2</v>
      </c>
      <c r="F299" s="413">
        <f>10.05+3.16</f>
        <v>13.21</v>
      </c>
      <c r="G299" s="70" t="s">
        <v>243</v>
      </c>
    </row>
    <row r="300" spans="1:7" x14ac:dyDescent="0.3">
      <c r="A300" s="424"/>
      <c r="B300" s="412"/>
      <c r="C300" s="409"/>
      <c r="D300" s="406"/>
      <c r="E300" s="418"/>
      <c r="F300" s="415"/>
      <c r="G300" s="70" t="s">
        <v>245</v>
      </c>
    </row>
    <row r="301" spans="1:7" x14ac:dyDescent="0.3">
      <c r="A301" s="339" t="s">
        <v>194</v>
      </c>
      <c r="B301" s="340"/>
      <c r="C301" s="340"/>
      <c r="D301" s="340"/>
      <c r="E301" s="340"/>
      <c r="F301" s="340"/>
      <c r="G301" s="341"/>
    </row>
    <row r="302" spans="1:7" x14ac:dyDescent="0.3">
      <c r="A302" s="33">
        <v>18</v>
      </c>
      <c r="B302" s="34"/>
      <c r="C302" s="12" t="s">
        <v>151</v>
      </c>
      <c r="D302" s="14" t="s">
        <v>150</v>
      </c>
      <c r="E302" s="36"/>
      <c r="F302" s="35"/>
      <c r="G302" s="70"/>
    </row>
    <row r="303" spans="1:7" x14ac:dyDescent="0.3">
      <c r="A303" s="422" t="s">
        <v>369</v>
      </c>
      <c r="B303" s="410" t="s">
        <v>198</v>
      </c>
      <c r="C303" s="407" t="s">
        <v>152</v>
      </c>
      <c r="D303" s="446" t="s">
        <v>153</v>
      </c>
      <c r="E303" s="416" t="s">
        <v>456</v>
      </c>
      <c r="F303" s="413">
        <v>3</v>
      </c>
      <c r="G303" s="70" t="s">
        <v>216</v>
      </c>
    </row>
    <row r="304" spans="1:7" x14ac:dyDescent="0.3">
      <c r="A304" s="424"/>
      <c r="B304" s="412"/>
      <c r="C304" s="409"/>
      <c r="D304" s="447"/>
      <c r="E304" s="418"/>
      <c r="F304" s="415"/>
      <c r="G304" s="70" t="s">
        <v>215</v>
      </c>
    </row>
    <row r="305" spans="1:7" x14ac:dyDescent="0.3">
      <c r="A305" s="422" t="s">
        <v>383</v>
      </c>
      <c r="B305" s="422" t="s">
        <v>198</v>
      </c>
      <c r="C305" s="407">
        <v>230201</v>
      </c>
      <c r="D305" s="446" t="s">
        <v>225</v>
      </c>
      <c r="E305" s="416" t="s">
        <v>456</v>
      </c>
      <c r="F305" s="413">
        <v>9</v>
      </c>
      <c r="G305" s="70" t="s">
        <v>226</v>
      </c>
    </row>
    <row r="306" spans="1:7" x14ac:dyDescent="0.3">
      <c r="A306" s="424"/>
      <c r="B306" s="424"/>
      <c r="C306" s="409"/>
      <c r="D306" s="447"/>
      <c r="E306" s="418"/>
      <c r="F306" s="415"/>
      <c r="G306" s="70" t="s">
        <v>227</v>
      </c>
    </row>
    <row r="307" spans="1:7" s="123" customFormat="1" x14ac:dyDescent="0.3">
      <c r="A307" s="61" t="str">
        <f>COMPOSIÇÃO!A234</f>
        <v>18.3</v>
      </c>
      <c r="B307" s="61" t="str">
        <f>COMPOSIÇÃO!B234</f>
        <v>AGETOP</v>
      </c>
      <c r="C307" s="61">
        <f>COMPOSIÇÃO!C234</f>
        <v>230802</v>
      </c>
      <c r="D307" s="61" t="str">
        <f>COMPOSIÇÃO!D234</f>
        <v>CADEADO 20 MM</v>
      </c>
      <c r="E307" s="244" t="str">
        <f>COMPOSIÇÃO!E234</f>
        <v>und</v>
      </c>
      <c r="F307" s="239">
        <v>1</v>
      </c>
      <c r="G307" s="73" t="s">
        <v>541</v>
      </c>
    </row>
    <row r="308" spans="1:7" ht="15" customHeight="1" x14ac:dyDescent="0.3">
      <c r="A308" s="419" t="s">
        <v>228</v>
      </c>
      <c r="B308" s="420"/>
      <c r="C308" s="420"/>
      <c r="D308" s="420"/>
      <c r="E308" s="420"/>
      <c r="F308" s="420"/>
      <c r="G308" s="421"/>
    </row>
    <row r="309" spans="1:7" x14ac:dyDescent="0.3">
      <c r="A309" s="27">
        <v>19</v>
      </c>
      <c r="B309" s="34"/>
      <c r="C309" s="12" t="s">
        <v>155</v>
      </c>
      <c r="D309" s="20" t="s">
        <v>154</v>
      </c>
      <c r="E309" s="36">
        <v>0</v>
      </c>
      <c r="F309" s="35"/>
      <c r="G309" s="70"/>
    </row>
    <row r="310" spans="1:7" x14ac:dyDescent="0.3">
      <c r="A310" s="33" t="s">
        <v>370</v>
      </c>
      <c r="B310" s="34" t="s">
        <v>198</v>
      </c>
      <c r="C310" s="38">
        <v>261305</v>
      </c>
      <c r="D310" s="41" t="s">
        <v>247</v>
      </c>
      <c r="E310" s="36" t="s">
        <v>2</v>
      </c>
      <c r="F310" s="35">
        <f>F311</f>
        <v>124.75</v>
      </c>
      <c r="G310" s="70"/>
    </row>
    <row r="311" spans="1:7" x14ac:dyDescent="0.3">
      <c r="A311" s="33" t="s">
        <v>371</v>
      </c>
      <c r="B311" s="34" t="s">
        <v>198</v>
      </c>
      <c r="C311" s="38">
        <v>261000</v>
      </c>
      <c r="D311" s="41" t="s">
        <v>248</v>
      </c>
      <c r="E311" s="36" t="s">
        <v>2</v>
      </c>
      <c r="F311" s="35">
        <f>85.7+41.25-2.2</f>
        <v>124.75</v>
      </c>
      <c r="G311" s="70" t="s">
        <v>548</v>
      </c>
    </row>
    <row r="312" spans="1:7" ht="41.4" x14ac:dyDescent="0.3">
      <c r="A312" s="422" t="s">
        <v>372</v>
      </c>
      <c r="B312" s="422" t="s">
        <v>198</v>
      </c>
      <c r="C312" s="422">
        <v>261301</v>
      </c>
      <c r="D312" s="407" t="s">
        <v>397</v>
      </c>
      <c r="E312" s="416" t="s">
        <v>2</v>
      </c>
      <c r="F312" s="413">
        <f>(39+15.91+29.96+31.92+42.26)-(7.86+6.51+3.18+3.18)+25.69</f>
        <v>164.01000000000002</v>
      </c>
      <c r="G312" s="70" t="s">
        <v>570</v>
      </c>
    </row>
    <row r="313" spans="1:7" ht="41.4" x14ac:dyDescent="0.3">
      <c r="A313" s="423"/>
      <c r="B313" s="423"/>
      <c r="C313" s="423"/>
      <c r="D313" s="408"/>
      <c r="E313" s="417"/>
      <c r="F313" s="414"/>
      <c r="G313" s="70" t="s">
        <v>551</v>
      </c>
    </row>
    <row r="314" spans="1:7" ht="41.4" x14ac:dyDescent="0.3">
      <c r="A314" s="423"/>
      <c r="B314" s="423"/>
      <c r="C314" s="423"/>
      <c r="D314" s="408"/>
      <c r="E314" s="417"/>
      <c r="F314" s="414"/>
      <c r="G314" s="70" t="s">
        <v>552</v>
      </c>
    </row>
    <row r="315" spans="1:7" ht="41.4" x14ac:dyDescent="0.3">
      <c r="A315" s="423"/>
      <c r="B315" s="423"/>
      <c r="C315" s="423"/>
      <c r="D315" s="408"/>
      <c r="E315" s="417"/>
      <c r="F315" s="414"/>
      <c r="G315" s="70" t="s">
        <v>257</v>
      </c>
    </row>
    <row r="316" spans="1:7" s="123" customFormat="1" ht="27.6" x14ac:dyDescent="0.3">
      <c r="A316" s="423"/>
      <c r="B316" s="423"/>
      <c r="C316" s="423"/>
      <c r="D316" s="408"/>
      <c r="E316" s="417"/>
      <c r="F316" s="414"/>
      <c r="G316" s="70" t="s">
        <v>553</v>
      </c>
    </row>
    <row r="317" spans="1:7" x14ac:dyDescent="0.3">
      <c r="A317" s="424"/>
      <c r="B317" s="424"/>
      <c r="C317" s="424"/>
      <c r="D317" s="409"/>
      <c r="E317" s="418"/>
      <c r="F317" s="415"/>
      <c r="G317" s="70" t="s">
        <v>396</v>
      </c>
    </row>
    <row r="318" spans="1:7" x14ac:dyDescent="0.3">
      <c r="A318" s="422" t="s">
        <v>373</v>
      </c>
      <c r="B318" s="410" t="s">
        <v>198</v>
      </c>
      <c r="C318" s="407" t="s">
        <v>156</v>
      </c>
      <c r="D318" s="404" t="s">
        <v>157</v>
      </c>
      <c r="E318" s="416" t="s">
        <v>2</v>
      </c>
      <c r="F318" s="413">
        <f>F312</f>
        <v>164.01000000000002</v>
      </c>
      <c r="G318" s="436" t="s">
        <v>549</v>
      </c>
    </row>
    <row r="319" spans="1:7" x14ac:dyDescent="0.3">
      <c r="A319" s="423"/>
      <c r="B319" s="411"/>
      <c r="C319" s="408"/>
      <c r="D319" s="405"/>
      <c r="E319" s="417"/>
      <c r="F319" s="414"/>
      <c r="G319" s="437"/>
    </row>
    <row r="320" spans="1:7" x14ac:dyDescent="0.3">
      <c r="A320" s="423"/>
      <c r="B320" s="411"/>
      <c r="C320" s="408"/>
      <c r="D320" s="405"/>
      <c r="E320" s="417"/>
      <c r="F320" s="414"/>
      <c r="G320" s="437"/>
    </row>
    <row r="321" spans="1:7" x14ac:dyDescent="0.3">
      <c r="A321" s="423"/>
      <c r="B321" s="411"/>
      <c r="C321" s="408"/>
      <c r="D321" s="405"/>
      <c r="E321" s="417"/>
      <c r="F321" s="414"/>
      <c r="G321" s="437"/>
    </row>
    <row r="322" spans="1:7" x14ac:dyDescent="0.3">
      <c r="A322" s="424"/>
      <c r="B322" s="412"/>
      <c r="C322" s="409"/>
      <c r="D322" s="406"/>
      <c r="E322" s="418"/>
      <c r="F322" s="415"/>
      <c r="G322" s="438"/>
    </row>
    <row r="323" spans="1:7" x14ac:dyDescent="0.3">
      <c r="A323" s="422" t="s">
        <v>374</v>
      </c>
      <c r="B323" s="439" t="s">
        <v>198</v>
      </c>
      <c r="C323" s="407">
        <v>261008</v>
      </c>
      <c r="D323" s="446" t="s">
        <v>249</v>
      </c>
      <c r="E323" s="416" t="s">
        <v>2</v>
      </c>
      <c r="F323" s="413">
        <f>3.36+3.36+0.72+0.5+3+3+2.4+4.8</f>
        <v>21.14</v>
      </c>
      <c r="G323" s="70" t="s">
        <v>557</v>
      </c>
    </row>
    <row r="324" spans="1:7" x14ac:dyDescent="0.3">
      <c r="A324" s="423"/>
      <c r="B324" s="440"/>
      <c r="C324" s="408"/>
      <c r="D324" s="458"/>
      <c r="E324" s="417"/>
      <c r="F324" s="414"/>
      <c r="G324" s="70" t="s">
        <v>558</v>
      </c>
    </row>
    <row r="325" spans="1:7" x14ac:dyDescent="0.3">
      <c r="A325" s="423"/>
      <c r="B325" s="440"/>
      <c r="C325" s="408"/>
      <c r="D325" s="458"/>
      <c r="E325" s="417"/>
      <c r="F325" s="414"/>
      <c r="G325" s="70" t="s">
        <v>562</v>
      </c>
    </row>
    <row r="326" spans="1:7" x14ac:dyDescent="0.3">
      <c r="A326" s="423"/>
      <c r="B326" s="440"/>
      <c r="C326" s="408"/>
      <c r="D326" s="458"/>
      <c r="E326" s="417"/>
      <c r="F326" s="414"/>
      <c r="G326" s="70" t="s">
        <v>559</v>
      </c>
    </row>
    <row r="327" spans="1:7" x14ac:dyDescent="0.3">
      <c r="A327" s="423"/>
      <c r="B327" s="440"/>
      <c r="C327" s="408"/>
      <c r="D327" s="458"/>
      <c r="E327" s="417"/>
      <c r="F327" s="414"/>
      <c r="G327" s="70" t="s">
        <v>561</v>
      </c>
    </row>
    <row r="328" spans="1:7" x14ac:dyDescent="0.3">
      <c r="A328" s="423"/>
      <c r="B328" s="440"/>
      <c r="C328" s="408"/>
      <c r="D328" s="458"/>
      <c r="E328" s="417"/>
      <c r="F328" s="414"/>
      <c r="G328" s="70" t="s">
        <v>560</v>
      </c>
    </row>
    <row r="329" spans="1:7" x14ac:dyDescent="0.3">
      <c r="A329" s="423"/>
      <c r="B329" s="440"/>
      <c r="C329" s="408"/>
      <c r="D329" s="458"/>
      <c r="E329" s="417"/>
      <c r="F329" s="414"/>
      <c r="G329" s="70" t="s">
        <v>563</v>
      </c>
    </row>
    <row r="330" spans="1:7" x14ac:dyDescent="0.3">
      <c r="A330" s="424"/>
      <c r="B330" s="441"/>
      <c r="C330" s="409"/>
      <c r="D330" s="447"/>
      <c r="E330" s="418"/>
      <c r="F330" s="415"/>
      <c r="G330" s="70" t="s">
        <v>564</v>
      </c>
    </row>
    <row r="331" spans="1:7" x14ac:dyDescent="0.3">
      <c r="A331" s="422" t="s">
        <v>375</v>
      </c>
      <c r="B331" s="410" t="s">
        <v>198</v>
      </c>
      <c r="C331" s="407">
        <v>261504</v>
      </c>
      <c r="D331" s="407" t="s">
        <v>250</v>
      </c>
      <c r="E331" s="416" t="s">
        <v>2</v>
      </c>
      <c r="F331" s="413">
        <f>F323</f>
        <v>21.14</v>
      </c>
      <c r="G331" s="436" t="s">
        <v>565</v>
      </c>
    </row>
    <row r="332" spans="1:7" x14ac:dyDescent="0.3">
      <c r="A332" s="423"/>
      <c r="B332" s="411"/>
      <c r="C332" s="408"/>
      <c r="D332" s="408"/>
      <c r="E332" s="417"/>
      <c r="F332" s="414"/>
      <c r="G332" s="437"/>
    </row>
    <row r="333" spans="1:7" x14ac:dyDescent="0.3">
      <c r="A333" s="423"/>
      <c r="B333" s="411"/>
      <c r="C333" s="408"/>
      <c r="D333" s="408"/>
      <c r="E333" s="417"/>
      <c r="F333" s="414"/>
      <c r="G333" s="437"/>
    </row>
    <row r="334" spans="1:7" x14ac:dyDescent="0.3">
      <c r="A334" s="423"/>
      <c r="B334" s="411"/>
      <c r="C334" s="408"/>
      <c r="D334" s="408"/>
      <c r="E334" s="417"/>
      <c r="F334" s="414"/>
      <c r="G334" s="437"/>
    </row>
    <row r="335" spans="1:7" x14ac:dyDescent="0.3">
      <c r="A335" s="423"/>
      <c r="B335" s="411"/>
      <c r="C335" s="408"/>
      <c r="D335" s="408"/>
      <c r="E335" s="417"/>
      <c r="F335" s="414"/>
      <c r="G335" s="437"/>
    </row>
    <row r="336" spans="1:7" x14ac:dyDescent="0.3">
      <c r="A336" s="423"/>
      <c r="B336" s="411"/>
      <c r="C336" s="408"/>
      <c r="D336" s="408"/>
      <c r="E336" s="417"/>
      <c r="F336" s="414"/>
      <c r="G336" s="437"/>
    </row>
    <row r="337" spans="1:10" x14ac:dyDescent="0.3">
      <c r="A337" s="423"/>
      <c r="B337" s="411"/>
      <c r="C337" s="408"/>
      <c r="D337" s="408"/>
      <c r="E337" s="417"/>
      <c r="F337" s="414"/>
      <c r="G337" s="437"/>
    </row>
    <row r="338" spans="1:10" x14ac:dyDescent="0.3">
      <c r="A338" s="424"/>
      <c r="B338" s="412"/>
      <c r="C338" s="409"/>
      <c r="D338" s="409"/>
      <c r="E338" s="418"/>
      <c r="F338" s="415"/>
      <c r="G338" s="438"/>
    </row>
    <row r="339" spans="1:10" ht="41.4" x14ac:dyDescent="0.3">
      <c r="A339" s="33" t="s">
        <v>376</v>
      </c>
      <c r="B339" s="34" t="s">
        <v>198</v>
      </c>
      <c r="C339" s="38">
        <v>260901</v>
      </c>
      <c r="D339" s="37" t="s">
        <v>158</v>
      </c>
      <c r="E339" s="36" t="s">
        <v>2</v>
      </c>
      <c r="F339" s="35">
        <f>2.52+3.36+3.36</f>
        <v>9.24</v>
      </c>
      <c r="G339" s="70" t="s">
        <v>566</v>
      </c>
    </row>
    <row r="340" spans="1:10" s="123" customFormat="1" x14ac:dyDescent="0.3">
      <c r="A340" s="187" t="str">
        <f>COMPOSIÇÃO!A244</f>
        <v>19.8</v>
      </c>
      <c r="B340" s="187" t="str">
        <f>COMPOSIÇÃO!B244</f>
        <v>AGETOP</v>
      </c>
      <c r="C340" s="187">
        <f>COMPOSIÇÃO!C244</f>
        <v>261010</v>
      </c>
      <c r="D340" s="237" t="str">
        <f>COMPOSIÇÃO!D244</f>
        <v>FUNDO ADERENTE PARA SUPERFÍCIES GALVANIZADAS - 1 DEMAO</v>
      </c>
      <c r="E340" s="134" t="str">
        <f>COMPOSIÇÃO!E244</f>
        <v>m2</v>
      </c>
      <c r="F340" s="235">
        <f>F225</f>
        <v>3.0239999999999996</v>
      </c>
      <c r="G340" s="70" t="s">
        <v>518</v>
      </c>
    </row>
    <row r="341" spans="1:10" s="123" customFormat="1" x14ac:dyDescent="0.3">
      <c r="A341" s="187" t="str">
        <f>COMPOSIÇÃO!A245</f>
        <v>19.9</v>
      </c>
      <c r="B341" s="187" t="str">
        <f>COMPOSIÇÃO!B245</f>
        <v>AGETOP</v>
      </c>
      <c r="C341" s="187">
        <f>COMPOSIÇÃO!C245</f>
        <v>261001</v>
      </c>
      <c r="D341" s="237" t="str">
        <f>COMPOSIÇÃO!D245</f>
        <v>PINTURA LATEX ACRILICO 2 DEMAOS</v>
      </c>
      <c r="E341" s="134" t="str">
        <f>COMPOSIÇÃO!E245</f>
        <v>m2</v>
      </c>
      <c r="F341" s="235">
        <f>F340</f>
        <v>3.0239999999999996</v>
      </c>
      <c r="G341" s="70" t="s">
        <v>518</v>
      </c>
    </row>
    <row r="342" spans="1:10" x14ac:dyDescent="0.3">
      <c r="A342" s="339" t="s">
        <v>196</v>
      </c>
      <c r="B342" s="340"/>
      <c r="C342" s="340"/>
      <c r="D342" s="340"/>
      <c r="E342" s="340"/>
      <c r="F342" s="340"/>
      <c r="G342" s="341"/>
    </row>
    <row r="343" spans="1:10" x14ac:dyDescent="0.3">
      <c r="A343" s="27">
        <v>20</v>
      </c>
      <c r="B343" s="34"/>
      <c r="C343" s="12" t="s">
        <v>160</v>
      </c>
      <c r="D343" s="14" t="s">
        <v>159</v>
      </c>
      <c r="E343" s="36"/>
      <c r="F343" s="35"/>
      <c r="G343" s="70"/>
    </row>
    <row r="344" spans="1:10" x14ac:dyDescent="0.3">
      <c r="A344" s="27" t="s">
        <v>377</v>
      </c>
      <c r="B344" s="34" t="s">
        <v>198</v>
      </c>
      <c r="C344" s="38" t="s">
        <v>161</v>
      </c>
      <c r="D344" s="41" t="s">
        <v>162</v>
      </c>
      <c r="E344" s="291" t="s">
        <v>2</v>
      </c>
      <c r="F344" s="35">
        <v>50</v>
      </c>
      <c r="G344" s="70" t="s">
        <v>217</v>
      </c>
    </row>
    <row r="345" spans="1:10" x14ac:dyDescent="0.3">
      <c r="A345" s="27" t="s">
        <v>388</v>
      </c>
      <c r="B345" s="34" t="s">
        <v>198</v>
      </c>
      <c r="C345" s="283">
        <v>270808</v>
      </c>
      <c r="D345" s="126" t="s">
        <v>197</v>
      </c>
      <c r="E345" s="22" t="s">
        <v>168</v>
      </c>
      <c r="F345" s="24">
        <v>1</v>
      </c>
      <c r="G345" s="72">
        <v>1</v>
      </c>
    </row>
    <row r="346" spans="1:10" s="123" customFormat="1" x14ac:dyDescent="0.3">
      <c r="A346" s="27" t="str">
        <f>COMPOSIÇÃO!A251</f>
        <v>20.3</v>
      </c>
      <c r="B346" s="27" t="str">
        <f>COMPOSIÇÃO!B251</f>
        <v>AGETOP</v>
      </c>
      <c r="C346" s="27">
        <f>COMPOSIÇÃO!C251</f>
        <v>271701</v>
      </c>
      <c r="D346" s="27" t="str">
        <f>COMPOSIÇÃO!D251</f>
        <v>BANCADA DE GRANITINA</v>
      </c>
      <c r="E346" s="22" t="str">
        <f>COMPOSIÇÃO!E251</f>
        <v>m2</v>
      </c>
      <c r="F346" s="24">
        <f>1.2*0.6</f>
        <v>0.72</v>
      </c>
      <c r="G346" s="72" t="s">
        <v>675</v>
      </c>
    </row>
    <row r="347" spans="1:10" s="123" customFormat="1" x14ac:dyDescent="0.3">
      <c r="A347" s="27" t="str">
        <f>COMPOSIÇÃO!A252</f>
        <v>20.4</v>
      </c>
      <c r="B347" s="27" t="str">
        <f>COMPOSIÇÃO!B252</f>
        <v>AGETOP</v>
      </c>
      <c r="C347" s="27">
        <f>COMPOSIÇÃO!C252</f>
        <v>271605</v>
      </c>
      <c r="D347" s="27" t="str">
        <f>COMPOSIÇÃO!D252</f>
        <v>SUPORTE PARA BANCADA EM FERRO "T" 1/8" X 1 1/4</v>
      </c>
      <c r="E347" s="22" t="str">
        <f>COMPOSIÇÃO!E252</f>
        <v>und</v>
      </c>
      <c r="F347" s="24">
        <v>2</v>
      </c>
      <c r="G347" s="72" t="s">
        <v>676</v>
      </c>
    </row>
    <row r="352" spans="1:10" x14ac:dyDescent="0.3">
      <c r="A352" s="275"/>
      <c r="B352" s="275"/>
      <c r="C352" s="275"/>
      <c r="D352" s="288" t="s">
        <v>405</v>
      </c>
      <c r="E352" s="362"/>
      <c r="F352" s="362"/>
      <c r="G352" s="362"/>
      <c r="H352" s="362"/>
      <c r="I352" s="362"/>
      <c r="J352" s="362"/>
    </row>
    <row r="353" spans="1:10" x14ac:dyDescent="0.3">
      <c r="A353" s="281"/>
      <c r="B353" s="281"/>
      <c r="C353" s="281"/>
      <c r="D353" s="287" t="s">
        <v>401</v>
      </c>
      <c r="E353" s="281"/>
      <c r="F353" s="281"/>
      <c r="G353" s="281"/>
      <c r="H353" s="281"/>
      <c r="I353" s="281"/>
      <c r="J353" s="281"/>
    </row>
    <row r="354" spans="1:10" x14ac:dyDescent="0.3">
      <c r="A354" s="282"/>
      <c r="B354" s="282"/>
      <c r="C354" s="282"/>
      <c r="D354" s="287" t="s">
        <v>402</v>
      </c>
      <c r="E354" s="362"/>
      <c r="F354" s="362"/>
      <c r="G354" s="362"/>
      <c r="H354" s="281"/>
      <c r="I354" s="281"/>
      <c r="J354" s="281"/>
    </row>
    <row r="355" spans="1:10" x14ac:dyDescent="0.3">
      <c r="A355" s="282"/>
      <c r="B355" s="282"/>
      <c r="C355" s="282"/>
      <c r="D355" s="287" t="s">
        <v>403</v>
      </c>
      <c r="E355" s="362"/>
      <c r="F355" s="362"/>
      <c r="G355" s="362"/>
      <c r="H355" s="281"/>
      <c r="I355" s="281"/>
      <c r="J355" s="281"/>
    </row>
    <row r="356" spans="1:10" x14ac:dyDescent="0.3">
      <c r="A356" s="282"/>
      <c r="B356" s="282"/>
      <c r="C356" s="282"/>
      <c r="D356" s="287" t="s">
        <v>404</v>
      </c>
      <c r="E356" s="281"/>
      <c r="F356" s="281"/>
      <c r="G356" s="281"/>
      <c r="H356" s="281"/>
      <c r="I356" s="281"/>
      <c r="J356" s="281"/>
    </row>
    <row r="357" spans="1:10" x14ac:dyDescent="0.3">
      <c r="A357" s="282"/>
      <c r="B357" s="282"/>
      <c r="C357" s="282"/>
      <c r="D357" s="282"/>
      <c r="E357" s="281"/>
      <c r="F357" s="281"/>
      <c r="G357" s="281"/>
      <c r="H357" s="281"/>
      <c r="I357" s="281"/>
      <c r="J357" s="281"/>
    </row>
    <row r="358" spans="1:10" x14ac:dyDescent="0.3">
      <c r="A358" s="366"/>
      <c r="B358" s="366"/>
      <c r="C358" s="366"/>
      <c r="D358" s="366"/>
      <c r="E358" s="366"/>
      <c r="F358" s="366"/>
      <c r="G358" s="366"/>
      <c r="H358" s="366"/>
      <c r="I358" s="366"/>
      <c r="J358" s="366"/>
    </row>
    <row r="363" spans="1:10" x14ac:dyDescent="0.3">
      <c r="D363" s="281"/>
      <c r="E363" s="281"/>
      <c r="F363" s="281"/>
      <c r="G363" s="288"/>
    </row>
    <row r="364" spans="1:10" x14ac:dyDescent="0.3">
      <c r="D364" s="282"/>
      <c r="E364" s="282"/>
      <c r="F364" s="282"/>
      <c r="G364" s="282"/>
    </row>
    <row r="365" spans="1:10" x14ac:dyDescent="0.3">
      <c r="D365" s="282"/>
      <c r="E365" s="282"/>
      <c r="F365" s="282"/>
      <c r="G365" s="282"/>
    </row>
    <row r="366" spans="1:10" x14ac:dyDescent="0.3">
      <c r="D366" s="282"/>
      <c r="E366" s="282"/>
      <c r="F366" s="282"/>
      <c r="G366" s="282"/>
    </row>
    <row r="367" spans="1:10" x14ac:dyDescent="0.3">
      <c r="D367" s="282"/>
      <c r="E367" s="282"/>
      <c r="F367" s="282"/>
      <c r="G367" s="282"/>
    </row>
  </sheetData>
  <mergeCells count="182">
    <mergeCell ref="A358:J358"/>
    <mergeCell ref="E354:G354"/>
    <mergeCell ref="E355:G355"/>
    <mergeCell ref="A331:A338"/>
    <mergeCell ref="E323:E330"/>
    <mergeCell ref="F323:F330"/>
    <mergeCell ref="D323:D330"/>
    <mergeCell ref="C323:C330"/>
    <mergeCell ref="B323:B330"/>
    <mergeCell ref="A323:A330"/>
    <mergeCell ref="B331:B338"/>
    <mergeCell ref="E352:J352"/>
    <mergeCell ref="A342:G342"/>
    <mergeCell ref="F331:F338"/>
    <mergeCell ref="E331:E338"/>
    <mergeCell ref="D331:D338"/>
    <mergeCell ref="C331:C338"/>
    <mergeCell ref="G331:G338"/>
    <mergeCell ref="A303:A304"/>
    <mergeCell ref="A305:A306"/>
    <mergeCell ref="A308:G308"/>
    <mergeCell ref="D258:D262"/>
    <mergeCell ref="C258:C262"/>
    <mergeCell ref="B258:B262"/>
    <mergeCell ref="A258:A262"/>
    <mergeCell ref="E318:E322"/>
    <mergeCell ref="F312:F317"/>
    <mergeCell ref="G318:G322"/>
    <mergeCell ref="D318:D322"/>
    <mergeCell ref="C318:C322"/>
    <mergeCell ref="B318:B322"/>
    <mergeCell ref="A318:A322"/>
    <mergeCell ref="F303:F304"/>
    <mergeCell ref="A299:A300"/>
    <mergeCell ref="A295:A298"/>
    <mergeCell ref="A291:A294"/>
    <mergeCell ref="A268:A274"/>
    <mergeCell ref="F275:F281"/>
    <mergeCell ref="E275:E281"/>
    <mergeCell ref="D275:D281"/>
    <mergeCell ref="C275:C281"/>
    <mergeCell ref="B275:B281"/>
    <mergeCell ref="A31:G31"/>
    <mergeCell ref="A40:G40"/>
    <mergeCell ref="F79:F84"/>
    <mergeCell ref="D79:D84"/>
    <mergeCell ref="C79:C84"/>
    <mergeCell ref="B79:B84"/>
    <mergeCell ref="A79:A84"/>
    <mergeCell ref="E79:E84"/>
    <mergeCell ref="A88:A91"/>
    <mergeCell ref="F88:F91"/>
    <mergeCell ref="E88:E91"/>
    <mergeCell ref="D88:D91"/>
    <mergeCell ref="C88:C91"/>
    <mergeCell ref="B88:B91"/>
    <mergeCell ref="A45:G45"/>
    <mergeCell ref="A63:G63"/>
    <mergeCell ref="A34:G34"/>
    <mergeCell ref="A108:A110"/>
    <mergeCell ref="A129:A130"/>
    <mergeCell ref="A220:G220"/>
    <mergeCell ref="F233:F236"/>
    <mergeCell ref="A217:G217"/>
    <mergeCell ref="C211:C212"/>
    <mergeCell ref="B211:B212"/>
    <mergeCell ref="A211:A212"/>
    <mergeCell ref="E237:E239"/>
    <mergeCell ref="F108:F110"/>
    <mergeCell ref="E108:E110"/>
    <mergeCell ref="D108:D110"/>
    <mergeCell ref="C108:C110"/>
    <mergeCell ref="B108:B110"/>
    <mergeCell ref="F129:F130"/>
    <mergeCell ref="E129:E130"/>
    <mergeCell ref="D129:D130"/>
    <mergeCell ref="C129:C130"/>
    <mergeCell ref="B129:B130"/>
    <mergeCell ref="D237:D239"/>
    <mergeCell ref="C237:C239"/>
    <mergeCell ref="B237:B239"/>
    <mergeCell ref="D233:D236"/>
    <mergeCell ref="E233:E236"/>
    <mergeCell ref="A96:G96"/>
    <mergeCell ref="F255:F257"/>
    <mergeCell ref="E255:E257"/>
    <mergeCell ref="B263:B265"/>
    <mergeCell ref="A263:A265"/>
    <mergeCell ref="F258:F262"/>
    <mergeCell ref="E258:E262"/>
    <mergeCell ref="D255:D257"/>
    <mergeCell ref="F268:F274"/>
    <mergeCell ref="E268:E274"/>
    <mergeCell ref="D268:D274"/>
    <mergeCell ref="C268:C274"/>
    <mergeCell ref="B268:B274"/>
    <mergeCell ref="E263:E265"/>
    <mergeCell ref="D263:D265"/>
    <mergeCell ref="C263:C265"/>
    <mergeCell ref="A209:G209"/>
    <mergeCell ref="F211:F212"/>
    <mergeCell ref="E211:E212"/>
    <mergeCell ref="D211:D212"/>
    <mergeCell ref="A226:G226"/>
    <mergeCell ref="A230:G230"/>
    <mergeCell ref="A213:G213"/>
    <mergeCell ref="C233:C236"/>
    <mergeCell ref="D312:D317"/>
    <mergeCell ref="C312:C317"/>
    <mergeCell ref="B312:B317"/>
    <mergeCell ref="A312:A317"/>
    <mergeCell ref="E312:E317"/>
    <mergeCell ref="F318:F322"/>
    <mergeCell ref="A266:G266"/>
    <mergeCell ref="F284:F289"/>
    <mergeCell ref="F305:F306"/>
    <mergeCell ref="E305:E306"/>
    <mergeCell ref="E303:E304"/>
    <mergeCell ref="D303:D304"/>
    <mergeCell ref="C303:C304"/>
    <mergeCell ref="B303:B304"/>
    <mergeCell ref="D305:D306"/>
    <mergeCell ref="F299:F300"/>
    <mergeCell ref="E299:E300"/>
    <mergeCell ref="B305:B306"/>
    <mergeCell ref="D299:D300"/>
    <mergeCell ref="C299:C300"/>
    <mergeCell ref="B299:B300"/>
    <mergeCell ref="C305:C306"/>
    <mergeCell ref="A301:G301"/>
    <mergeCell ref="E291:E294"/>
    <mergeCell ref="C284:C289"/>
    <mergeCell ref="B246:B254"/>
    <mergeCell ref="A246:A254"/>
    <mergeCell ref="G258:G262"/>
    <mergeCell ref="D246:D254"/>
    <mergeCell ref="C246:C254"/>
    <mergeCell ref="B255:B257"/>
    <mergeCell ref="C255:C257"/>
    <mergeCell ref="A255:A257"/>
    <mergeCell ref="A284:A289"/>
    <mergeCell ref="F263:F265"/>
    <mergeCell ref="B284:B289"/>
    <mergeCell ref="E284:E289"/>
    <mergeCell ref="D284:D289"/>
    <mergeCell ref="A275:A281"/>
    <mergeCell ref="A1:G1"/>
    <mergeCell ref="A14:G14"/>
    <mergeCell ref="A19:G19"/>
    <mergeCell ref="A3:G3"/>
    <mergeCell ref="A5:G5"/>
    <mergeCell ref="A7:G7"/>
    <mergeCell ref="B6:C6"/>
    <mergeCell ref="A28:G28"/>
    <mergeCell ref="A4:G4"/>
    <mergeCell ref="A26:G26"/>
    <mergeCell ref="A2:G2"/>
    <mergeCell ref="A11:G11"/>
    <mergeCell ref="F237:F239"/>
    <mergeCell ref="F246:F254"/>
    <mergeCell ref="E246:E254"/>
    <mergeCell ref="A282:G282"/>
    <mergeCell ref="B233:B236"/>
    <mergeCell ref="A244:G244"/>
    <mergeCell ref="A237:A239"/>
    <mergeCell ref="A233:A236"/>
    <mergeCell ref="A240:G240"/>
    <mergeCell ref="F242:F243"/>
    <mergeCell ref="E242:E243"/>
    <mergeCell ref="D242:D243"/>
    <mergeCell ref="C242:C243"/>
    <mergeCell ref="B242:B243"/>
    <mergeCell ref="A242:A243"/>
    <mergeCell ref="D291:D294"/>
    <mergeCell ref="C291:C294"/>
    <mergeCell ref="B291:B294"/>
    <mergeCell ref="F295:F298"/>
    <mergeCell ref="E295:E298"/>
    <mergeCell ref="D295:D298"/>
    <mergeCell ref="C295:C298"/>
    <mergeCell ref="B295:B298"/>
    <mergeCell ref="F291:F294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8" fitToHeight="0" orientation="landscape" horizontalDpi="4294967292" r:id="rId1"/>
  <ignoredErrors>
    <ignoredError sqref="C210 C218 C221:C222 C227:C228 C231 C237 C241:C242 C263 C283 C299 C302:C303 C343:C344 C291 C295 C309 C318 C267:C268 C275 C245:C246 C255 C258 C21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1059-B21F-4995-BA3E-78604C4B4A69}">
  <sheetPr>
    <pageSetUpPr fitToPage="1"/>
  </sheetPr>
  <dimension ref="A1:K39"/>
  <sheetViews>
    <sheetView showGridLines="0" workbookViewId="0">
      <selection activeCell="E37" sqref="A1:J37"/>
    </sheetView>
  </sheetViews>
  <sheetFormatPr defaultRowHeight="14.4" x14ac:dyDescent="0.3"/>
  <cols>
    <col min="2" max="2" width="69.5546875" bestFit="1" customWidth="1"/>
    <col min="3" max="3" width="10.33203125" bestFit="1" customWidth="1"/>
    <col min="4" max="8" width="11.33203125" bestFit="1" customWidth="1"/>
    <col min="9" max="9" width="16.88671875" bestFit="1" customWidth="1"/>
    <col min="10" max="10" width="13.88671875" customWidth="1"/>
  </cols>
  <sheetData>
    <row r="1" spans="1:11" x14ac:dyDescent="0.3">
      <c r="A1" s="428" t="s">
        <v>163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1" x14ac:dyDescent="0.3">
      <c r="A2" s="431" t="s">
        <v>164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1" x14ac:dyDescent="0.3">
      <c r="A3" s="431" t="s">
        <v>574</v>
      </c>
      <c r="B3" s="432"/>
      <c r="C3" s="432"/>
      <c r="D3" s="432"/>
      <c r="E3" s="432"/>
      <c r="F3" s="432"/>
      <c r="G3" s="432"/>
      <c r="H3" s="432"/>
      <c r="I3" s="432"/>
      <c r="J3" s="433"/>
    </row>
    <row r="4" spans="1:11" x14ac:dyDescent="0.3">
      <c r="A4" s="431" t="s">
        <v>640</v>
      </c>
      <c r="B4" s="432"/>
      <c r="C4" s="432"/>
      <c r="D4" s="432"/>
      <c r="E4" s="432"/>
      <c r="F4" s="432"/>
      <c r="G4" s="432"/>
      <c r="H4" s="432"/>
      <c r="I4" s="432"/>
      <c r="J4" s="433"/>
    </row>
    <row r="5" spans="1:11" x14ac:dyDescent="0.3">
      <c r="A5" s="474" t="s">
        <v>661</v>
      </c>
      <c r="B5" s="474"/>
      <c r="C5" s="474"/>
      <c r="D5" s="474"/>
      <c r="E5" s="474"/>
      <c r="F5" s="474"/>
      <c r="G5" s="474"/>
      <c r="H5" s="474"/>
      <c r="I5" s="474"/>
      <c r="J5" s="474"/>
    </row>
    <row r="6" spans="1:11" x14ac:dyDescent="0.3">
      <c r="A6" s="25" t="s">
        <v>165</v>
      </c>
      <c r="B6" s="25" t="s">
        <v>229</v>
      </c>
      <c r="C6" s="25" t="s">
        <v>230</v>
      </c>
      <c r="D6" s="25" t="s">
        <v>231</v>
      </c>
      <c r="E6" s="25" t="s">
        <v>232</v>
      </c>
      <c r="F6" s="25" t="s">
        <v>233</v>
      </c>
      <c r="G6" s="25" t="s">
        <v>234</v>
      </c>
      <c r="H6" s="25" t="s">
        <v>235</v>
      </c>
      <c r="I6" s="48" t="s">
        <v>378</v>
      </c>
      <c r="J6" s="52" t="s">
        <v>379</v>
      </c>
    </row>
    <row r="7" spans="1:11" x14ac:dyDescent="0.3">
      <c r="A7" s="39">
        <v>1</v>
      </c>
      <c r="B7" s="39" t="str">
        <f>[1]COMPOSIÇÃO!D8</f>
        <v>SERVIÇOS PRELIMINARES</v>
      </c>
      <c r="C7" s="53">
        <v>1</v>
      </c>
      <c r="D7" s="54"/>
      <c r="E7" s="54"/>
      <c r="F7" s="54"/>
      <c r="G7" s="54"/>
      <c r="H7" s="54"/>
      <c r="I7" s="118">
        <f>COMPOSIÇÃO!J10</f>
        <v>325.80439999999999</v>
      </c>
      <c r="J7" s="51">
        <f t="shared" ref="J7:J26" si="0">(I7*$J$27)/$I$27</f>
        <v>3.3703180371680371E-3</v>
      </c>
    </row>
    <row r="8" spans="1:11" x14ac:dyDescent="0.3">
      <c r="A8" s="39">
        <v>2</v>
      </c>
      <c r="B8" s="39" t="str">
        <f>[1]COMPOSIÇÃO!D13</f>
        <v>TRANSPORTES</v>
      </c>
      <c r="C8" s="53">
        <v>0.3</v>
      </c>
      <c r="D8" s="53">
        <v>0.2</v>
      </c>
      <c r="E8" s="53">
        <v>0.2</v>
      </c>
      <c r="F8" s="53">
        <v>0.1</v>
      </c>
      <c r="G8" s="53">
        <v>0.1</v>
      </c>
      <c r="H8" s="53">
        <v>0.1</v>
      </c>
      <c r="I8" s="118">
        <f>COMPOSIÇÃO!J14</f>
        <v>282.08714800000001</v>
      </c>
      <c r="J8" s="51">
        <f t="shared" si="0"/>
        <v>2.9180803051084936E-3</v>
      </c>
    </row>
    <row r="9" spans="1:11" x14ac:dyDescent="0.3">
      <c r="A9" s="39">
        <v>3</v>
      </c>
      <c r="B9" s="39" t="str">
        <f>[1]COMPOSIÇÃO!D17</f>
        <v xml:space="preserve">SERVIÇO EM TERRA </v>
      </c>
      <c r="C9" s="53">
        <v>0.6</v>
      </c>
      <c r="D9" s="53">
        <v>0.4</v>
      </c>
      <c r="E9" s="84"/>
      <c r="F9" s="54"/>
      <c r="G9" s="54"/>
      <c r="H9" s="54"/>
      <c r="I9" s="118">
        <f>COMPOSIÇÃO!J21</f>
        <v>624.84576479999998</v>
      </c>
      <c r="J9" s="51">
        <f t="shared" si="0"/>
        <v>6.4637830291840656E-3</v>
      </c>
    </row>
    <row r="10" spans="1:11" x14ac:dyDescent="0.3">
      <c r="A10" s="39">
        <v>4</v>
      </c>
      <c r="B10" s="39" t="str">
        <f>[1]COMPOSIÇÃO!D22</f>
        <v>FUNDACOES E SONDAGENS</v>
      </c>
      <c r="C10" s="53">
        <v>0.7</v>
      </c>
      <c r="D10" s="53">
        <v>0.3</v>
      </c>
      <c r="E10" s="39"/>
      <c r="F10" s="54"/>
      <c r="G10" s="54"/>
      <c r="H10" s="54"/>
      <c r="I10" s="118">
        <f>COMPOSIÇÃO!J27</f>
        <v>2815.2683876000006</v>
      </c>
      <c r="J10" s="51">
        <f t="shared" si="0"/>
        <v>2.9122841269784139E-2</v>
      </c>
    </row>
    <row r="11" spans="1:11" x14ac:dyDescent="0.3">
      <c r="A11" s="39">
        <v>5</v>
      </c>
      <c r="B11" s="39" t="str">
        <f>[1]COMPOSIÇÃO!D28</f>
        <v>ESTRUTURA</v>
      </c>
      <c r="C11" s="54"/>
      <c r="D11" s="53">
        <v>0.6</v>
      </c>
      <c r="E11" s="53">
        <v>0.4</v>
      </c>
      <c r="F11" s="39"/>
      <c r="G11" s="54"/>
      <c r="H11" s="54"/>
      <c r="I11" s="118">
        <f>COMPOSIÇÃO!J38</f>
        <v>23777.734575119997</v>
      </c>
      <c r="J11" s="51">
        <f t="shared" si="0"/>
        <v>0.24597128743970617</v>
      </c>
      <c r="K11" s="271"/>
    </row>
    <row r="12" spans="1:11" x14ac:dyDescent="0.3">
      <c r="A12" s="39">
        <v>6</v>
      </c>
      <c r="B12" s="39" t="str">
        <f>[1]COMPOSIÇÃO!D37</f>
        <v>INST. ELET./TELEFONICA/CABEAMENTO ESTRUTURADO</v>
      </c>
      <c r="C12" s="54"/>
      <c r="D12" s="54"/>
      <c r="E12" s="54"/>
      <c r="F12" s="53">
        <v>0.8</v>
      </c>
      <c r="G12" s="53">
        <v>0.2</v>
      </c>
      <c r="H12" s="54"/>
      <c r="I12" s="118">
        <f>COMPOSIÇÃO!J64</f>
        <v>5808.9685719999979</v>
      </c>
      <c r="J12" s="51">
        <f t="shared" si="0"/>
        <v>6.0091489112958113E-2</v>
      </c>
    </row>
    <row r="13" spans="1:11" x14ac:dyDescent="0.3">
      <c r="A13" s="39">
        <v>7</v>
      </c>
      <c r="B13" s="39" t="str">
        <f>[1]COMPOSIÇÃO!D59</f>
        <v>INSTALAÇÕES HIDROSSANITÁRIAS</v>
      </c>
      <c r="C13" s="54"/>
      <c r="D13" s="54"/>
      <c r="E13" s="54"/>
      <c r="F13" s="53">
        <v>0.8</v>
      </c>
      <c r="G13" s="53">
        <v>0.2</v>
      </c>
      <c r="H13" s="54"/>
      <c r="I13" s="118">
        <f>COMPOSIÇÃO!J174</f>
        <v>11699.743040655794</v>
      </c>
      <c r="J13" s="51">
        <f t="shared" si="0"/>
        <v>0.12102922796669856</v>
      </c>
    </row>
    <row r="14" spans="1:11" x14ac:dyDescent="0.3">
      <c r="A14" s="39">
        <v>8</v>
      </c>
      <c r="B14" s="39" t="str">
        <f>[1]COMPOSIÇÃO!D128</f>
        <v>ALVENARIAS E DIVISORIAS</v>
      </c>
      <c r="C14" s="54"/>
      <c r="D14" s="54"/>
      <c r="E14" s="53">
        <v>0.33333333333333298</v>
      </c>
      <c r="F14" s="53">
        <v>0.33333333333333298</v>
      </c>
      <c r="G14" s="53">
        <v>0.33333333333333298</v>
      </c>
      <c r="H14" s="54"/>
      <c r="I14" s="118">
        <f>COMPOSIÇÃO!J178</f>
        <v>9090.5962269999982</v>
      </c>
      <c r="J14" s="51">
        <f t="shared" si="0"/>
        <v>9.4038633095408775E-2</v>
      </c>
    </row>
    <row r="15" spans="1:11" x14ac:dyDescent="0.3">
      <c r="A15" s="39">
        <v>9</v>
      </c>
      <c r="B15" s="39" t="str">
        <f>[1]COMPOSIÇÃO!D132</f>
        <v>IMPERMEABILIZAÇÃO</v>
      </c>
      <c r="C15" s="54"/>
      <c r="D15" s="53">
        <v>0.5</v>
      </c>
      <c r="E15" s="53">
        <v>0.5</v>
      </c>
      <c r="F15" s="54"/>
      <c r="G15" s="54"/>
      <c r="H15" s="54"/>
      <c r="I15" s="118">
        <f>COMPOSIÇÃO!J183</f>
        <v>671.23139200000003</v>
      </c>
      <c r="J15" s="51">
        <f t="shared" si="0"/>
        <v>6.9436240504149411E-3</v>
      </c>
    </row>
    <row r="16" spans="1:11" x14ac:dyDescent="0.3">
      <c r="A16" s="39">
        <v>10</v>
      </c>
      <c r="B16" s="39" t="str">
        <f>[1]COMPOSIÇÃO!D136</f>
        <v>ESTRUTURA DE MADEIRA</v>
      </c>
      <c r="C16" s="54"/>
      <c r="D16" s="54"/>
      <c r="E16" s="84"/>
      <c r="F16" s="53">
        <v>0.5</v>
      </c>
      <c r="G16" s="53">
        <v>0.5</v>
      </c>
      <c r="H16" s="84"/>
      <c r="I16" s="118">
        <f>COMPOSIÇÃO!J187</f>
        <v>2539.04448</v>
      </c>
      <c r="J16" s="51">
        <f t="shared" si="0"/>
        <v>2.6265413874447186E-2</v>
      </c>
    </row>
    <row r="17" spans="1:10" x14ac:dyDescent="0.3">
      <c r="A17" s="39">
        <v>11</v>
      </c>
      <c r="B17" s="39" t="str">
        <f>[1]COMPOSIÇÃO!D140</f>
        <v>COBERTURAS</v>
      </c>
      <c r="C17" s="54"/>
      <c r="D17" s="54"/>
      <c r="E17" s="54"/>
      <c r="F17" s="53">
        <v>0.5</v>
      </c>
      <c r="G17" s="53">
        <v>0.5</v>
      </c>
      <c r="H17" s="84"/>
      <c r="I17" s="118">
        <f>COMPOSIÇÃO!J194</f>
        <v>4220.2478330000004</v>
      </c>
      <c r="J17" s="51">
        <f t="shared" si="0"/>
        <v>4.3656799579377147E-2</v>
      </c>
    </row>
    <row r="18" spans="1:10" x14ac:dyDescent="0.3">
      <c r="A18" s="39">
        <v>12</v>
      </c>
      <c r="B18" s="39" t="str">
        <f>[1]COMPOSIÇÃO!D146</f>
        <v>ESQUADRIAS DE MADEIRA</v>
      </c>
      <c r="C18" s="54"/>
      <c r="D18" s="54"/>
      <c r="E18" s="54"/>
      <c r="F18" s="54"/>
      <c r="G18" s="53">
        <v>1</v>
      </c>
      <c r="H18" s="39"/>
      <c r="I18" s="118">
        <f>COMPOSIÇÃO!J199</f>
        <v>1401.565932</v>
      </c>
      <c r="J18" s="51">
        <f t="shared" si="0"/>
        <v>1.4498646859587627E-2</v>
      </c>
    </row>
    <row r="19" spans="1:10" x14ac:dyDescent="0.3">
      <c r="A19" s="39">
        <v>13</v>
      </c>
      <c r="B19" s="39" t="str">
        <f>[1]COMPOSIÇÃO!D151</f>
        <v>ESQUADRIAS METÁLICAS - ( OBS.: OS VIDROS NÃO ESTÃO INCLUSOS NAS ESQUADRIAS )</v>
      </c>
      <c r="C19" s="54"/>
      <c r="D19" s="54"/>
      <c r="E19" s="54"/>
      <c r="F19" s="54"/>
      <c r="G19" s="53">
        <v>1</v>
      </c>
      <c r="H19" s="39"/>
      <c r="I19" s="118">
        <f>COMPOSIÇÃO!J205</f>
        <v>10697.013100119999</v>
      </c>
      <c r="J19" s="51">
        <f t="shared" si="0"/>
        <v>0.11065638215799792</v>
      </c>
    </row>
    <row r="20" spans="1:10" x14ac:dyDescent="0.3">
      <c r="A20" s="39">
        <v>14</v>
      </c>
      <c r="B20" s="39" t="str">
        <f>[1]COMPOSIÇÃO!D157</f>
        <v>VIDROS</v>
      </c>
      <c r="C20" s="54"/>
      <c r="D20" s="54"/>
      <c r="E20" s="54"/>
      <c r="F20" s="54"/>
      <c r="G20" s="53">
        <v>1</v>
      </c>
      <c r="H20" s="39"/>
      <c r="I20" s="118">
        <f>COMPOSIÇÃO!J209</f>
        <v>417.78034479999997</v>
      </c>
      <c r="J20" s="51">
        <f t="shared" si="0"/>
        <v>4.3217729154478015E-3</v>
      </c>
    </row>
    <row r="21" spans="1:10" x14ac:dyDescent="0.3">
      <c r="A21" s="39">
        <v>15</v>
      </c>
      <c r="B21" s="39" t="str">
        <f>[1]COMPOSIÇÃO!D161</f>
        <v>REVESTIMENTO DE PAREDES</v>
      </c>
      <c r="C21" s="54"/>
      <c r="D21" s="54"/>
      <c r="E21" s="54"/>
      <c r="F21" s="54"/>
      <c r="G21" s="53">
        <v>0.5</v>
      </c>
      <c r="H21" s="53">
        <v>0.5</v>
      </c>
      <c r="I21" s="118">
        <f>COMPOSIÇÃO!J216</f>
        <v>8987.3450962399984</v>
      </c>
      <c r="J21" s="51">
        <f t="shared" si="0"/>
        <v>9.2970540864737786E-2</v>
      </c>
    </row>
    <row r="22" spans="1:10" x14ac:dyDescent="0.3">
      <c r="A22" s="39">
        <v>16</v>
      </c>
      <c r="B22" s="39" t="str">
        <f>[1]COMPOSIÇÃO!D168</f>
        <v>FORROS</v>
      </c>
      <c r="C22" s="54"/>
      <c r="D22" s="54"/>
      <c r="E22" s="54"/>
      <c r="F22" s="53">
        <v>0.5</v>
      </c>
      <c r="G22" s="53">
        <v>0.5</v>
      </c>
      <c r="H22" s="54"/>
      <c r="I22" s="118">
        <f>COMPOSIÇÃO!J221</f>
        <v>1293.6067418399998</v>
      </c>
      <c r="J22" s="51">
        <f t="shared" si="0"/>
        <v>1.3381851611044935E-2</v>
      </c>
    </row>
    <row r="23" spans="1:10" x14ac:dyDescent="0.3">
      <c r="A23" s="39">
        <v>17</v>
      </c>
      <c r="B23" s="39" t="str">
        <f>[1]COMPOSIÇÃO!D173</f>
        <v>REVESTIMENTO DE PISO</v>
      </c>
      <c r="C23" s="54"/>
      <c r="D23" s="54"/>
      <c r="E23" s="54"/>
      <c r="F23" s="53">
        <v>0.5</v>
      </c>
      <c r="G23" s="53">
        <v>0.5</v>
      </c>
      <c r="H23" s="39"/>
      <c r="I23" s="118">
        <f>COMPOSIÇÃO!J229</f>
        <v>5329.9402208800002</v>
      </c>
      <c r="J23" s="51">
        <f t="shared" si="0"/>
        <v>5.5136129725256187E-2</v>
      </c>
    </row>
    <row r="24" spans="1:10" x14ac:dyDescent="0.3">
      <c r="A24" s="39">
        <v>18</v>
      </c>
      <c r="B24" s="39" t="str">
        <f>[1]COMPOSIÇÃO!D181</f>
        <v>FERRAGENS</v>
      </c>
      <c r="C24" s="54"/>
      <c r="D24" s="54"/>
      <c r="E24" s="54"/>
      <c r="F24" s="54"/>
      <c r="G24" s="53">
        <v>1</v>
      </c>
      <c r="H24" s="39"/>
      <c r="I24" s="118">
        <f>COMPOSIÇÃO!J235</f>
        <v>759.70648799999992</v>
      </c>
      <c r="J24" s="51">
        <f t="shared" si="0"/>
        <v>7.858864028416998E-3</v>
      </c>
    </row>
    <row r="25" spans="1:10" x14ac:dyDescent="0.3">
      <c r="A25" s="39">
        <v>19</v>
      </c>
      <c r="B25" s="39" t="str">
        <f>[1]COMPOSIÇÃO!D186</f>
        <v>PINTURA</v>
      </c>
      <c r="C25" s="54"/>
      <c r="D25" s="54"/>
      <c r="E25" s="54"/>
      <c r="F25" s="54"/>
      <c r="G25" s="53">
        <v>0.5</v>
      </c>
      <c r="H25" s="53">
        <v>0.5</v>
      </c>
      <c r="I25" s="118">
        <f>COMPOSIÇÃO!J246</f>
        <v>5254.2242693599992</v>
      </c>
      <c r="J25" s="51">
        <f t="shared" si="0"/>
        <v>5.4352878065336313E-2</v>
      </c>
    </row>
    <row r="26" spans="1:10" x14ac:dyDescent="0.3">
      <c r="A26" s="39">
        <v>20</v>
      </c>
      <c r="B26" s="39" t="str">
        <f>[1]COMPOSIÇÃO!D195</f>
        <v>DIVERSOS</v>
      </c>
      <c r="C26" s="54"/>
      <c r="D26" s="54"/>
      <c r="E26" s="54"/>
      <c r="F26" s="54"/>
      <c r="G26" s="54"/>
      <c r="H26" s="53">
        <v>1</v>
      </c>
      <c r="I26" s="118">
        <f>COMPOSIÇÃO!J253</f>
        <v>671.98656447999997</v>
      </c>
      <c r="J26" s="51">
        <f t="shared" si="0"/>
        <v>6.9514360119185816E-3</v>
      </c>
    </row>
    <row r="27" spans="1:10" x14ac:dyDescent="0.3">
      <c r="A27" s="39"/>
      <c r="B27" s="25" t="s">
        <v>380</v>
      </c>
      <c r="C27" s="118">
        <f>$I$7*C7+$I$8*C8+$I$9*C9+$I$10*C10+$I$11*C11+$I$12*C12+$I$13*C13+$I$14*C14+$I$15*C15+$I$16*C16+$I$17*C17+$I$18*C18+$I$19*C19+$I$20*C20+$I$21*C21+$I$22*C22+$I$23*C23+$I$24*C24+$I$25*C25+$I$26*C26</f>
        <v>2756.0258746000004</v>
      </c>
      <c r="D27" s="118">
        <f>$I$7*D7+$I$8*D8+$I$9*D9+$I$10*D10+$I$11*D11+$I$12*D12+$I$13*D13+$I$14*D14+$I$15*D15+$I$16*D16+$I$17*D17+$I$18*D18+$I$19*D19+$I$20*D20+$I$21*D21+$I$22*D22+$I$23*D23+$I$24*D24+$I$25*D25+$I$26*D26+C27</f>
        <v>18509.218567471999</v>
      </c>
      <c r="E27" s="118">
        <f t="shared" ref="E27:H27" si="1">$I$7*E7+$I$8*E8+$I$9*E9+$I$10*E10+$I$11*E11+$I$12*E12+$I$13*E13+$I$14*E14+$I$15*E15+$I$16*E16+$I$17*E17+$I$18*E18+$I$19*E19+$I$20*E20+$I$21*E21+$I$22*E22+$I$23*E23+$I$24*E24+$I$25*E25+$I$26*E26+D27</f>
        <v>31442.544265453329</v>
      </c>
      <c r="F27" s="118">
        <f>$I$7*F7+$I$8*F8+$I$9*F9+$I$10*F10+$I$11*F11+$I$12*F12+$I$13*F13+$I$14*F14+$I$15*F15+$I$16*F16+$I$17*F17+$I$18*F18+$I$19*F19+$I$20*F20+$I$21*F21+$I$22*F22+$I$23*F23+$I$24*F24+$I$25*F25+$I$26*F26+E27</f>
        <v>55199.340650571292</v>
      </c>
      <c r="G27" s="118">
        <f t="shared" si="1"/>
        <v>88847.760615815787</v>
      </c>
      <c r="H27" s="118">
        <f t="shared" si="1"/>
        <v>96668.740577895791</v>
      </c>
      <c r="I27" s="48">
        <f>SUM(I7:I26)</f>
        <v>96668.740577895805</v>
      </c>
      <c r="J27" s="52">
        <v>1</v>
      </c>
    </row>
    <row r="28" spans="1:10" x14ac:dyDescent="0.3">
      <c r="A28" s="39"/>
      <c r="B28" s="25" t="s">
        <v>381</v>
      </c>
      <c r="C28" s="284">
        <f t="shared" ref="C28:H28" si="2">C27/$I$27</f>
        <v>2.8510000835059921E-2</v>
      </c>
      <c r="D28" s="284">
        <f t="shared" si="2"/>
        <v>0.19147056697772166</v>
      </c>
      <c r="E28" s="284">
        <f t="shared" si="2"/>
        <v>0.32526072107163623</v>
      </c>
      <c r="F28" s="284">
        <f t="shared" si="2"/>
        <v>0.57101541119273802</v>
      </c>
      <c r="G28" s="284">
        <f t="shared" si="2"/>
        <v>0.91909504649253326</v>
      </c>
      <c r="H28" s="284">
        <f t="shared" si="2"/>
        <v>0.99999999999999989</v>
      </c>
      <c r="I28" s="118"/>
      <c r="J28" s="51"/>
    </row>
    <row r="29" spans="1:10" x14ac:dyDescent="0.3">
      <c r="A29" s="1"/>
      <c r="B29" s="1"/>
      <c r="I29" s="13"/>
      <c r="J29" s="55"/>
    </row>
    <row r="30" spans="1:10" x14ac:dyDescent="0.3">
      <c r="C30" s="1"/>
      <c r="D30" s="1"/>
      <c r="E30" s="1"/>
      <c r="F30" s="1"/>
      <c r="G30" s="1"/>
      <c r="H30" s="1"/>
    </row>
    <row r="32" spans="1:10" x14ac:dyDescent="0.3">
      <c r="A32" s="275"/>
      <c r="B32" s="275"/>
      <c r="C32" s="286"/>
      <c r="D32" s="286"/>
      <c r="E32" s="286"/>
      <c r="F32" s="286"/>
      <c r="G32" s="286"/>
      <c r="H32" s="286"/>
      <c r="I32" s="285"/>
      <c r="J32" s="281"/>
    </row>
    <row r="33" spans="1:10" x14ac:dyDescent="0.3">
      <c r="A33" s="362" t="s">
        <v>405</v>
      </c>
      <c r="B33" s="362"/>
      <c r="C33" s="362"/>
      <c r="D33" s="362"/>
      <c r="E33" s="362" t="s">
        <v>405</v>
      </c>
      <c r="F33" s="362"/>
      <c r="G33" s="362"/>
      <c r="H33" s="362"/>
      <c r="I33" s="362"/>
      <c r="J33" s="362"/>
    </row>
    <row r="34" spans="1:10" x14ac:dyDescent="0.3">
      <c r="A34" s="365" t="s">
        <v>401</v>
      </c>
      <c r="B34" s="365"/>
      <c r="C34" s="365"/>
      <c r="D34" s="365"/>
      <c r="E34" s="362" t="s">
        <v>658</v>
      </c>
      <c r="F34" s="362"/>
      <c r="G34" s="362"/>
      <c r="H34" s="362"/>
      <c r="I34" s="362"/>
      <c r="J34" s="362"/>
    </row>
    <row r="35" spans="1:10" x14ac:dyDescent="0.3">
      <c r="A35" s="365" t="s">
        <v>402</v>
      </c>
      <c r="B35" s="365"/>
      <c r="C35" s="365"/>
      <c r="D35" s="365"/>
      <c r="E35" s="362" t="s">
        <v>659</v>
      </c>
      <c r="F35" s="362"/>
      <c r="G35" s="362"/>
      <c r="H35" s="362"/>
      <c r="I35" s="362"/>
      <c r="J35" s="362"/>
    </row>
    <row r="36" spans="1:10" x14ac:dyDescent="0.3">
      <c r="A36" s="365" t="s">
        <v>403</v>
      </c>
      <c r="B36" s="365"/>
      <c r="C36" s="365"/>
      <c r="D36" s="365"/>
      <c r="E36" s="362"/>
      <c r="F36" s="362"/>
      <c r="G36" s="362"/>
      <c r="H36" s="362"/>
      <c r="I36" s="362"/>
      <c r="J36" s="362"/>
    </row>
    <row r="37" spans="1:10" x14ac:dyDescent="0.3">
      <c r="A37" s="365" t="s">
        <v>404</v>
      </c>
      <c r="B37" s="365"/>
      <c r="C37" s="365"/>
      <c r="D37" s="365"/>
      <c r="E37" s="362"/>
      <c r="F37" s="362"/>
      <c r="G37" s="362"/>
      <c r="H37" s="362"/>
      <c r="I37" s="362"/>
      <c r="J37" s="362"/>
    </row>
    <row r="38" spans="1:10" x14ac:dyDescent="0.3">
      <c r="A38" s="366"/>
      <c r="B38" s="366"/>
      <c r="C38" s="366"/>
      <c r="D38" s="366"/>
      <c r="E38" s="366"/>
      <c r="F38" s="366"/>
      <c r="G38" s="366"/>
      <c r="H38" s="366"/>
      <c r="I38" s="366"/>
      <c r="J38" s="366"/>
    </row>
    <row r="39" spans="1:10" x14ac:dyDescent="0.3">
      <c r="A39" s="459"/>
      <c r="B39" s="459"/>
      <c r="C39" s="459"/>
      <c r="D39" s="459"/>
      <c r="E39" s="459"/>
      <c r="F39" s="459"/>
      <c r="G39" s="459"/>
      <c r="H39" s="459"/>
      <c r="I39" s="459"/>
      <c r="J39" s="459"/>
    </row>
  </sheetData>
  <mergeCells count="17">
    <mergeCell ref="A38:J38"/>
    <mergeCell ref="A39:J39"/>
    <mergeCell ref="A34:D34"/>
    <mergeCell ref="E34:J34"/>
    <mergeCell ref="A35:D35"/>
    <mergeCell ref="E35:J35"/>
    <mergeCell ref="A36:D36"/>
    <mergeCell ref="E36:J36"/>
    <mergeCell ref="A37:D37"/>
    <mergeCell ref="E37:J37"/>
    <mergeCell ref="A33:D33"/>
    <mergeCell ref="E33:J33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AE7A-648D-4DD0-8FB3-FF14C7D3B0BF}">
  <sheetPr>
    <pageSetUpPr fitToPage="1"/>
  </sheetPr>
  <dimension ref="A1:K31"/>
  <sheetViews>
    <sheetView showGridLines="0" workbookViewId="0">
      <selection activeCell="E20" sqref="A1:J20"/>
    </sheetView>
  </sheetViews>
  <sheetFormatPr defaultRowHeight="14.4" x14ac:dyDescent="0.3"/>
  <cols>
    <col min="2" max="2" width="34.33203125" bestFit="1" customWidth="1"/>
    <col min="3" max="8" width="12.33203125" bestFit="1" customWidth="1"/>
    <col min="9" max="9" width="16.88671875" bestFit="1" customWidth="1"/>
    <col min="10" max="10" width="12.6640625" bestFit="1" customWidth="1"/>
  </cols>
  <sheetData>
    <row r="1" spans="1:11" x14ac:dyDescent="0.3">
      <c r="A1" s="428" t="s">
        <v>163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1" x14ac:dyDescent="0.3">
      <c r="A2" s="431" t="s">
        <v>164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1" x14ac:dyDescent="0.3">
      <c r="A3" s="431" t="s">
        <v>664</v>
      </c>
      <c r="B3" s="432"/>
      <c r="C3" s="432"/>
      <c r="D3" s="432"/>
      <c r="E3" s="432"/>
      <c r="F3" s="432"/>
      <c r="G3" s="432"/>
      <c r="H3" s="432"/>
      <c r="I3" s="432"/>
      <c r="J3" s="433"/>
    </row>
    <row r="4" spans="1:11" x14ac:dyDescent="0.3">
      <c r="A4" s="431" t="s">
        <v>665</v>
      </c>
      <c r="B4" s="432"/>
      <c r="C4" s="432"/>
      <c r="D4" s="432"/>
      <c r="E4" s="432"/>
      <c r="F4" s="432"/>
      <c r="G4" s="432"/>
      <c r="H4" s="432"/>
      <c r="I4" s="432"/>
      <c r="J4" s="433"/>
    </row>
    <row r="5" spans="1:11" x14ac:dyDescent="0.3">
      <c r="A5" s="336" t="s">
        <v>661</v>
      </c>
      <c r="B5" s="337"/>
      <c r="C5" s="337"/>
      <c r="D5" s="337"/>
      <c r="E5" s="337"/>
      <c r="F5" s="337"/>
      <c r="G5" s="337"/>
      <c r="H5" s="337"/>
      <c r="I5" s="337"/>
      <c r="J5" s="338"/>
    </row>
    <row r="6" spans="1:11" x14ac:dyDescent="0.3">
      <c r="A6" s="25" t="s">
        <v>165</v>
      </c>
      <c r="B6" s="25" t="s">
        <v>229</v>
      </c>
      <c r="C6" s="25" t="s">
        <v>230</v>
      </c>
      <c r="D6" s="25" t="s">
        <v>231</v>
      </c>
      <c r="E6" s="25" t="s">
        <v>232</v>
      </c>
      <c r="F6" s="25" t="s">
        <v>233</v>
      </c>
      <c r="G6" s="25" t="s">
        <v>234</v>
      </c>
      <c r="H6" s="25" t="s">
        <v>235</v>
      </c>
      <c r="I6" s="48" t="s">
        <v>378</v>
      </c>
      <c r="J6" s="52" t="s">
        <v>379</v>
      </c>
    </row>
    <row r="7" spans="1:11" x14ac:dyDescent="0.3">
      <c r="A7" s="39">
        <v>1</v>
      </c>
      <c r="B7" s="39" t="str">
        <f>[2]ORÇAMENTO!D9</f>
        <v>SERVIÇOS PRELIMINARES</v>
      </c>
      <c r="C7" s="81">
        <v>0.4</v>
      </c>
      <c r="D7" s="81">
        <v>0.2</v>
      </c>
      <c r="E7" s="81">
        <v>0.1</v>
      </c>
      <c r="F7" s="81">
        <v>0.1</v>
      </c>
      <c r="G7" s="81">
        <v>0.1</v>
      </c>
      <c r="H7" s="81">
        <v>0.1</v>
      </c>
      <c r="I7" s="118">
        <f>ORÇAMENTO!J12</f>
        <v>4412.14191716</v>
      </c>
      <c r="J7" s="51">
        <f>(I7*$J$12)/$I$12</f>
        <v>6.7741480601358527E-3</v>
      </c>
    </row>
    <row r="8" spans="1:11" s="123" customFormat="1" x14ac:dyDescent="0.3">
      <c r="A8" s="39">
        <v>2</v>
      </c>
      <c r="B8" s="39" t="s">
        <v>177</v>
      </c>
      <c r="C8" s="81">
        <v>0.4</v>
      </c>
      <c r="D8" s="81">
        <v>0.1</v>
      </c>
      <c r="E8" s="81">
        <v>0.1</v>
      </c>
      <c r="F8" s="81">
        <v>0.1</v>
      </c>
      <c r="G8" s="81">
        <v>0.1</v>
      </c>
      <c r="H8" s="81">
        <v>0.2</v>
      </c>
      <c r="I8" s="118">
        <f>ORÇAMENTO!J16</f>
        <v>3843.4350501680001</v>
      </c>
      <c r="J8" s="51">
        <f>(I8*$J$12)/$I$12</f>
        <v>5.9009883585323351E-3</v>
      </c>
    </row>
    <row r="9" spans="1:11" x14ac:dyDescent="0.3">
      <c r="A9" s="39">
        <v>3</v>
      </c>
      <c r="B9" s="39" t="str">
        <f>[2]ORÇAMENTO!D13</f>
        <v xml:space="preserve"> ADMINISTRAÇÃO - MENSALISTAS</v>
      </c>
      <c r="C9" s="81">
        <v>0.1234</v>
      </c>
      <c r="D9" s="81">
        <v>0.1234</v>
      </c>
      <c r="E9" s="81">
        <v>0.1234</v>
      </c>
      <c r="F9" s="81">
        <v>0.1234</v>
      </c>
      <c r="G9" s="81">
        <v>0.1234</v>
      </c>
      <c r="H9" s="81">
        <v>0.38279999999999997</v>
      </c>
      <c r="I9" s="118">
        <f>ORÇAMENTO!J22</f>
        <v>42185.599680000007</v>
      </c>
      <c r="J9" s="51">
        <f>(I9*$J$12)/$I$12</f>
        <v>6.4769335076575368E-2</v>
      </c>
    </row>
    <row r="10" spans="1:11" x14ac:dyDescent="0.3">
      <c r="A10" s="39">
        <v>4</v>
      </c>
      <c r="B10" s="39" t="s">
        <v>510</v>
      </c>
      <c r="C10" s="81">
        <v>0.1</v>
      </c>
      <c r="D10" s="81">
        <v>0.2</v>
      </c>
      <c r="E10" s="81">
        <v>0.1</v>
      </c>
      <c r="F10" s="81">
        <v>0.1</v>
      </c>
      <c r="G10" s="81">
        <v>0.25</v>
      </c>
      <c r="H10" s="81">
        <v>0.25</v>
      </c>
      <c r="I10" s="118">
        <f>ORÇAMENTO!J26</f>
        <v>20866.941230027609</v>
      </c>
      <c r="J10" s="51">
        <f t="shared" ref="J10:J11" si="0">(I10*$J$12)/$I$12</f>
        <v>3.2037897263592102E-2</v>
      </c>
    </row>
    <row r="11" spans="1:11" x14ac:dyDescent="0.3">
      <c r="A11" s="39">
        <v>5</v>
      </c>
      <c r="B11" s="39" t="s">
        <v>511</v>
      </c>
      <c r="C11" s="81">
        <v>2.3400000000000001E-2</v>
      </c>
      <c r="D11" s="81">
        <v>0.17730000000000001</v>
      </c>
      <c r="E11" s="81">
        <v>0.14069999999999999</v>
      </c>
      <c r="F11" s="81">
        <v>0.2432</v>
      </c>
      <c r="G11" s="81">
        <v>0.33210000000000001</v>
      </c>
      <c r="H11" s="81">
        <v>8.3299999999999999E-2</v>
      </c>
      <c r="I11" s="118">
        <f>ORÇAMENTO!J30</f>
        <v>580012.44346737477</v>
      </c>
      <c r="J11" s="51">
        <f t="shared" si="0"/>
        <v>0.89051763124116423</v>
      </c>
    </row>
    <row r="12" spans="1:11" x14ac:dyDescent="0.3">
      <c r="A12" s="39"/>
      <c r="B12" s="25" t="s">
        <v>380</v>
      </c>
      <c r="C12" s="118">
        <f>I7*C7+I9*C9+I11*C11+C10*I10+C8*I8</f>
        <v>24166.919087582533</v>
      </c>
      <c r="D12" s="118">
        <f>C12+I7*D7+I9*D9+I11*D11+I10*D10+D8*I8</f>
        <v>137648.98844931441</v>
      </c>
      <c r="E12" s="118">
        <f>D12+I7*E7+I9*E9+I11*E11+I10*E10+E8*I8</f>
        <v>227374.69406542156</v>
      </c>
      <c r="F12" s="118">
        <f>E12+I7*F7+I9*F9+I11*F11+I10*F10+F8*I8</f>
        <v>376551.67513693467</v>
      </c>
      <c r="G12" s="118">
        <f>F12+I7*G7+I9*G9+I11*G11+I10*G10+G8*I8</f>
        <v>580421.8036172014</v>
      </c>
      <c r="H12" s="118">
        <f>G12+I7*H7+I9*H9+I11*H11+I10*H10+H8*I8</f>
        <v>651312.12422479433</v>
      </c>
      <c r="I12" s="48">
        <f>SUM(I7:I11)</f>
        <v>651320.56134473043</v>
      </c>
      <c r="J12" s="49">
        <v>1</v>
      </c>
    </row>
    <row r="13" spans="1:11" x14ac:dyDescent="0.3">
      <c r="A13" s="39"/>
      <c r="B13" s="25" t="s">
        <v>381</v>
      </c>
      <c r="C13" s="50">
        <f t="shared" ref="C13:G13" si="1">(C12*$J$12)/$I$12</f>
        <v>3.710449281331913E-2</v>
      </c>
      <c r="D13" s="50">
        <f t="shared" si="1"/>
        <v>0.21133831268142578</v>
      </c>
      <c r="E13" s="50">
        <f t="shared" si="1"/>
        <v>0.34909798271373299</v>
      </c>
      <c r="F13" s="50">
        <f t="shared" si="1"/>
        <v>0.57813570994825958</v>
      </c>
      <c r="G13" s="50">
        <f t="shared" si="1"/>
        <v>0.89114613918966423</v>
      </c>
      <c r="H13" s="50">
        <f>(H12*$J$12)/$I$12</f>
        <v>0.9999870461329845</v>
      </c>
      <c r="I13" s="118"/>
      <c r="J13" s="82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3"/>
      <c r="J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3"/>
      <c r="J15" s="1"/>
    </row>
    <row r="16" spans="1:11" x14ac:dyDescent="0.3">
      <c r="A16" s="362" t="s">
        <v>682</v>
      </c>
      <c r="B16" s="362"/>
      <c r="C16" s="362"/>
      <c r="D16" s="362" t="s">
        <v>681</v>
      </c>
      <c r="E16" s="362"/>
      <c r="F16" s="362"/>
      <c r="G16" s="362"/>
      <c r="H16" s="362" t="s">
        <v>681</v>
      </c>
      <c r="I16" s="362"/>
      <c r="J16" s="362"/>
      <c r="K16" s="281"/>
    </row>
    <row r="17" spans="1:11" x14ac:dyDescent="0.3">
      <c r="A17" s="365" t="s">
        <v>401</v>
      </c>
      <c r="B17" s="365"/>
      <c r="C17" s="365"/>
      <c r="D17" s="362" t="s">
        <v>658</v>
      </c>
      <c r="E17" s="362"/>
      <c r="F17" s="362"/>
      <c r="G17" s="362"/>
      <c r="H17" s="362" t="s">
        <v>683</v>
      </c>
      <c r="I17" s="362"/>
      <c r="J17" s="362"/>
      <c r="K17" s="281"/>
    </row>
    <row r="18" spans="1:11" x14ac:dyDescent="0.3">
      <c r="A18" s="365" t="s">
        <v>402</v>
      </c>
      <c r="B18" s="365"/>
      <c r="C18" s="365"/>
      <c r="D18" s="362" t="s">
        <v>659</v>
      </c>
      <c r="E18" s="362"/>
      <c r="F18" s="362"/>
      <c r="G18" s="362"/>
      <c r="H18" s="362" t="s">
        <v>403</v>
      </c>
      <c r="I18" s="362"/>
      <c r="J18" s="362"/>
      <c r="K18" s="281"/>
    </row>
    <row r="19" spans="1:11" x14ac:dyDescent="0.3">
      <c r="A19" s="365" t="s">
        <v>403</v>
      </c>
      <c r="B19" s="365"/>
      <c r="C19" s="365"/>
      <c r="D19" s="282"/>
      <c r="H19" s="362" t="s">
        <v>684</v>
      </c>
      <c r="I19" s="362"/>
      <c r="J19" s="362"/>
    </row>
    <row r="20" spans="1:11" x14ac:dyDescent="0.3">
      <c r="A20" s="365" t="s">
        <v>404</v>
      </c>
      <c r="B20" s="365"/>
      <c r="C20" s="365"/>
      <c r="D20" s="282"/>
      <c r="E20" s="362"/>
      <c r="F20" s="362"/>
      <c r="G20" s="362"/>
      <c r="H20" s="362"/>
      <c r="I20" s="362"/>
      <c r="J20" s="362"/>
    </row>
    <row r="21" spans="1:11" x14ac:dyDescent="0.3">
      <c r="A21" s="366"/>
      <c r="B21" s="366"/>
      <c r="C21" s="366"/>
      <c r="D21" s="282"/>
      <c r="E21" s="362"/>
      <c r="F21" s="362"/>
      <c r="G21" s="362"/>
      <c r="H21" s="362"/>
      <c r="I21" s="362"/>
      <c r="J21" s="362"/>
    </row>
    <row r="22" spans="1:11" x14ac:dyDescent="0.3">
      <c r="A22" s="366"/>
      <c r="B22" s="366"/>
      <c r="C22" s="366"/>
      <c r="D22" s="282"/>
      <c r="E22" s="362"/>
      <c r="F22" s="362"/>
      <c r="G22" s="362"/>
      <c r="H22" s="362"/>
      <c r="I22" s="362"/>
      <c r="J22" s="362"/>
    </row>
    <row r="24" spans="1:11" x14ac:dyDescent="0.3">
      <c r="H24" s="271"/>
      <c r="I24" s="271"/>
    </row>
    <row r="25" spans="1:11" x14ac:dyDescent="0.3">
      <c r="E25" s="362"/>
      <c r="F25" s="362"/>
      <c r="G25" s="362"/>
      <c r="H25" s="362"/>
      <c r="I25" s="362"/>
      <c r="J25" s="362"/>
    </row>
    <row r="26" spans="1:11" x14ac:dyDescent="0.3">
      <c r="E26" s="362"/>
      <c r="F26" s="362"/>
      <c r="G26" s="362"/>
      <c r="H26" s="362"/>
      <c r="I26" s="362"/>
      <c r="J26" s="362"/>
    </row>
    <row r="27" spans="1:11" x14ac:dyDescent="0.3">
      <c r="A27" s="362"/>
      <c r="B27" s="362"/>
      <c r="C27" s="362"/>
      <c r="D27" s="362"/>
      <c r="E27" s="362"/>
      <c r="F27" s="362"/>
      <c r="G27" s="362"/>
      <c r="H27" s="362"/>
      <c r="I27" s="362"/>
      <c r="J27" s="362"/>
    </row>
    <row r="28" spans="1:11" x14ac:dyDescent="0.3">
      <c r="A28" s="365"/>
      <c r="B28" s="365"/>
      <c r="C28" s="365"/>
      <c r="D28" s="365"/>
    </row>
    <row r="29" spans="1:11" x14ac:dyDescent="0.3">
      <c r="A29" s="365"/>
      <c r="B29" s="365"/>
      <c r="C29" s="365"/>
      <c r="D29" s="365"/>
    </row>
    <row r="30" spans="1:11" x14ac:dyDescent="0.3">
      <c r="A30" s="365"/>
      <c r="B30" s="365"/>
      <c r="C30" s="365"/>
      <c r="D30" s="365"/>
    </row>
    <row r="31" spans="1:11" x14ac:dyDescent="0.3">
      <c r="A31" s="365"/>
      <c r="B31" s="365"/>
      <c r="C31" s="365"/>
      <c r="D31" s="365"/>
    </row>
  </sheetData>
  <mergeCells count="30">
    <mergeCell ref="A22:C22"/>
    <mergeCell ref="H19:J19"/>
    <mergeCell ref="A1:J1"/>
    <mergeCell ref="A2:J2"/>
    <mergeCell ref="A3:J3"/>
    <mergeCell ref="A4:J4"/>
    <mergeCell ref="A5:J5"/>
    <mergeCell ref="E20:J20"/>
    <mergeCell ref="E22:J22"/>
    <mergeCell ref="H16:J16"/>
    <mergeCell ref="H17:J17"/>
    <mergeCell ref="H18:J18"/>
    <mergeCell ref="A21:C21"/>
    <mergeCell ref="E21:J21"/>
    <mergeCell ref="A29:D29"/>
    <mergeCell ref="A30:D30"/>
    <mergeCell ref="A31:D31"/>
    <mergeCell ref="A16:C16"/>
    <mergeCell ref="A17:C17"/>
    <mergeCell ref="A18:C18"/>
    <mergeCell ref="A19:C19"/>
    <mergeCell ref="A20:C20"/>
    <mergeCell ref="D17:G17"/>
    <mergeCell ref="D18:G18"/>
    <mergeCell ref="D16:G16"/>
    <mergeCell ref="E25:J25"/>
    <mergeCell ref="E26:J26"/>
    <mergeCell ref="E27:J27"/>
    <mergeCell ref="A27:D27"/>
    <mergeCell ref="A28:D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D97E-08BB-447A-8B07-1CEAEEE2C9A5}">
  <sheetPr>
    <pageSetUpPr fitToPage="1"/>
  </sheetPr>
  <dimension ref="A1:J18"/>
  <sheetViews>
    <sheetView showGridLines="0" topLeftCell="A7" workbookViewId="0">
      <selection activeCell="J23" sqref="J23"/>
    </sheetView>
  </sheetViews>
  <sheetFormatPr defaultRowHeight="14.4" x14ac:dyDescent="0.3"/>
  <cols>
    <col min="1" max="1" width="16.21875" customWidth="1"/>
    <col min="2" max="2" width="10.44140625" customWidth="1"/>
    <col min="3" max="4" width="17.88671875" customWidth="1"/>
    <col min="5" max="5" width="8.88671875" bestFit="1" customWidth="1"/>
    <col min="6" max="6" width="9.109375" customWidth="1"/>
    <col min="7" max="7" width="8.33203125" customWidth="1"/>
    <col min="8" max="8" width="13.109375" customWidth="1"/>
    <col min="9" max="9" width="11.21875" customWidth="1"/>
    <col min="10" max="10" width="17.88671875" customWidth="1"/>
  </cols>
  <sheetData>
    <row r="1" spans="1:10" x14ac:dyDescent="0.3">
      <c r="A1" s="428" t="s">
        <v>163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0" x14ac:dyDescent="0.3">
      <c r="A2" s="431" t="s">
        <v>164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x14ac:dyDescent="0.3">
      <c r="A3" s="431" t="s">
        <v>639</v>
      </c>
      <c r="B3" s="432"/>
      <c r="C3" s="432"/>
      <c r="D3" s="432"/>
      <c r="E3" s="432"/>
      <c r="F3" s="432"/>
      <c r="G3" s="432"/>
      <c r="H3" s="432"/>
      <c r="I3" s="432"/>
      <c r="J3" s="433"/>
    </row>
    <row r="4" spans="1:10" x14ac:dyDescent="0.3">
      <c r="A4" s="431" t="s">
        <v>640</v>
      </c>
      <c r="B4" s="432"/>
      <c r="C4" s="432"/>
      <c r="D4" s="432"/>
      <c r="E4" s="432"/>
      <c r="F4" s="432"/>
      <c r="G4" s="432"/>
      <c r="H4" s="432"/>
      <c r="I4" s="432"/>
      <c r="J4" s="433"/>
    </row>
    <row r="5" spans="1:10" x14ac:dyDescent="0.3">
      <c r="A5" s="461"/>
      <c r="B5" s="462"/>
      <c r="C5" s="462"/>
      <c r="D5" s="462"/>
      <c r="E5" s="462"/>
      <c r="F5" s="462"/>
      <c r="G5" s="462"/>
      <c r="H5" s="462"/>
      <c r="I5" s="462"/>
      <c r="J5" s="463"/>
    </row>
    <row r="6" spans="1:10" x14ac:dyDescent="0.3">
      <c r="A6" s="460" t="s">
        <v>641</v>
      </c>
      <c r="B6" s="460"/>
      <c r="C6" s="460"/>
      <c r="D6" s="460"/>
      <c r="E6" s="460"/>
      <c r="F6" s="460"/>
      <c r="G6" s="460"/>
      <c r="H6" s="460"/>
      <c r="I6" s="460"/>
      <c r="J6" s="460"/>
    </row>
    <row r="7" spans="1:10" ht="27.6" x14ac:dyDescent="0.3">
      <c r="A7" s="276" t="s">
        <v>642</v>
      </c>
      <c r="B7" s="277" t="s">
        <v>643</v>
      </c>
      <c r="C7" s="276" t="s">
        <v>644</v>
      </c>
      <c r="D7" s="276" t="s">
        <v>645</v>
      </c>
      <c r="E7" s="276" t="s">
        <v>646</v>
      </c>
      <c r="F7" s="276" t="s">
        <v>647</v>
      </c>
      <c r="G7" s="276" t="s">
        <v>648</v>
      </c>
      <c r="H7" s="276" t="s">
        <v>649</v>
      </c>
      <c r="I7" s="276" t="s">
        <v>650</v>
      </c>
      <c r="J7" s="276" t="s">
        <v>651</v>
      </c>
    </row>
    <row r="8" spans="1:10" ht="15" thickBot="1" x14ac:dyDescent="0.35">
      <c r="A8" s="278">
        <v>3</v>
      </c>
      <c r="B8" s="279">
        <v>6.16</v>
      </c>
      <c r="C8" s="279">
        <v>0.28000000000000003</v>
      </c>
      <c r="D8" s="279">
        <v>0.12</v>
      </c>
      <c r="E8" s="279">
        <v>0.97</v>
      </c>
      <c r="F8" s="279">
        <v>2.4</v>
      </c>
      <c r="G8" s="279">
        <v>0.65</v>
      </c>
      <c r="H8" s="279">
        <v>3</v>
      </c>
      <c r="I8" s="279">
        <v>4.5</v>
      </c>
      <c r="J8" s="280">
        <v>23.88</v>
      </c>
    </row>
    <row r="9" spans="1:10" x14ac:dyDescent="0.3">
      <c r="A9" s="464" t="s">
        <v>652</v>
      </c>
      <c r="B9" s="464"/>
      <c r="C9" s="464"/>
      <c r="D9" s="464"/>
      <c r="E9" s="464"/>
      <c r="F9" s="464"/>
      <c r="G9" s="464"/>
      <c r="H9" s="464"/>
      <c r="I9" s="464"/>
      <c r="J9" s="464"/>
    </row>
    <row r="12" spans="1:10" x14ac:dyDescent="0.3">
      <c r="A12" s="275"/>
      <c r="B12" s="275"/>
      <c r="C12" s="275"/>
      <c r="D12" s="1"/>
      <c r="E12" s="362"/>
      <c r="F12" s="362"/>
      <c r="G12" s="362"/>
      <c r="H12" s="362"/>
      <c r="I12" s="362"/>
      <c r="J12" s="362"/>
    </row>
    <row r="13" spans="1:10" x14ac:dyDescent="0.3">
      <c r="A13" s="362" t="s">
        <v>682</v>
      </c>
      <c r="B13" s="362"/>
      <c r="C13" s="362"/>
      <c r="D13" s="362" t="s">
        <v>681</v>
      </c>
      <c r="E13" s="362"/>
      <c r="F13" s="362"/>
      <c r="G13" s="362"/>
      <c r="H13" s="362" t="s">
        <v>681</v>
      </c>
      <c r="I13" s="362"/>
      <c r="J13" s="362"/>
    </row>
    <row r="14" spans="1:10" x14ac:dyDescent="0.3">
      <c r="A14" s="365" t="s">
        <v>401</v>
      </c>
      <c r="B14" s="365"/>
      <c r="C14" s="365"/>
      <c r="D14" s="362" t="s">
        <v>658</v>
      </c>
      <c r="E14" s="362"/>
      <c r="F14" s="362"/>
      <c r="G14" s="362"/>
      <c r="H14" s="362" t="s">
        <v>683</v>
      </c>
      <c r="I14" s="362"/>
      <c r="J14" s="362"/>
    </row>
    <row r="15" spans="1:10" x14ac:dyDescent="0.3">
      <c r="A15" s="365" t="s">
        <v>402</v>
      </c>
      <c r="B15" s="365"/>
      <c r="C15" s="365"/>
      <c r="D15" s="362" t="s">
        <v>659</v>
      </c>
      <c r="E15" s="362"/>
      <c r="F15" s="362"/>
      <c r="G15" s="362"/>
      <c r="H15" s="362" t="s">
        <v>403</v>
      </c>
      <c r="I15" s="362"/>
      <c r="J15" s="362"/>
    </row>
    <row r="16" spans="1:10" x14ac:dyDescent="0.3">
      <c r="A16" s="365" t="s">
        <v>403</v>
      </c>
      <c r="B16" s="365"/>
      <c r="C16" s="365"/>
      <c r="D16" s="282"/>
      <c r="E16" s="123"/>
      <c r="F16" s="123"/>
      <c r="G16" s="123"/>
      <c r="H16" s="362" t="s">
        <v>684</v>
      </c>
      <c r="I16" s="362"/>
      <c r="J16" s="362"/>
    </row>
    <row r="17" spans="1:10" x14ac:dyDescent="0.3">
      <c r="A17" s="365" t="s">
        <v>404</v>
      </c>
      <c r="B17" s="365"/>
      <c r="C17" s="365"/>
      <c r="D17" s="282"/>
      <c r="E17" s="362"/>
      <c r="F17" s="362"/>
      <c r="G17" s="362"/>
      <c r="H17" s="362"/>
      <c r="I17" s="362"/>
      <c r="J17" s="362"/>
    </row>
    <row r="18" spans="1:10" x14ac:dyDescent="0.3">
      <c r="A18" s="366"/>
      <c r="B18" s="366"/>
      <c r="C18" s="366"/>
      <c r="D18" s="366"/>
      <c r="E18" s="366"/>
      <c r="F18" s="366"/>
      <c r="G18" s="366"/>
      <c r="H18" s="366"/>
      <c r="I18" s="366"/>
      <c r="J18" s="366"/>
    </row>
  </sheetData>
  <mergeCells count="22">
    <mergeCell ref="A6:J6"/>
    <mergeCell ref="E12:J12"/>
    <mergeCell ref="A1:J1"/>
    <mergeCell ref="A2:J2"/>
    <mergeCell ref="A3:J3"/>
    <mergeCell ref="A4:J4"/>
    <mergeCell ref="A5:J5"/>
    <mergeCell ref="A9:J9"/>
    <mergeCell ref="A18:J18"/>
    <mergeCell ref="E17:J17"/>
    <mergeCell ref="A13:C13"/>
    <mergeCell ref="D13:G13"/>
    <mergeCell ref="H13:J13"/>
    <mergeCell ref="A14:C14"/>
    <mergeCell ref="D14:G14"/>
    <mergeCell ref="H14:J14"/>
    <mergeCell ref="A15:C15"/>
    <mergeCell ref="D15:G15"/>
    <mergeCell ref="H15:J15"/>
    <mergeCell ref="A16:C16"/>
    <mergeCell ref="H16:J16"/>
    <mergeCell ref="A17:C1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6A1F-0BF0-4403-BA81-21D0F3905DDC}">
  <sheetPr>
    <pageSetUpPr fitToPage="1"/>
  </sheetPr>
  <dimension ref="A1:K38"/>
  <sheetViews>
    <sheetView showGridLines="0" topLeftCell="A25" workbookViewId="0">
      <selection activeCell="J15" sqref="J15"/>
    </sheetView>
  </sheetViews>
  <sheetFormatPr defaultRowHeight="14.4" x14ac:dyDescent="0.3"/>
  <cols>
    <col min="2" max="2" width="39.21875" customWidth="1"/>
    <col min="3" max="3" width="14.6640625" style="123" customWidth="1"/>
    <col min="4" max="4" width="12.44140625" bestFit="1" customWidth="1"/>
    <col min="5" max="5" width="17.33203125" bestFit="1" customWidth="1"/>
    <col min="6" max="6" width="21.77734375" bestFit="1" customWidth="1"/>
    <col min="7" max="7" width="21.6640625" bestFit="1" customWidth="1"/>
    <col min="8" max="8" width="25.77734375" bestFit="1" customWidth="1"/>
  </cols>
  <sheetData>
    <row r="1" spans="1:11" s="123" customFormat="1" x14ac:dyDescent="0.3">
      <c r="A1" s="428" t="s">
        <v>163</v>
      </c>
      <c r="B1" s="429"/>
      <c r="C1" s="429"/>
      <c r="D1" s="429"/>
      <c r="E1" s="429"/>
      <c r="F1" s="429"/>
      <c r="G1" s="429"/>
      <c r="H1" s="430"/>
      <c r="I1"/>
      <c r="J1"/>
      <c r="K1"/>
    </row>
    <row r="2" spans="1:11" s="123" customFormat="1" x14ac:dyDescent="0.3">
      <c r="A2" s="431" t="s">
        <v>164</v>
      </c>
      <c r="B2" s="365"/>
      <c r="C2" s="365"/>
      <c r="D2" s="365"/>
      <c r="E2" s="365"/>
      <c r="F2" s="365"/>
      <c r="G2" s="365"/>
      <c r="H2" s="433"/>
      <c r="I2"/>
      <c r="J2"/>
      <c r="K2"/>
    </row>
    <row r="3" spans="1:11" s="123" customFormat="1" x14ac:dyDescent="0.3">
      <c r="A3" s="431" t="s">
        <v>731</v>
      </c>
      <c r="B3" s="365"/>
      <c r="C3" s="365"/>
      <c r="D3" s="365"/>
      <c r="E3" s="365"/>
      <c r="F3" s="365"/>
      <c r="G3" s="365"/>
      <c r="H3" s="433"/>
      <c r="I3"/>
      <c r="J3"/>
      <c r="K3"/>
    </row>
    <row r="4" spans="1:11" s="123" customFormat="1" x14ac:dyDescent="0.3">
      <c r="A4" s="431" t="s">
        <v>640</v>
      </c>
      <c r="B4" s="365"/>
      <c r="C4" s="365"/>
      <c r="D4" s="365"/>
      <c r="E4" s="365"/>
      <c r="F4" s="365"/>
      <c r="G4" s="365"/>
      <c r="H4" s="433"/>
      <c r="I4"/>
      <c r="J4"/>
      <c r="K4"/>
    </row>
    <row r="5" spans="1:11" s="123" customFormat="1" x14ac:dyDescent="0.3">
      <c r="A5" s="322"/>
      <c r="B5" s="323"/>
      <c r="C5" s="323"/>
      <c r="D5" s="323"/>
      <c r="E5" s="323"/>
      <c r="F5" s="323"/>
      <c r="G5" s="323"/>
      <c r="H5" s="324"/>
      <c r="I5"/>
      <c r="J5"/>
      <c r="K5"/>
    </row>
    <row r="6" spans="1:11" x14ac:dyDescent="0.3">
      <c r="A6" s="326"/>
      <c r="B6" s="318" t="s">
        <v>706</v>
      </c>
      <c r="C6" s="176">
        <f>((PI()*1.6^2)/4)*4.5</f>
        <v>9.0477868423386045</v>
      </c>
      <c r="D6" s="327"/>
      <c r="E6" s="327"/>
      <c r="F6" s="327"/>
      <c r="G6" s="327"/>
      <c r="H6" s="328"/>
      <c r="I6" s="123"/>
      <c r="J6" s="123"/>
      <c r="K6" s="123"/>
    </row>
    <row r="7" spans="1:11" x14ac:dyDescent="0.3">
      <c r="A7" s="329"/>
      <c r="B7" s="176" t="s">
        <v>707</v>
      </c>
      <c r="C7" s="176">
        <f>((PI()*0.6^2)/4)*4</f>
        <v>1.1309733552923256</v>
      </c>
      <c r="D7" s="330"/>
      <c r="E7" s="330"/>
      <c r="F7" s="330"/>
      <c r="G7" s="330"/>
      <c r="H7" s="331"/>
    </row>
    <row r="8" spans="1:11" x14ac:dyDescent="0.3">
      <c r="A8" s="329"/>
      <c r="B8" s="176" t="s">
        <v>708</v>
      </c>
      <c r="C8" s="319">
        <f>C7/C6</f>
        <v>0.125</v>
      </c>
      <c r="D8" s="330"/>
      <c r="E8" s="330"/>
      <c r="F8" s="330"/>
      <c r="G8" s="330"/>
      <c r="H8" s="331"/>
    </row>
    <row r="9" spans="1:11" x14ac:dyDescent="0.3">
      <c r="A9" s="332"/>
      <c r="B9" s="333"/>
      <c r="C9" s="333"/>
      <c r="D9" s="333"/>
      <c r="E9" s="333"/>
      <c r="F9" s="333"/>
      <c r="G9" s="333"/>
      <c r="H9" s="334"/>
    </row>
    <row r="10" spans="1:11" x14ac:dyDescent="0.3">
      <c r="A10" s="309" t="s">
        <v>712</v>
      </c>
      <c r="B10" s="309" t="s">
        <v>711</v>
      </c>
      <c r="C10" s="312" t="s">
        <v>720</v>
      </c>
      <c r="D10" s="312" t="s">
        <v>721</v>
      </c>
      <c r="E10" s="312" t="s">
        <v>717</v>
      </c>
      <c r="F10" s="312" t="s">
        <v>722</v>
      </c>
      <c r="G10" s="312" t="s">
        <v>718</v>
      </c>
      <c r="H10" s="312" t="s">
        <v>723</v>
      </c>
    </row>
    <row r="11" spans="1:11" x14ac:dyDescent="0.3">
      <c r="A11" s="303" t="str">
        <f>"0005"</f>
        <v>0005</v>
      </c>
      <c r="B11" s="176" t="s">
        <v>691</v>
      </c>
      <c r="C11" s="310">
        <v>5.0999999999999996</v>
      </c>
      <c r="D11" s="304">
        <v>9.64</v>
      </c>
      <c r="E11" s="311">
        <v>40.906999999999996</v>
      </c>
      <c r="F11" s="306">
        <f>E11*D11</f>
        <v>394.34348</v>
      </c>
      <c r="G11" s="305">
        <f>E11*$C$8</f>
        <v>5.1133749999999996</v>
      </c>
      <c r="H11" s="307">
        <f>D11*G11</f>
        <v>49.292935</v>
      </c>
    </row>
    <row r="12" spans="1:11" x14ac:dyDescent="0.3">
      <c r="A12" s="174" t="str">
        <f>"0004"</f>
        <v>0004</v>
      </c>
      <c r="B12" s="176" t="s">
        <v>692</v>
      </c>
      <c r="C12" s="310">
        <v>8.4499999999999993</v>
      </c>
      <c r="D12" s="304">
        <v>15.97</v>
      </c>
      <c r="E12" s="311">
        <v>30.405999999999999</v>
      </c>
      <c r="F12" s="306">
        <f>E12*D12</f>
        <v>485.58382</v>
      </c>
      <c r="G12" s="305">
        <f t="shared" ref="G12:G27" si="0">E12*$C$8</f>
        <v>3.8007499999999999</v>
      </c>
      <c r="H12" s="307">
        <f>D12*G12</f>
        <v>60.6979775</v>
      </c>
    </row>
    <row r="13" spans="1:11" x14ac:dyDescent="0.3">
      <c r="A13" s="174" t="str">
        <f>"0013"</f>
        <v>0013</v>
      </c>
      <c r="B13" s="176" t="s">
        <v>693</v>
      </c>
      <c r="C13" s="310">
        <v>8.4499999999999993</v>
      </c>
      <c r="D13" s="304">
        <v>15.97</v>
      </c>
      <c r="E13" s="311">
        <v>41.06</v>
      </c>
      <c r="F13" s="306">
        <f>E13*D13</f>
        <v>655.72820000000002</v>
      </c>
      <c r="G13" s="305">
        <f t="shared" si="0"/>
        <v>5.1325000000000003</v>
      </c>
      <c r="H13" s="307">
        <f>D13*G13</f>
        <v>81.966025000000002</v>
      </c>
    </row>
    <row r="14" spans="1:11" x14ac:dyDescent="0.3">
      <c r="A14" s="174" t="str">
        <f>"0006"</f>
        <v>0006</v>
      </c>
      <c r="B14" s="176" t="s">
        <v>694</v>
      </c>
      <c r="C14" s="310">
        <v>8.4499999999999993</v>
      </c>
      <c r="D14" s="304">
        <v>15.97</v>
      </c>
      <c r="E14" s="311">
        <v>0.5</v>
      </c>
      <c r="F14" s="306">
        <f>E14*D14</f>
        <v>7.9850000000000003</v>
      </c>
      <c r="G14" s="305">
        <f t="shared" si="0"/>
        <v>6.25E-2</v>
      </c>
      <c r="H14" s="307">
        <f>D14*G14</f>
        <v>0.99812500000000004</v>
      </c>
    </row>
    <row r="15" spans="1:11" x14ac:dyDescent="0.3">
      <c r="A15" s="176"/>
      <c r="B15" s="465" t="s">
        <v>709</v>
      </c>
      <c r="C15" s="465"/>
      <c r="D15" s="465"/>
      <c r="E15" s="465"/>
      <c r="F15" s="317">
        <f>SUM(F11:F14)</f>
        <v>1543.6405</v>
      </c>
      <c r="G15" s="308"/>
      <c r="H15" s="325">
        <f>SUM(H11:H14)</f>
        <v>192.9550625</v>
      </c>
    </row>
    <row r="16" spans="1:11" x14ac:dyDescent="0.3">
      <c r="A16" s="473"/>
      <c r="B16" s="473"/>
      <c r="C16" s="473"/>
      <c r="D16" s="473"/>
      <c r="E16" s="473"/>
      <c r="F16" s="473"/>
      <c r="G16" s="473"/>
      <c r="H16" s="473"/>
    </row>
    <row r="17" spans="1:8" s="123" customFormat="1" x14ac:dyDescent="0.3">
      <c r="A17" s="312" t="s">
        <v>712</v>
      </c>
      <c r="B17" s="313" t="s">
        <v>713</v>
      </c>
      <c r="C17" s="312" t="s">
        <v>714</v>
      </c>
      <c r="D17" s="312" t="s">
        <v>715</v>
      </c>
      <c r="E17" s="312" t="s">
        <v>717</v>
      </c>
      <c r="F17" s="312" t="s">
        <v>716</v>
      </c>
      <c r="G17" s="314" t="s">
        <v>718</v>
      </c>
      <c r="H17" s="315" t="s">
        <v>719</v>
      </c>
    </row>
    <row r="18" spans="1:8" x14ac:dyDescent="0.3">
      <c r="A18" s="174">
        <v>2804</v>
      </c>
      <c r="B18" s="176" t="s">
        <v>695</v>
      </c>
      <c r="C18" s="174" t="s">
        <v>8</v>
      </c>
      <c r="D18" s="304">
        <v>140</v>
      </c>
      <c r="E18" s="177">
        <v>0.104</v>
      </c>
      <c r="F18" s="306">
        <f t="shared" ref="F18:F27" si="1">E18*D18</f>
        <v>14.559999999999999</v>
      </c>
      <c r="G18" s="311">
        <f t="shared" si="0"/>
        <v>1.2999999999999999E-2</v>
      </c>
      <c r="H18" s="307">
        <f t="shared" ref="H18:H27" si="2">D18*G18</f>
        <v>1.8199999999999998</v>
      </c>
    </row>
    <row r="19" spans="1:8" x14ac:dyDescent="0.3">
      <c r="A19" s="174">
        <v>1861</v>
      </c>
      <c r="B19" s="176" t="s">
        <v>697</v>
      </c>
      <c r="C19" s="174" t="s">
        <v>447</v>
      </c>
      <c r="D19" s="304">
        <v>17.55</v>
      </c>
      <c r="E19" s="177">
        <v>0.1</v>
      </c>
      <c r="F19" s="306">
        <f t="shared" si="1"/>
        <v>1.7550000000000001</v>
      </c>
      <c r="G19" s="311">
        <f t="shared" si="0"/>
        <v>1.2500000000000001E-2</v>
      </c>
      <c r="H19" s="307">
        <f t="shared" si="2"/>
        <v>0.21937500000000001</v>
      </c>
    </row>
    <row r="20" spans="1:8" x14ac:dyDescent="0.3">
      <c r="A20" s="174">
        <v>1968</v>
      </c>
      <c r="B20" s="176" t="s">
        <v>698</v>
      </c>
      <c r="C20" s="174" t="s">
        <v>11</v>
      </c>
      <c r="D20" s="304">
        <v>9.41</v>
      </c>
      <c r="E20" s="177">
        <v>5.05</v>
      </c>
      <c r="F20" s="306">
        <f t="shared" si="1"/>
        <v>47.520499999999998</v>
      </c>
      <c r="G20" s="311">
        <f t="shared" si="0"/>
        <v>0.63124999999999998</v>
      </c>
      <c r="H20" s="307">
        <f t="shared" si="2"/>
        <v>5.9400624999999998</v>
      </c>
    </row>
    <row r="21" spans="1:8" x14ac:dyDescent="0.3">
      <c r="A21" s="174">
        <v>2033</v>
      </c>
      <c r="B21" s="176" t="s">
        <v>699</v>
      </c>
      <c r="C21" s="174" t="s">
        <v>705</v>
      </c>
      <c r="D21" s="304">
        <v>0.54</v>
      </c>
      <c r="E21" s="177">
        <v>1267</v>
      </c>
      <c r="F21" s="306">
        <f t="shared" si="1"/>
        <v>684.18000000000006</v>
      </c>
      <c r="G21" s="311">
        <f t="shared" si="0"/>
        <v>158.375</v>
      </c>
      <c r="H21" s="307">
        <f t="shared" si="2"/>
        <v>85.522500000000008</v>
      </c>
    </row>
    <row r="22" spans="1:8" x14ac:dyDescent="0.3">
      <c r="A22" s="174">
        <v>2437</v>
      </c>
      <c r="B22" s="176" t="s">
        <v>700</v>
      </c>
      <c r="C22" s="174" t="s">
        <v>447</v>
      </c>
      <c r="D22" s="304">
        <v>9.82</v>
      </c>
      <c r="E22" s="177">
        <v>7.94</v>
      </c>
      <c r="F22" s="306">
        <f t="shared" si="1"/>
        <v>77.970800000000011</v>
      </c>
      <c r="G22" s="311">
        <f t="shared" si="0"/>
        <v>0.99250000000000005</v>
      </c>
      <c r="H22" s="307">
        <f t="shared" si="2"/>
        <v>9.7463500000000014</v>
      </c>
    </row>
    <row r="23" spans="1:8" x14ac:dyDescent="0.3">
      <c r="A23" s="174">
        <v>102</v>
      </c>
      <c r="B23" s="176" t="s">
        <v>701</v>
      </c>
      <c r="C23" s="174" t="s">
        <v>447</v>
      </c>
      <c r="D23" s="304">
        <v>19.89</v>
      </c>
      <c r="E23" s="177">
        <v>0.43</v>
      </c>
      <c r="F23" s="306">
        <f t="shared" si="1"/>
        <v>8.5526999999999997</v>
      </c>
      <c r="G23" s="311">
        <f t="shared" si="0"/>
        <v>5.3749999999999999E-2</v>
      </c>
      <c r="H23" s="307">
        <f t="shared" si="2"/>
        <v>1.0690875</v>
      </c>
    </row>
    <row r="24" spans="1:8" x14ac:dyDescent="0.3">
      <c r="A24" s="174">
        <v>2497</v>
      </c>
      <c r="B24" s="176" t="s">
        <v>702</v>
      </c>
      <c r="C24" s="174" t="s">
        <v>8</v>
      </c>
      <c r="D24" s="304">
        <v>68.64</v>
      </c>
      <c r="E24" s="177">
        <v>5.8500000000000003E-2</v>
      </c>
      <c r="F24" s="306">
        <f t="shared" si="1"/>
        <v>4.0154399999999999</v>
      </c>
      <c r="G24" s="311">
        <f t="shared" si="0"/>
        <v>7.3125000000000004E-3</v>
      </c>
      <c r="H24" s="307">
        <f t="shared" si="2"/>
        <v>0.50192999999999999</v>
      </c>
    </row>
    <row r="25" spans="1:8" x14ac:dyDescent="0.3">
      <c r="A25" s="174">
        <v>2386</v>
      </c>
      <c r="B25" s="176" t="s">
        <v>703</v>
      </c>
      <c r="C25" s="174" t="s">
        <v>8</v>
      </c>
      <c r="D25" s="304">
        <v>68.64</v>
      </c>
      <c r="E25" s="177">
        <v>5.8500000000000003E-2</v>
      </c>
      <c r="F25" s="306">
        <f t="shared" si="1"/>
        <v>4.0154399999999999</v>
      </c>
      <c r="G25" s="311">
        <f t="shared" si="0"/>
        <v>7.3125000000000004E-3</v>
      </c>
      <c r="H25" s="307">
        <f t="shared" si="2"/>
        <v>0.50192999999999999</v>
      </c>
    </row>
    <row r="26" spans="1:8" x14ac:dyDescent="0.3">
      <c r="A26" s="174">
        <v>2777</v>
      </c>
      <c r="B26" s="176" t="s">
        <v>696</v>
      </c>
      <c r="C26" s="174" t="s">
        <v>8</v>
      </c>
      <c r="D26" s="304">
        <v>68.64</v>
      </c>
      <c r="E26" s="177">
        <v>0.61570000000000003</v>
      </c>
      <c r="F26" s="306">
        <f t="shared" si="1"/>
        <v>42.261648000000001</v>
      </c>
      <c r="G26" s="311">
        <f t="shared" si="0"/>
        <v>7.6962500000000003E-2</v>
      </c>
      <c r="H26" s="307">
        <f t="shared" si="2"/>
        <v>5.2827060000000001</v>
      </c>
    </row>
    <row r="27" spans="1:8" x14ac:dyDescent="0.3">
      <c r="A27" s="174">
        <v>1215</v>
      </c>
      <c r="B27" s="176" t="s">
        <v>704</v>
      </c>
      <c r="C27" s="174" t="s">
        <v>447</v>
      </c>
      <c r="D27" s="304">
        <v>0.56000000000000005</v>
      </c>
      <c r="E27" s="177">
        <v>54.8</v>
      </c>
      <c r="F27" s="306">
        <f t="shared" si="1"/>
        <v>30.688000000000002</v>
      </c>
      <c r="G27" s="311">
        <f t="shared" si="0"/>
        <v>6.85</v>
      </c>
      <c r="H27" s="307">
        <f t="shared" si="2"/>
        <v>3.8360000000000003</v>
      </c>
    </row>
    <row r="28" spans="1:8" x14ac:dyDescent="0.3">
      <c r="A28" s="176"/>
      <c r="B28" s="465" t="s">
        <v>710</v>
      </c>
      <c r="C28" s="465"/>
      <c r="D28" s="465"/>
      <c r="E28" s="465"/>
      <c r="F28" s="317">
        <f>SUM(F18:F27)</f>
        <v>915.51952800000015</v>
      </c>
      <c r="G28" s="316"/>
      <c r="H28" s="325">
        <f>SUM(H18:H27)</f>
        <v>114.43994100000002</v>
      </c>
    </row>
    <row r="29" spans="1:8" x14ac:dyDescent="0.3">
      <c r="A29" s="467"/>
      <c r="B29" s="468"/>
      <c r="C29" s="468"/>
      <c r="D29" s="468"/>
      <c r="E29" s="468"/>
      <c r="F29" s="468"/>
      <c r="G29" s="468"/>
      <c r="H29" s="469"/>
    </row>
    <row r="30" spans="1:8" x14ac:dyDescent="0.3">
      <c r="A30" s="470"/>
      <c r="B30" s="471"/>
      <c r="C30" s="471"/>
      <c r="D30" s="471"/>
      <c r="E30" s="471"/>
      <c r="F30" s="471"/>
      <c r="G30" s="471"/>
      <c r="H30" s="472"/>
    </row>
    <row r="31" spans="1:8" x14ac:dyDescent="0.3">
      <c r="A31" s="176"/>
      <c r="B31" s="466" t="s">
        <v>172</v>
      </c>
      <c r="C31" s="466"/>
      <c r="D31" s="466"/>
      <c r="E31" s="466"/>
      <c r="F31" s="317">
        <f>F28+F15</f>
        <v>2459.1600280000002</v>
      </c>
      <c r="G31" s="176"/>
      <c r="H31" s="325">
        <f>H15+H28</f>
        <v>307.39500350000003</v>
      </c>
    </row>
    <row r="34" spans="2:8" x14ac:dyDescent="0.3">
      <c r="B34" s="362" t="s">
        <v>682</v>
      </c>
      <c r="C34" s="362"/>
      <c r="D34" s="362"/>
      <c r="E34" s="123"/>
      <c r="F34" s="362" t="s">
        <v>681</v>
      </c>
      <c r="G34" s="362"/>
      <c r="H34" s="362"/>
    </row>
    <row r="35" spans="2:8" x14ac:dyDescent="0.3">
      <c r="B35" s="365" t="s">
        <v>401</v>
      </c>
      <c r="C35" s="365"/>
      <c r="D35" s="365"/>
      <c r="E35" s="123"/>
      <c r="F35" s="362" t="s">
        <v>683</v>
      </c>
      <c r="G35" s="362"/>
      <c r="H35" s="362"/>
    </row>
    <row r="36" spans="2:8" x14ac:dyDescent="0.3">
      <c r="B36" s="365" t="s">
        <v>402</v>
      </c>
      <c r="C36" s="365"/>
      <c r="D36" s="365"/>
      <c r="E36" s="123"/>
      <c r="F36" s="362" t="s">
        <v>403</v>
      </c>
      <c r="G36" s="362"/>
      <c r="H36" s="362"/>
    </row>
    <row r="37" spans="2:8" x14ac:dyDescent="0.3">
      <c r="B37" s="365" t="s">
        <v>403</v>
      </c>
      <c r="C37" s="365"/>
      <c r="D37" s="365"/>
      <c r="E37" s="123"/>
      <c r="F37" s="362" t="s">
        <v>684</v>
      </c>
      <c r="G37" s="362"/>
      <c r="H37" s="362"/>
    </row>
    <row r="38" spans="2:8" x14ac:dyDescent="0.3">
      <c r="B38" s="365" t="s">
        <v>404</v>
      </c>
      <c r="C38" s="365"/>
      <c r="D38" s="365"/>
      <c r="E38" s="123"/>
      <c r="F38" s="123"/>
      <c r="G38" s="123"/>
      <c r="H38" s="123"/>
    </row>
  </sheetData>
  <mergeCells count="18">
    <mergeCell ref="B38:D38"/>
    <mergeCell ref="B28:E28"/>
    <mergeCell ref="B31:E31"/>
    <mergeCell ref="A29:H30"/>
    <mergeCell ref="A16:H16"/>
    <mergeCell ref="B34:D34"/>
    <mergeCell ref="F34:H34"/>
    <mergeCell ref="B35:D35"/>
    <mergeCell ref="F35:H35"/>
    <mergeCell ref="B36:D36"/>
    <mergeCell ref="F36:H36"/>
    <mergeCell ref="B37:D37"/>
    <mergeCell ref="F37:H37"/>
    <mergeCell ref="A1:H1"/>
    <mergeCell ref="A2:H2"/>
    <mergeCell ref="A3:H3"/>
    <mergeCell ref="A4:H4"/>
    <mergeCell ref="B15:E15"/>
  </mergeCells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ORÇAMENTO</vt:lpstr>
      <vt:lpstr>COMPOSIÇÃO CANTEIRO</vt:lpstr>
      <vt:lpstr>COMPOSIÇÃO</vt:lpstr>
      <vt:lpstr>MEMÓRIA DE CALCULO</vt:lpstr>
      <vt:lpstr>CRONOGRAMA COMPOSIÇÃO</vt:lpstr>
      <vt:lpstr>CRONOGRAMA FÍSICO-FINANCEIRO</vt:lpstr>
      <vt:lpstr>COMPOSIÇÃO BDI</vt:lpstr>
      <vt:lpstr>COMPOSIÇÃO SUMIDOURO</vt:lpstr>
      <vt:lpstr>COMPOSIÇÃO!Area_de_impressao</vt:lpstr>
      <vt:lpstr>'COMPOSIÇÃO CANTEIRO'!Area_de_impressao</vt:lpstr>
      <vt:lpstr>'CRONOGRAMA COMPOSIÇÃO'!Area_de_impressao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Murilo CR</cp:lastModifiedBy>
  <cp:lastPrinted>2021-12-15T19:07:46Z</cp:lastPrinted>
  <dcterms:created xsi:type="dcterms:W3CDTF">2019-02-07T16:00:56Z</dcterms:created>
  <dcterms:modified xsi:type="dcterms:W3CDTF">2021-12-15T20:00:00Z</dcterms:modified>
</cp:coreProperties>
</file>