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STITUTO DE PREVIDÊNCIA E ASSISTÊNCIA DOS SERVIDORES DE CATALÃO - IPASC\RETOMADA DA CONSTRUÇÃO DA SEDE ADMINISTRATIVA\TP\ARQUIVOS - PUBLICAR\ORÇAMENTO\"/>
    </mc:Choice>
  </mc:AlternateContent>
  <bookViews>
    <workbookView xWindow="0" yWindow="0" windowWidth="28800" windowHeight="12435" tabRatio="883" activeTab="5"/>
  </bookViews>
  <sheets>
    <sheet name="Orçamento Sintético" sheetId="17" r:id="rId1"/>
    <sheet name="Orçamento Analítico" sheetId="21" r:id="rId2"/>
    <sheet name="CFF" sheetId="18" r:id="rId3"/>
    <sheet name="Curva ABC de Serviços " sheetId="20" r:id="rId4"/>
    <sheet name="MC - Geral" sheetId="19" r:id="rId5"/>
    <sheet name="MC - Fundações e Estrutura" sheetId="3" r:id="rId6"/>
    <sheet name="MC - Aterro e Muro de Arrimo" sheetId="5" r:id="rId7"/>
    <sheet name="MC - Revestimentos" sheetId="6" r:id="rId8"/>
    <sheet name="MC - Esquadrias" sheetId="7" r:id="rId9"/>
    <sheet name="BDI" sheetId="16" r:id="rId10"/>
    <sheet name="MC - Guarda Corpo e Corrimão" sheetId="8" state="hidden" r:id="rId11"/>
    <sheet name="Drenos de Ar Condicionado" sheetId="11" state="hidden" r:id="rId12"/>
    <sheet name="Drenagem" sheetId="10" state="hidden" r:id="rId13"/>
  </sheets>
  <externalReferences>
    <externalReference r:id="rId14"/>
  </externalReferences>
  <definedNames>
    <definedName name="_xlnm.Print_Area" localSheetId="2">CFF!$A$1:$H$22</definedName>
    <definedName name="_xlnm.Print_Area" localSheetId="6">'MC - Aterro e Muro de Arrimo'!$A$1:$E$15</definedName>
    <definedName name="_xlnm.Print_Area" localSheetId="8">'MC - Esquadrias'!$A$1:$I$51</definedName>
    <definedName name="_xlnm.Print_Area" localSheetId="5">'MC - Fundações e Estrutura'!$A$2:$K$154</definedName>
    <definedName name="_xlnm.Print_Area" localSheetId="4">'MC - Geral'!$A$1:$E$356</definedName>
    <definedName name="_xlnm.Print_Area" localSheetId="7">'MC - Revestimentos'!$A$1:$L$76</definedName>
    <definedName name="_xlnm.Print_Area" localSheetId="1">'Orçamento Analítico'!$A$1:$J$3360</definedName>
    <definedName name="_xlnm.Print_Titles" localSheetId="3">'Curva ABC de Serviços '!$1:$4</definedName>
    <definedName name="_xlnm.Print_Titles" localSheetId="4">'MC - Geral'!$1:$4</definedName>
    <definedName name="_xlnm.Print_Titles" localSheetId="7">'MC - Revestimentos'!$1:$1</definedName>
    <definedName name="_xlnm.Print_Titles" localSheetId="1">'Orçamento Analítico'!$1:$3</definedName>
    <definedName name="_xlnm.Print_Titles" localSheetId="0">'Orçamento Sintético'!$1:$4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8" i="17" l="1"/>
  <c r="H360" i="17"/>
  <c r="I345" i="17"/>
  <c r="J345" i="17" s="1"/>
  <c r="I334" i="17"/>
  <c r="I330" i="17"/>
  <c r="I331" i="17"/>
  <c r="I278" i="17"/>
  <c r="I327" i="17"/>
  <c r="J327" i="17" s="1"/>
  <c r="I324" i="17"/>
  <c r="I302" i="17"/>
  <c r="I279" i="17"/>
  <c r="J279" i="17" s="1"/>
  <c r="I264" i="17"/>
  <c r="J264" i="17" s="1"/>
  <c r="I256" i="17"/>
  <c r="I250" i="17"/>
  <c r="I240" i="17"/>
  <c r="I231" i="17"/>
  <c r="I226" i="17"/>
  <c r="J226" i="17" s="1"/>
  <c r="I209" i="17"/>
  <c r="I206" i="17"/>
  <c r="J206" i="17" s="1"/>
  <c r="I190" i="17"/>
  <c r="I179" i="17"/>
  <c r="J179" i="17" s="1"/>
  <c r="I170" i="17"/>
  <c r="I156" i="17"/>
  <c r="I137" i="17"/>
  <c r="J137" i="17" s="1"/>
  <c r="I123" i="17"/>
  <c r="I104" i="17"/>
  <c r="I102" i="17"/>
  <c r="I91" i="17"/>
  <c r="I85" i="17"/>
  <c r="I80" i="17"/>
  <c r="I54" i="17" s="1"/>
  <c r="J54" i="17" s="1"/>
  <c r="I78" i="17"/>
  <c r="I76" i="17"/>
  <c r="I64" i="17"/>
  <c r="I55" i="17"/>
  <c r="J55" i="17" s="1"/>
  <c r="I24" i="17"/>
  <c r="J24" i="17" s="1"/>
  <c r="I51" i="17"/>
  <c r="I43" i="17"/>
  <c r="I36" i="17"/>
  <c r="I31" i="17"/>
  <c r="I25" i="17"/>
  <c r="I5" i="17"/>
  <c r="I20" i="17"/>
  <c r="I15" i="17"/>
  <c r="I6" i="17"/>
  <c r="H259" i="20"/>
  <c r="H356" i="17"/>
  <c r="I356" i="17" s="1"/>
  <c r="J356" i="17" s="1"/>
  <c r="H355" i="17"/>
  <c r="I355" i="17" s="1"/>
  <c r="J355" i="17" s="1"/>
  <c r="I354" i="17"/>
  <c r="J354" i="17" s="1"/>
  <c r="H354" i="17"/>
  <c r="H353" i="17"/>
  <c r="I353" i="17" s="1"/>
  <c r="J353" i="17" s="1"/>
  <c r="H352" i="17"/>
  <c r="I352" i="17" s="1"/>
  <c r="J352" i="17" s="1"/>
  <c r="J351" i="17"/>
  <c r="H351" i="17"/>
  <c r="I351" i="17" s="1"/>
  <c r="I350" i="17"/>
  <c r="J350" i="17" s="1"/>
  <c r="H350" i="17"/>
  <c r="H349" i="17"/>
  <c r="I349" i="17" s="1"/>
  <c r="J349" i="17" s="1"/>
  <c r="H348" i="17"/>
  <c r="I348" i="17" s="1"/>
  <c r="J348" i="17" s="1"/>
  <c r="H347" i="17"/>
  <c r="I347" i="17" s="1"/>
  <c r="J347" i="17" s="1"/>
  <c r="I346" i="17"/>
  <c r="J346" i="17" s="1"/>
  <c r="H346" i="17"/>
  <c r="I344" i="17"/>
  <c r="J344" i="17" s="1"/>
  <c r="H344" i="17"/>
  <c r="H343" i="17"/>
  <c r="I343" i="17" s="1"/>
  <c r="J343" i="17" s="1"/>
  <c r="H342" i="17"/>
  <c r="I342" i="17" s="1"/>
  <c r="J342" i="17" s="1"/>
  <c r="H341" i="17"/>
  <c r="I341" i="17" s="1"/>
  <c r="J341" i="17" s="1"/>
  <c r="I340" i="17"/>
  <c r="J340" i="17" s="1"/>
  <c r="H340" i="17"/>
  <c r="H339" i="17"/>
  <c r="I339" i="17" s="1"/>
  <c r="J339" i="17" s="1"/>
  <c r="H338" i="17"/>
  <c r="I338" i="17" s="1"/>
  <c r="J338" i="17" s="1"/>
  <c r="H337" i="17"/>
  <c r="I337" i="17" s="1"/>
  <c r="J337" i="17" s="1"/>
  <c r="I336" i="17"/>
  <c r="J336" i="17" s="1"/>
  <c r="H336" i="17"/>
  <c r="H335" i="17"/>
  <c r="I335" i="17" s="1"/>
  <c r="J335" i="17" s="1"/>
  <c r="J334" i="17"/>
  <c r="H333" i="17"/>
  <c r="I333" i="17" s="1"/>
  <c r="J333" i="17" s="1"/>
  <c r="H332" i="17"/>
  <c r="I332" i="17" s="1"/>
  <c r="J332" i="17" s="1"/>
  <c r="J331" i="17"/>
  <c r="J330" i="17"/>
  <c r="H329" i="17"/>
  <c r="I329" i="17" s="1"/>
  <c r="J329" i="17" s="1"/>
  <c r="H328" i="17"/>
  <c r="I328" i="17" s="1"/>
  <c r="J328" i="17" s="1"/>
  <c r="H326" i="17"/>
  <c r="I326" i="17" s="1"/>
  <c r="J326" i="17" s="1"/>
  <c r="J325" i="17"/>
  <c r="H325" i="17"/>
  <c r="I325" i="17" s="1"/>
  <c r="J324" i="17"/>
  <c r="H323" i="17"/>
  <c r="I323" i="17" s="1"/>
  <c r="J323" i="17" s="1"/>
  <c r="I322" i="17"/>
  <c r="J322" i="17" s="1"/>
  <c r="H322" i="17"/>
  <c r="H321" i="17"/>
  <c r="I321" i="17" s="1"/>
  <c r="J321" i="17" s="1"/>
  <c r="H320" i="17"/>
  <c r="I320" i="17" s="1"/>
  <c r="J320" i="17" s="1"/>
  <c r="J319" i="17"/>
  <c r="H319" i="17"/>
  <c r="I319" i="17" s="1"/>
  <c r="I318" i="17"/>
  <c r="J318" i="17" s="1"/>
  <c r="H318" i="17"/>
  <c r="H317" i="17"/>
  <c r="I317" i="17" s="1"/>
  <c r="J317" i="17" s="1"/>
  <c r="H316" i="17"/>
  <c r="I316" i="17" s="1"/>
  <c r="J316" i="17" s="1"/>
  <c r="H315" i="17"/>
  <c r="I315" i="17" s="1"/>
  <c r="J315" i="17" s="1"/>
  <c r="I314" i="17"/>
  <c r="J314" i="17" s="1"/>
  <c r="H314" i="17"/>
  <c r="H313" i="17"/>
  <c r="I313" i="17" s="1"/>
  <c r="J313" i="17" s="1"/>
  <c r="H312" i="17"/>
  <c r="I312" i="17" s="1"/>
  <c r="J312" i="17" s="1"/>
  <c r="J311" i="17"/>
  <c r="H311" i="17"/>
  <c r="I311" i="17" s="1"/>
  <c r="I310" i="17"/>
  <c r="J310" i="17" s="1"/>
  <c r="H310" i="17"/>
  <c r="H309" i="17"/>
  <c r="I309" i="17" s="1"/>
  <c r="J309" i="17" s="1"/>
  <c r="H308" i="17"/>
  <c r="I308" i="17" s="1"/>
  <c r="J308" i="17" s="1"/>
  <c r="H307" i="17"/>
  <c r="I307" i="17" s="1"/>
  <c r="J307" i="17" s="1"/>
  <c r="I306" i="17"/>
  <c r="J306" i="17" s="1"/>
  <c r="H306" i="17"/>
  <c r="H305" i="17"/>
  <c r="I305" i="17" s="1"/>
  <c r="J305" i="17" s="1"/>
  <c r="H304" i="17"/>
  <c r="I304" i="17" s="1"/>
  <c r="J304" i="17" s="1"/>
  <c r="J303" i="17"/>
  <c r="H303" i="17"/>
  <c r="I303" i="17" s="1"/>
  <c r="J302" i="17"/>
  <c r="H301" i="17"/>
  <c r="I301" i="17" s="1"/>
  <c r="J301" i="17" s="1"/>
  <c r="I300" i="17"/>
  <c r="J300" i="17" s="1"/>
  <c r="H300" i="17"/>
  <c r="H299" i="17"/>
  <c r="I299" i="17" s="1"/>
  <c r="J299" i="17" s="1"/>
  <c r="H298" i="17"/>
  <c r="I298" i="17" s="1"/>
  <c r="J298" i="17" s="1"/>
  <c r="H297" i="17"/>
  <c r="I297" i="17" s="1"/>
  <c r="J297" i="17" s="1"/>
  <c r="I296" i="17"/>
  <c r="J296" i="17" s="1"/>
  <c r="H296" i="17"/>
  <c r="H295" i="17"/>
  <c r="I295" i="17" s="1"/>
  <c r="J295" i="17" s="1"/>
  <c r="H294" i="17"/>
  <c r="I294" i="17" s="1"/>
  <c r="J294" i="17" s="1"/>
  <c r="J293" i="17"/>
  <c r="H293" i="17"/>
  <c r="I293" i="17" s="1"/>
  <c r="I292" i="17"/>
  <c r="J292" i="17" s="1"/>
  <c r="H292" i="17"/>
  <c r="H291" i="17"/>
  <c r="I291" i="17" s="1"/>
  <c r="J291" i="17" s="1"/>
  <c r="H290" i="17"/>
  <c r="I290" i="17" s="1"/>
  <c r="J290" i="17" s="1"/>
  <c r="H289" i="17"/>
  <c r="I289" i="17" s="1"/>
  <c r="J289" i="17" s="1"/>
  <c r="I288" i="17"/>
  <c r="J288" i="17" s="1"/>
  <c r="H288" i="17"/>
  <c r="H287" i="17"/>
  <c r="I287" i="17" s="1"/>
  <c r="J287" i="17" s="1"/>
  <c r="H286" i="17"/>
  <c r="I286" i="17" s="1"/>
  <c r="J286" i="17" s="1"/>
  <c r="H285" i="17"/>
  <c r="I285" i="17" s="1"/>
  <c r="J285" i="17" s="1"/>
  <c r="I284" i="17"/>
  <c r="J284" i="17" s="1"/>
  <c r="H284" i="17"/>
  <c r="H283" i="17"/>
  <c r="I283" i="17" s="1"/>
  <c r="J283" i="17" s="1"/>
  <c r="H282" i="17"/>
  <c r="I282" i="17" s="1"/>
  <c r="J282" i="17" s="1"/>
  <c r="H281" i="17"/>
  <c r="I281" i="17" s="1"/>
  <c r="J281" i="17" s="1"/>
  <c r="I280" i="17"/>
  <c r="J280" i="17" s="1"/>
  <c r="H280" i="17"/>
  <c r="J278" i="17"/>
  <c r="H277" i="17"/>
  <c r="I277" i="17" s="1"/>
  <c r="J277" i="17" s="1"/>
  <c r="I276" i="17"/>
  <c r="J276" i="17" s="1"/>
  <c r="H276" i="17"/>
  <c r="H275" i="17"/>
  <c r="I275" i="17" s="1"/>
  <c r="J275" i="17" s="1"/>
  <c r="H274" i="17"/>
  <c r="I274" i="17" s="1"/>
  <c r="J274" i="17" s="1"/>
  <c r="H273" i="17"/>
  <c r="I273" i="17" s="1"/>
  <c r="J273" i="17" s="1"/>
  <c r="I272" i="17"/>
  <c r="J272" i="17" s="1"/>
  <c r="H272" i="17"/>
  <c r="H271" i="17"/>
  <c r="I271" i="17" s="1"/>
  <c r="J271" i="17" s="1"/>
  <c r="H270" i="17"/>
  <c r="I270" i="17" s="1"/>
  <c r="J270" i="17" s="1"/>
  <c r="H269" i="17"/>
  <c r="I269" i="17" s="1"/>
  <c r="J269" i="17" s="1"/>
  <c r="I268" i="17"/>
  <c r="J268" i="17" s="1"/>
  <c r="H268" i="17"/>
  <c r="H267" i="17"/>
  <c r="I267" i="17" s="1"/>
  <c r="J267" i="17" s="1"/>
  <c r="H266" i="17"/>
  <c r="I266" i="17" s="1"/>
  <c r="J266" i="17" s="1"/>
  <c r="H265" i="17"/>
  <c r="I265" i="17" s="1"/>
  <c r="J265" i="17" s="1"/>
  <c r="J263" i="17"/>
  <c r="H263" i="17"/>
  <c r="I263" i="17" s="1"/>
  <c r="I262" i="17"/>
  <c r="J262" i="17" s="1"/>
  <c r="H262" i="17"/>
  <c r="H261" i="17"/>
  <c r="I261" i="17" s="1"/>
  <c r="J261" i="17" s="1"/>
  <c r="H260" i="17"/>
  <c r="I260" i="17" s="1"/>
  <c r="J260" i="17" s="1"/>
  <c r="H259" i="17"/>
  <c r="I259" i="17" s="1"/>
  <c r="J259" i="17" s="1"/>
  <c r="I258" i="17"/>
  <c r="J258" i="17" s="1"/>
  <c r="H258" i="17"/>
  <c r="H257" i="17"/>
  <c r="I257" i="17" s="1"/>
  <c r="J257" i="17" s="1"/>
  <c r="J256" i="17"/>
  <c r="H255" i="17"/>
  <c r="I255" i="17" s="1"/>
  <c r="J255" i="17" s="1"/>
  <c r="H254" i="17"/>
  <c r="I254" i="17" s="1"/>
  <c r="J254" i="17" s="1"/>
  <c r="H253" i="17"/>
  <c r="I253" i="17" s="1"/>
  <c r="J253" i="17" s="1"/>
  <c r="I252" i="17"/>
  <c r="J252" i="17" s="1"/>
  <c r="H252" i="17"/>
  <c r="H251" i="17"/>
  <c r="I251" i="17" s="1"/>
  <c r="J251" i="17" s="1"/>
  <c r="J250" i="17"/>
  <c r="H249" i="17"/>
  <c r="I249" i="17" s="1"/>
  <c r="J249" i="17" s="1"/>
  <c r="H248" i="17"/>
  <c r="I248" i="17" s="1"/>
  <c r="J248" i="17" s="1"/>
  <c r="H247" i="17"/>
  <c r="I247" i="17" s="1"/>
  <c r="J247" i="17" s="1"/>
  <c r="I246" i="17"/>
  <c r="J246" i="17" s="1"/>
  <c r="H246" i="17"/>
  <c r="H245" i="17"/>
  <c r="I245" i="17" s="1"/>
  <c r="J245" i="17" s="1"/>
  <c r="H244" i="17"/>
  <c r="I244" i="17" s="1"/>
  <c r="J244" i="17" s="1"/>
  <c r="J243" i="17"/>
  <c r="H243" i="17"/>
  <c r="I243" i="17" s="1"/>
  <c r="I242" i="17"/>
  <c r="J242" i="17" s="1"/>
  <c r="H242" i="17"/>
  <c r="H241" i="17"/>
  <c r="I241" i="17" s="1"/>
  <c r="J241" i="17" s="1"/>
  <c r="J240" i="17"/>
  <c r="H239" i="17"/>
  <c r="I239" i="17" s="1"/>
  <c r="J239" i="17" s="1"/>
  <c r="H238" i="17"/>
  <c r="I238" i="17" s="1"/>
  <c r="J238" i="17" s="1"/>
  <c r="J237" i="17"/>
  <c r="H237" i="17"/>
  <c r="I237" i="17" s="1"/>
  <c r="I236" i="17"/>
  <c r="J236" i="17" s="1"/>
  <c r="H236" i="17"/>
  <c r="H235" i="17"/>
  <c r="I235" i="17" s="1"/>
  <c r="J235" i="17" s="1"/>
  <c r="H234" i="17"/>
  <c r="I234" i="17" s="1"/>
  <c r="J234" i="17" s="1"/>
  <c r="H233" i="17"/>
  <c r="I233" i="17" s="1"/>
  <c r="J233" i="17" s="1"/>
  <c r="I232" i="17"/>
  <c r="J232" i="17" s="1"/>
  <c r="H232" i="17"/>
  <c r="J231" i="17"/>
  <c r="I230" i="17"/>
  <c r="J230" i="17" s="1"/>
  <c r="H230" i="17"/>
  <c r="H229" i="17"/>
  <c r="I229" i="17" s="1"/>
  <c r="J229" i="17" s="1"/>
  <c r="H228" i="17"/>
  <c r="I228" i="17" s="1"/>
  <c r="J228" i="17" s="1"/>
  <c r="J227" i="17"/>
  <c r="I227" i="17"/>
  <c r="H227" i="17"/>
  <c r="J225" i="17"/>
  <c r="I225" i="17"/>
  <c r="H225" i="17"/>
  <c r="I224" i="17"/>
  <c r="J224" i="17" s="1"/>
  <c r="H224" i="17"/>
  <c r="H223" i="17"/>
  <c r="I223" i="17" s="1"/>
  <c r="J223" i="17" s="1"/>
  <c r="H222" i="17"/>
  <c r="I222" i="17" s="1"/>
  <c r="J222" i="17" s="1"/>
  <c r="J221" i="17"/>
  <c r="I221" i="17"/>
  <c r="H221" i="17"/>
  <c r="I220" i="17"/>
  <c r="J220" i="17" s="1"/>
  <c r="H220" i="17"/>
  <c r="H219" i="17"/>
  <c r="I219" i="17" s="1"/>
  <c r="J219" i="17" s="1"/>
  <c r="H218" i="17"/>
  <c r="I218" i="17" s="1"/>
  <c r="J218" i="17" s="1"/>
  <c r="J217" i="17"/>
  <c r="I217" i="17"/>
  <c r="H217" i="17"/>
  <c r="I216" i="17"/>
  <c r="J216" i="17" s="1"/>
  <c r="H216" i="17"/>
  <c r="H215" i="17"/>
  <c r="I215" i="17" s="1"/>
  <c r="J215" i="17" s="1"/>
  <c r="H214" i="17"/>
  <c r="I214" i="17" s="1"/>
  <c r="J214" i="17" s="1"/>
  <c r="J213" i="17"/>
  <c r="I213" i="17"/>
  <c r="H213" i="17"/>
  <c r="I212" i="17"/>
  <c r="J212" i="17" s="1"/>
  <c r="H212" i="17"/>
  <c r="H211" i="17"/>
  <c r="I211" i="17" s="1"/>
  <c r="J211" i="17" s="1"/>
  <c r="H210" i="17"/>
  <c r="I210" i="17" s="1"/>
  <c r="J210" i="17" s="1"/>
  <c r="J209" i="17"/>
  <c r="H208" i="17"/>
  <c r="I208" i="17" s="1"/>
  <c r="J208" i="17" s="1"/>
  <c r="J207" i="17"/>
  <c r="I207" i="17"/>
  <c r="H207" i="17"/>
  <c r="J205" i="17"/>
  <c r="I205" i="17"/>
  <c r="H205" i="17"/>
  <c r="J204" i="17"/>
  <c r="I204" i="17"/>
  <c r="H204" i="17"/>
  <c r="H203" i="17"/>
  <c r="I203" i="17" s="1"/>
  <c r="J203" i="17" s="1"/>
  <c r="H202" i="17"/>
  <c r="I202" i="17" s="1"/>
  <c r="J202" i="17" s="1"/>
  <c r="J201" i="17"/>
  <c r="I201" i="17"/>
  <c r="H201" i="17"/>
  <c r="I200" i="17"/>
  <c r="J200" i="17" s="1"/>
  <c r="H200" i="17"/>
  <c r="I199" i="17"/>
  <c r="J199" i="17" s="1"/>
  <c r="H199" i="17"/>
  <c r="H198" i="17"/>
  <c r="I198" i="17" s="1"/>
  <c r="J198" i="17" s="1"/>
  <c r="J197" i="17"/>
  <c r="I197" i="17"/>
  <c r="H197" i="17"/>
  <c r="I196" i="17"/>
  <c r="J196" i="17" s="1"/>
  <c r="H196" i="17"/>
  <c r="H195" i="17"/>
  <c r="I195" i="17" s="1"/>
  <c r="J195" i="17" s="1"/>
  <c r="H194" i="17"/>
  <c r="I194" i="17" s="1"/>
  <c r="J194" i="17" s="1"/>
  <c r="J193" i="17"/>
  <c r="I193" i="17"/>
  <c r="H193" i="17"/>
  <c r="I192" i="17"/>
  <c r="J192" i="17" s="1"/>
  <c r="H192" i="17"/>
  <c r="I191" i="17"/>
  <c r="J191" i="17" s="1"/>
  <c r="H191" i="17"/>
  <c r="H189" i="17"/>
  <c r="I189" i="17" s="1"/>
  <c r="J189" i="17" s="1"/>
  <c r="H188" i="17"/>
  <c r="I188" i="17" s="1"/>
  <c r="J188" i="17" s="1"/>
  <c r="J187" i="17"/>
  <c r="I187" i="17"/>
  <c r="H187" i="17"/>
  <c r="J186" i="17"/>
  <c r="I186" i="17"/>
  <c r="H186" i="17"/>
  <c r="H185" i="17"/>
  <c r="I185" i="17" s="1"/>
  <c r="J185" i="17" s="1"/>
  <c r="H184" i="17"/>
  <c r="I184" i="17" s="1"/>
  <c r="J184" i="17" s="1"/>
  <c r="J183" i="17"/>
  <c r="I183" i="17"/>
  <c r="H183" i="17"/>
  <c r="J182" i="17"/>
  <c r="I182" i="17"/>
  <c r="H182" i="17"/>
  <c r="I181" i="17"/>
  <c r="J181" i="17" s="1"/>
  <c r="H181" i="17"/>
  <c r="H180" i="17"/>
  <c r="I180" i="17" s="1"/>
  <c r="J180" i="17" s="1"/>
  <c r="H178" i="17"/>
  <c r="I178" i="17" s="1"/>
  <c r="J178" i="17" s="1"/>
  <c r="J177" i="17"/>
  <c r="I177" i="17"/>
  <c r="H177" i="17"/>
  <c r="J176" i="17"/>
  <c r="I176" i="17"/>
  <c r="H176" i="17"/>
  <c r="H175" i="17"/>
  <c r="I175" i="17" s="1"/>
  <c r="J175" i="17" s="1"/>
  <c r="J174" i="17"/>
  <c r="H174" i="17"/>
  <c r="I174" i="17" s="1"/>
  <c r="I173" i="17"/>
  <c r="J173" i="17" s="1"/>
  <c r="H173" i="17"/>
  <c r="H172" i="17"/>
  <c r="I172" i="17" s="1"/>
  <c r="J172" i="17" s="1"/>
  <c r="I171" i="17"/>
  <c r="J171" i="17" s="1"/>
  <c r="H171" i="17"/>
  <c r="J170" i="17"/>
  <c r="H169" i="17"/>
  <c r="I169" i="17" s="1"/>
  <c r="J169" i="17" s="1"/>
  <c r="H168" i="17"/>
  <c r="I168" i="17" s="1"/>
  <c r="J168" i="17" s="1"/>
  <c r="H167" i="17"/>
  <c r="I167" i="17" s="1"/>
  <c r="J167" i="17" s="1"/>
  <c r="I166" i="17"/>
  <c r="J166" i="17" s="1"/>
  <c r="H166" i="17"/>
  <c r="H165" i="17"/>
  <c r="I165" i="17" s="1"/>
  <c r="J165" i="17" s="1"/>
  <c r="H164" i="17"/>
  <c r="I164" i="17" s="1"/>
  <c r="J164" i="17" s="1"/>
  <c r="H163" i="17"/>
  <c r="I163" i="17" s="1"/>
  <c r="J163" i="17" s="1"/>
  <c r="I162" i="17"/>
  <c r="J162" i="17" s="1"/>
  <c r="H162" i="17"/>
  <c r="H161" i="17"/>
  <c r="I161" i="17" s="1"/>
  <c r="J161" i="17" s="1"/>
  <c r="H160" i="17"/>
  <c r="I160" i="17" s="1"/>
  <c r="J160" i="17" s="1"/>
  <c r="H159" i="17"/>
  <c r="I159" i="17" s="1"/>
  <c r="J159" i="17" s="1"/>
  <c r="I158" i="17"/>
  <c r="J158" i="17" s="1"/>
  <c r="H158" i="17"/>
  <c r="H157" i="17"/>
  <c r="I157" i="17" s="1"/>
  <c r="J157" i="17" s="1"/>
  <c r="J156" i="17"/>
  <c r="I154" i="17"/>
  <c r="J154" i="17" s="1"/>
  <c r="H154" i="17"/>
  <c r="H153" i="17"/>
  <c r="I153" i="17" s="1"/>
  <c r="J153" i="17" s="1"/>
  <c r="H152" i="17"/>
  <c r="I152" i="17" s="1"/>
  <c r="J152" i="17" s="1"/>
  <c r="H151" i="17"/>
  <c r="I151" i="17" s="1"/>
  <c r="J151" i="17" s="1"/>
  <c r="I150" i="17"/>
  <c r="J150" i="17" s="1"/>
  <c r="H150" i="17"/>
  <c r="H149" i="17"/>
  <c r="I149" i="17" s="1"/>
  <c r="J149" i="17" s="1"/>
  <c r="H148" i="17"/>
  <c r="I148" i="17" s="1"/>
  <c r="J148" i="17" s="1"/>
  <c r="H147" i="17"/>
  <c r="I147" i="17" s="1"/>
  <c r="J147" i="17" s="1"/>
  <c r="I146" i="17"/>
  <c r="J146" i="17" s="1"/>
  <c r="H146" i="17"/>
  <c r="H145" i="17"/>
  <c r="I145" i="17" s="1"/>
  <c r="J145" i="17" s="1"/>
  <c r="H144" i="17"/>
  <c r="I144" i="17" s="1"/>
  <c r="J144" i="17" s="1"/>
  <c r="H143" i="17"/>
  <c r="I143" i="17" s="1"/>
  <c r="J143" i="17" s="1"/>
  <c r="I142" i="17"/>
  <c r="J142" i="17" s="1"/>
  <c r="H142" i="17"/>
  <c r="H141" i="17"/>
  <c r="I141" i="17" s="1"/>
  <c r="J141" i="17" s="1"/>
  <c r="H140" i="17"/>
  <c r="I140" i="17" s="1"/>
  <c r="J140" i="17" s="1"/>
  <c r="H139" i="17"/>
  <c r="I139" i="17" s="1"/>
  <c r="J139" i="17" s="1"/>
  <c r="I138" i="17"/>
  <c r="J138" i="17" s="1"/>
  <c r="H138" i="17"/>
  <c r="I136" i="17"/>
  <c r="J136" i="17" s="1"/>
  <c r="H136" i="17"/>
  <c r="H135" i="17"/>
  <c r="I135" i="17" s="1"/>
  <c r="J135" i="17" s="1"/>
  <c r="H134" i="17"/>
  <c r="I134" i="17" s="1"/>
  <c r="J134" i="17" s="1"/>
  <c r="H133" i="17"/>
  <c r="I133" i="17" s="1"/>
  <c r="J133" i="17" s="1"/>
  <c r="I132" i="17"/>
  <c r="J132" i="17" s="1"/>
  <c r="H132" i="17"/>
  <c r="H131" i="17"/>
  <c r="I131" i="17" s="1"/>
  <c r="J131" i="17" s="1"/>
  <c r="H130" i="17"/>
  <c r="I130" i="17" s="1"/>
  <c r="J130" i="17" s="1"/>
  <c r="H129" i="17"/>
  <c r="I129" i="17" s="1"/>
  <c r="J129" i="17" s="1"/>
  <c r="I128" i="17"/>
  <c r="J128" i="17" s="1"/>
  <c r="H128" i="17"/>
  <c r="H127" i="17"/>
  <c r="I127" i="17" s="1"/>
  <c r="J127" i="17" s="1"/>
  <c r="H126" i="17"/>
  <c r="I126" i="17" s="1"/>
  <c r="J126" i="17" s="1"/>
  <c r="H125" i="17"/>
  <c r="I125" i="17" s="1"/>
  <c r="J125" i="17" s="1"/>
  <c r="I124" i="17"/>
  <c r="J124" i="17" s="1"/>
  <c r="H124" i="17"/>
  <c r="J123" i="17"/>
  <c r="I122" i="17"/>
  <c r="J122" i="17" s="1"/>
  <c r="H122" i="17"/>
  <c r="H121" i="17"/>
  <c r="I121" i="17" s="1"/>
  <c r="J121" i="17" s="1"/>
  <c r="H120" i="17"/>
  <c r="I120" i="17" s="1"/>
  <c r="J120" i="17" s="1"/>
  <c r="H119" i="17"/>
  <c r="I119" i="17" s="1"/>
  <c r="J119" i="17" s="1"/>
  <c r="I118" i="17"/>
  <c r="J118" i="17" s="1"/>
  <c r="H118" i="17"/>
  <c r="H117" i="17"/>
  <c r="I117" i="17" s="1"/>
  <c r="J117" i="17" s="1"/>
  <c r="H116" i="17"/>
  <c r="I116" i="17" s="1"/>
  <c r="J116" i="17" s="1"/>
  <c r="H115" i="17"/>
  <c r="I115" i="17" s="1"/>
  <c r="J115" i="17" s="1"/>
  <c r="I114" i="17"/>
  <c r="J114" i="17" s="1"/>
  <c r="H114" i="17"/>
  <c r="H113" i="17"/>
  <c r="I113" i="17" s="1"/>
  <c r="J113" i="17" s="1"/>
  <c r="H112" i="17"/>
  <c r="I112" i="17" s="1"/>
  <c r="J112" i="17" s="1"/>
  <c r="H111" i="17"/>
  <c r="I111" i="17" s="1"/>
  <c r="J111" i="17" s="1"/>
  <c r="I110" i="17"/>
  <c r="J110" i="17" s="1"/>
  <c r="H110" i="17"/>
  <c r="H109" i="17"/>
  <c r="I109" i="17" s="1"/>
  <c r="J109" i="17" s="1"/>
  <c r="H108" i="17"/>
  <c r="I108" i="17" s="1"/>
  <c r="J108" i="17" s="1"/>
  <c r="H107" i="17"/>
  <c r="I107" i="17" s="1"/>
  <c r="J107" i="17" s="1"/>
  <c r="I106" i="17"/>
  <c r="J106" i="17" s="1"/>
  <c r="H106" i="17"/>
  <c r="H105" i="17"/>
  <c r="I105" i="17" s="1"/>
  <c r="J105" i="17" s="1"/>
  <c r="J104" i="17"/>
  <c r="H103" i="17"/>
  <c r="I103" i="17" s="1"/>
  <c r="J103" i="17" s="1"/>
  <c r="J102" i="17"/>
  <c r="H101" i="17"/>
  <c r="I101" i="17" s="1"/>
  <c r="J101" i="17" s="1"/>
  <c r="H100" i="17"/>
  <c r="I100" i="17" s="1"/>
  <c r="J100" i="17" s="1"/>
  <c r="H99" i="17"/>
  <c r="I99" i="17" s="1"/>
  <c r="J99" i="17" s="1"/>
  <c r="I98" i="17"/>
  <c r="J98" i="17" s="1"/>
  <c r="H98" i="17"/>
  <c r="H97" i="17"/>
  <c r="I97" i="17" s="1"/>
  <c r="J97" i="17" s="1"/>
  <c r="H96" i="17"/>
  <c r="I96" i="17" s="1"/>
  <c r="J96" i="17" s="1"/>
  <c r="H95" i="17"/>
  <c r="I95" i="17" s="1"/>
  <c r="J95" i="17" s="1"/>
  <c r="I94" i="17"/>
  <c r="J94" i="17" s="1"/>
  <c r="H94" i="17"/>
  <c r="H93" i="17"/>
  <c r="I93" i="17" s="1"/>
  <c r="J93" i="17" s="1"/>
  <c r="H92" i="17"/>
  <c r="I92" i="17" s="1"/>
  <c r="J92" i="17" s="1"/>
  <c r="H89" i="17"/>
  <c r="I89" i="17" s="1"/>
  <c r="J89" i="17" s="1"/>
  <c r="I88" i="17"/>
  <c r="J88" i="17" s="1"/>
  <c r="H88" i="17"/>
  <c r="H87" i="17"/>
  <c r="I87" i="17" s="1"/>
  <c r="J87" i="17" s="1"/>
  <c r="J86" i="17"/>
  <c r="I86" i="17"/>
  <c r="H86" i="17"/>
  <c r="J85" i="17"/>
  <c r="J84" i="17"/>
  <c r="I84" i="17"/>
  <c r="H84" i="17"/>
  <c r="I83" i="17"/>
  <c r="J83" i="17" s="1"/>
  <c r="H83" i="17"/>
  <c r="H82" i="17"/>
  <c r="I82" i="17" s="1"/>
  <c r="J82" i="17" s="1"/>
  <c r="J81" i="17"/>
  <c r="H81" i="17"/>
  <c r="I81" i="17" s="1"/>
  <c r="J80" i="17"/>
  <c r="H79" i="17"/>
  <c r="I79" i="17" s="1"/>
  <c r="J79" i="17" s="1"/>
  <c r="J78" i="17"/>
  <c r="H77" i="17"/>
  <c r="I77" i="17" s="1"/>
  <c r="J77" i="17" s="1"/>
  <c r="J76" i="17"/>
  <c r="H75" i="17"/>
  <c r="I75" i="17" s="1"/>
  <c r="J75" i="17" s="1"/>
  <c r="I74" i="17"/>
  <c r="J74" i="17" s="1"/>
  <c r="H74" i="17"/>
  <c r="H73" i="17"/>
  <c r="I73" i="17" s="1"/>
  <c r="J73" i="17" s="1"/>
  <c r="H72" i="17"/>
  <c r="I72" i="17" s="1"/>
  <c r="J72" i="17" s="1"/>
  <c r="H71" i="17"/>
  <c r="I71" i="17" s="1"/>
  <c r="J71" i="17" s="1"/>
  <c r="I70" i="17"/>
  <c r="J70" i="17" s="1"/>
  <c r="H70" i="17"/>
  <c r="H69" i="17"/>
  <c r="I69" i="17" s="1"/>
  <c r="J69" i="17" s="1"/>
  <c r="H68" i="17"/>
  <c r="I68" i="17" s="1"/>
  <c r="J68" i="17" s="1"/>
  <c r="H67" i="17"/>
  <c r="I67" i="17" s="1"/>
  <c r="J67" i="17" s="1"/>
  <c r="I66" i="17"/>
  <c r="J66" i="17" s="1"/>
  <c r="H66" i="17"/>
  <c r="H65" i="17"/>
  <c r="I65" i="17" s="1"/>
  <c r="J65" i="17" s="1"/>
  <c r="J64" i="17"/>
  <c r="H63" i="17"/>
  <c r="I63" i="17" s="1"/>
  <c r="J63" i="17" s="1"/>
  <c r="H62" i="17"/>
  <c r="I62" i="17" s="1"/>
  <c r="J62" i="17" s="1"/>
  <c r="H61" i="17"/>
  <c r="I61" i="17" s="1"/>
  <c r="J61" i="17" s="1"/>
  <c r="I60" i="17"/>
  <c r="J60" i="17" s="1"/>
  <c r="H60" i="17"/>
  <c r="H59" i="17"/>
  <c r="I59" i="17" s="1"/>
  <c r="J59" i="17" s="1"/>
  <c r="H58" i="17"/>
  <c r="I58" i="17" s="1"/>
  <c r="J58" i="17" s="1"/>
  <c r="H57" i="17"/>
  <c r="I57" i="17" s="1"/>
  <c r="J57" i="17" s="1"/>
  <c r="I56" i="17"/>
  <c r="J56" i="17" s="1"/>
  <c r="H56" i="17"/>
  <c r="J53" i="17"/>
  <c r="H53" i="17"/>
  <c r="I53" i="17" s="1"/>
  <c r="I52" i="17"/>
  <c r="J52" i="17" s="1"/>
  <c r="H52" i="17"/>
  <c r="J51" i="17"/>
  <c r="I50" i="17"/>
  <c r="J50" i="17" s="1"/>
  <c r="H50" i="17"/>
  <c r="H49" i="17"/>
  <c r="I49" i="17" s="1"/>
  <c r="J49" i="17" s="1"/>
  <c r="I48" i="17"/>
  <c r="J48" i="17" s="1"/>
  <c r="H48" i="17"/>
  <c r="H47" i="17"/>
  <c r="I47" i="17" s="1"/>
  <c r="J47" i="17" s="1"/>
  <c r="J46" i="17"/>
  <c r="I46" i="17"/>
  <c r="H46" i="17"/>
  <c r="I45" i="17"/>
  <c r="J45" i="17" s="1"/>
  <c r="H45" i="17"/>
  <c r="H44" i="17"/>
  <c r="I44" i="17" s="1"/>
  <c r="J44" i="17" s="1"/>
  <c r="J43" i="17"/>
  <c r="H42" i="17"/>
  <c r="I42" i="17" s="1"/>
  <c r="J42" i="17" s="1"/>
  <c r="H41" i="17"/>
  <c r="I41" i="17" s="1"/>
  <c r="J41" i="17" s="1"/>
  <c r="I40" i="17"/>
  <c r="J40" i="17" s="1"/>
  <c r="H40" i="17"/>
  <c r="H39" i="17"/>
  <c r="I39" i="17" s="1"/>
  <c r="H38" i="17"/>
  <c r="I38" i="17" s="1"/>
  <c r="J38" i="17" s="1"/>
  <c r="H37" i="17"/>
  <c r="I37" i="17" s="1"/>
  <c r="J37" i="17" s="1"/>
  <c r="J36" i="17"/>
  <c r="J35" i="17"/>
  <c r="H35" i="17"/>
  <c r="I35" i="17" s="1"/>
  <c r="I34" i="17"/>
  <c r="J34" i="17" s="1"/>
  <c r="H34" i="17"/>
  <c r="H33" i="17"/>
  <c r="I33" i="17" s="1"/>
  <c r="J33" i="17" s="1"/>
  <c r="I32" i="17"/>
  <c r="J32" i="17" s="1"/>
  <c r="H32" i="17"/>
  <c r="J31" i="17"/>
  <c r="H30" i="17"/>
  <c r="I30" i="17" s="1"/>
  <c r="J30" i="17" s="1"/>
  <c r="H29" i="17"/>
  <c r="I29" i="17" s="1"/>
  <c r="J29" i="17" s="1"/>
  <c r="I28" i="17"/>
  <c r="J28" i="17" s="1"/>
  <c r="H28" i="17"/>
  <c r="H27" i="17"/>
  <c r="I27" i="17" s="1"/>
  <c r="J27" i="17" s="1"/>
  <c r="H26" i="17"/>
  <c r="I26" i="17" s="1"/>
  <c r="J26" i="17" s="1"/>
  <c r="J25" i="17"/>
  <c r="H23" i="17"/>
  <c r="I23" i="17" s="1"/>
  <c r="J23" i="17" s="1"/>
  <c r="I22" i="17"/>
  <c r="J22" i="17" s="1"/>
  <c r="H22" i="17"/>
  <c r="H21" i="17"/>
  <c r="I21" i="17" s="1"/>
  <c r="J21" i="17" s="1"/>
  <c r="J20" i="17"/>
  <c r="H19" i="17"/>
  <c r="I19" i="17" s="1"/>
  <c r="J19" i="17" s="1"/>
  <c r="I18" i="17"/>
  <c r="J18" i="17" s="1"/>
  <c r="H18" i="17"/>
  <c r="H17" i="17"/>
  <c r="I17" i="17" s="1"/>
  <c r="J17" i="17" s="1"/>
  <c r="H16" i="17"/>
  <c r="I16" i="17" s="1"/>
  <c r="J16" i="17" s="1"/>
  <c r="J15" i="17"/>
  <c r="I14" i="17"/>
  <c r="J14" i="17" s="1"/>
  <c r="H14" i="17"/>
  <c r="H13" i="17"/>
  <c r="I13" i="17" s="1"/>
  <c r="J13" i="17" s="1"/>
  <c r="J12" i="17"/>
  <c r="I12" i="17"/>
  <c r="H12" i="17"/>
  <c r="I11" i="17"/>
  <c r="J11" i="17" s="1"/>
  <c r="H11" i="17"/>
  <c r="H10" i="17"/>
  <c r="I10" i="17" s="1"/>
  <c r="J10" i="17" s="1"/>
  <c r="J9" i="17"/>
  <c r="H9" i="17"/>
  <c r="I9" i="17" s="1"/>
  <c r="I8" i="17"/>
  <c r="J8" i="17" s="1"/>
  <c r="H8" i="17"/>
  <c r="H7" i="17"/>
  <c r="I7" i="17" s="1"/>
  <c r="J7" i="17" s="1"/>
  <c r="J6" i="17"/>
  <c r="J5" i="17"/>
  <c r="J45" i="16"/>
  <c r="I45" i="16"/>
  <c r="A45" i="16"/>
  <c r="C45" i="16" s="1"/>
  <c r="J44" i="16"/>
  <c r="C44" i="16"/>
  <c r="J43" i="16"/>
  <c r="P39" i="16"/>
  <c r="I39" i="16"/>
  <c r="C39" i="16"/>
  <c r="A39" i="16"/>
  <c r="A40" i="16" s="1"/>
  <c r="C38" i="16"/>
  <c r="I33" i="16"/>
  <c r="M30" i="16"/>
  <c r="A28" i="16"/>
  <c r="C28" i="16" s="1"/>
  <c r="C27" i="16"/>
  <c r="N26" i="16"/>
  <c r="N24" i="16"/>
  <c r="M22" i="16"/>
  <c r="I22" i="16"/>
  <c r="C22" i="16"/>
  <c r="A22" i="16"/>
  <c r="A23" i="16" s="1"/>
  <c r="M21" i="16"/>
  <c r="I21" i="16"/>
  <c r="C21" i="16"/>
  <c r="M20" i="16"/>
  <c r="I20" i="16"/>
  <c r="M19" i="16"/>
  <c r="I19" i="16"/>
  <c r="M18" i="16"/>
  <c r="I18" i="16"/>
  <c r="A15" i="16"/>
  <c r="A17" i="16" s="1"/>
  <c r="C14" i="16"/>
  <c r="C13" i="16"/>
  <c r="C12" i="16"/>
  <c r="Q11" i="16"/>
  <c r="L30" i="16" s="1"/>
  <c r="C11" i="16"/>
  <c r="C10" i="16"/>
  <c r="C9" i="16"/>
  <c r="C8" i="16"/>
  <c r="I5" i="16"/>
  <c r="A3" i="16"/>
  <c r="A4" i="16" s="1"/>
  <c r="C2" i="16"/>
  <c r="P18" i="16" s="1"/>
  <c r="J154" i="3"/>
  <c r="J153" i="3"/>
  <c r="J152" i="3"/>
  <c r="J151" i="3"/>
  <c r="J150" i="3"/>
  <c r="J149" i="3"/>
  <c r="J148" i="3"/>
  <c r="J147" i="3"/>
  <c r="J146" i="3"/>
  <c r="H133" i="3"/>
  <c r="J133" i="3" s="1"/>
  <c r="H132" i="3"/>
  <c r="J132" i="3" s="1"/>
  <c r="H131" i="3"/>
  <c r="J131" i="3" s="1"/>
  <c r="J134" i="3" s="1"/>
  <c r="J124" i="3"/>
  <c r="H124" i="3"/>
  <c r="J123" i="3"/>
  <c r="H123" i="3"/>
  <c r="J122" i="3"/>
  <c r="H122" i="3"/>
  <c r="J121" i="3"/>
  <c r="H121" i="3"/>
  <c r="J120" i="3"/>
  <c r="H120" i="3"/>
  <c r="J119" i="3"/>
  <c r="H119" i="3"/>
  <c r="J118" i="3"/>
  <c r="H118" i="3"/>
  <c r="J117" i="3"/>
  <c r="H117" i="3"/>
  <c r="J116" i="3"/>
  <c r="H116" i="3"/>
  <c r="J115" i="3"/>
  <c r="H115" i="3"/>
  <c r="J114" i="3"/>
  <c r="H114" i="3"/>
  <c r="J113" i="3"/>
  <c r="H113" i="3"/>
  <c r="J112" i="3"/>
  <c r="H112" i="3"/>
  <c r="J110" i="3"/>
  <c r="H110" i="3"/>
  <c r="J109" i="3"/>
  <c r="H109" i="3"/>
  <c r="J108" i="3"/>
  <c r="H107" i="3"/>
  <c r="J107" i="3" s="1"/>
  <c r="H106" i="3"/>
  <c r="J106" i="3" s="1"/>
  <c r="J105" i="3"/>
  <c r="J104" i="3"/>
  <c r="H104" i="3"/>
  <c r="J103" i="3"/>
  <c r="H103" i="3"/>
  <c r="J102" i="3"/>
  <c r="H102" i="3"/>
  <c r="J101" i="3"/>
  <c r="H100" i="3"/>
  <c r="J100" i="3" s="1"/>
  <c r="J93" i="3"/>
  <c r="H93" i="3"/>
  <c r="J92" i="3"/>
  <c r="H92" i="3"/>
  <c r="J91" i="3"/>
  <c r="H91" i="3"/>
  <c r="J90" i="3"/>
  <c r="H90" i="3"/>
  <c r="J89" i="3"/>
  <c r="H89" i="3"/>
  <c r="J88" i="3"/>
  <c r="H88" i="3"/>
  <c r="J87" i="3"/>
  <c r="H87" i="3"/>
  <c r="J86" i="3"/>
  <c r="H86" i="3"/>
  <c r="J85" i="3"/>
  <c r="H85" i="3"/>
  <c r="J84" i="3"/>
  <c r="H84" i="3"/>
  <c r="J83" i="3"/>
  <c r="H83" i="3"/>
  <c r="J82" i="3"/>
  <c r="H82" i="3"/>
  <c r="J81" i="3"/>
  <c r="H81" i="3"/>
  <c r="J79" i="3"/>
  <c r="H79" i="3"/>
  <c r="J78" i="3"/>
  <c r="H78" i="3"/>
  <c r="J77" i="3"/>
  <c r="H77" i="3"/>
  <c r="J76" i="3"/>
  <c r="H76" i="3"/>
  <c r="J75" i="3"/>
  <c r="H75" i="3"/>
  <c r="J74" i="3"/>
  <c r="H74" i="3"/>
  <c r="J73" i="3"/>
  <c r="H73" i="3"/>
  <c r="J72" i="3"/>
  <c r="H72" i="3"/>
  <c r="J71" i="3"/>
  <c r="H71" i="3"/>
  <c r="J70" i="3"/>
  <c r="H70" i="3"/>
  <c r="J69" i="3"/>
  <c r="J94" i="3" s="1"/>
  <c r="H69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8" i="3"/>
  <c r="K47" i="3"/>
  <c r="K46" i="3"/>
  <c r="K45" i="3"/>
  <c r="K44" i="3"/>
  <c r="K43" i="3"/>
  <c r="K42" i="3"/>
  <c r="K41" i="3"/>
  <c r="K40" i="3"/>
  <c r="K39" i="3"/>
  <c r="K38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7" i="3"/>
  <c r="K16" i="3"/>
  <c r="K15" i="3"/>
  <c r="K14" i="3"/>
  <c r="K13" i="3"/>
  <c r="K12" i="3"/>
  <c r="K11" i="3"/>
  <c r="K10" i="3"/>
  <c r="K9" i="3"/>
  <c r="K8" i="3"/>
  <c r="K7" i="3"/>
  <c r="K32" i="3" s="1"/>
  <c r="G5" i="6"/>
  <c r="G9" i="6"/>
  <c r="F12" i="6"/>
  <c r="G12" i="6" s="1"/>
  <c r="G13" i="6"/>
  <c r="B21" i="11"/>
  <c r="G67" i="6"/>
  <c r="G66" i="6"/>
  <c r="K66" i="6"/>
  <c r="K67" i="6"/>
  <c r="I7" i="10"/>
  <c r="F7" i="10"/>
  <c r="E6" i="10"/>
  <c r="D6" i="10"/>
  <c r="I6" i="10" s="1"/>
  <c r="H5" i="10"/>
  <c r="F5" i="10"/>
  <c r="E5" i="10"/>
  <c r="I5" i="10" s="1"/>
  <c r="I4" i="10"/>
  <c r="D4" i="6"/>
  <c r="I4" i="6" s="1"/>
  <c r="C76" i="6"/>
  <c r="H56" i="6"/>
  <c r="G38" i="6"/>
  <c r="D7" i="5"/>
  <c r="D6" i="5"/>
  <c r="I93" i="6"/>
  <c r="G63" i="6"/>
  <c r="I63" i="6" s="1"/>
  <c r="E3" i="8"/>
  <c r="E4" i="8"/>
  <c r="E5" i="8"/>
  <c r="E6" i="8"/>
  <c r="E9" i="8" s="1"/>
  <c r="E7" i="8"/>
  <c r="E8" i="8"/>
  <c r="D12" i="8"/>
  <c r="D18" i="8" s="1"/>
  <c r="D13" i="8"/>
  <c r="D14" i="8"/>
  <c r="D15" i="8"/>
  <c r="C16" i="8"/>
  <c r="D16" i="8" s="1"/>
  <c r="C17" i="8"/>
  <c r="D17" i="8"/>
  <c r="E3" i="7"/>
  <c r="F3" i="7"/>
  <c r="G3" i="7"/>
  <c r="E4" i="7"/>
  <c r="E23" i="7" s="1"/>
  <c r="F4" i="7"/>
  <c r="G4" i="7"/>
  <c r="E5" i="7"/>
  <c r="F5" i="7"/>
  <c r="F23" i="7" s="1"/>
  <c r="G5" i="7"/>
  <c r="E6" i="7"/>
  <c r="F6" i="7"/>
  <c r="G6" i="7"/>
  <c r="G23" i="7" s="1"/>
  <c r="E7" i="7"/>
  <c r="F7" i="7"/>
  <c r="G7" i="7"/>
  <c r="E8" i="7"/>
  <c r="F8" i="7"/>
  <c r="G8" i="7"/>
  <c r="E9" i="7"/>
  <c r="F9" i="7"/>
  <c r="G9" i="7"/>
  <c r="E10" i="7"/>
  <c r="F10" i="7"/>
  <c r="G10" i="7"/>
  <c r="E11" i="7"/>
  <c r="F11" i="7"/>
  <c r="G11" i="7"/>
  <c r="E12" i="7"/>
  <c r="F12" i="7"/>
  <c r="G12" i="7"/>
  <c r="E13" i="7"/>
  <c r="F13" i="7"/>
  <c r="G13" i="7"/>
  <c r="E14" i="7"/>
  <c r="F14" i="7"/>
  <c r="G14" i="7"/>
  <c r="E15" i="7"/>
  <c r="F15" i="7"/>
  <c r="G15" i="7"/>
  <c r="E16" i="7"/>
  <c r="F16" i="7"/>
  <c r="G16" i="7"/>
  <c r="E17" i="7"/>
  <c r="F17" i="7"/>
  <c r="G17" i="7"/>
  <c r="E18" i="7"/>
  <c r="F18" i="7"/>
  <c r="G18" i="7"/>
  <c r="E19" i="7"/>
  <c r="F19" i="7"/>
  <c r="G19" i="7"/>
  <c r="E20" i="7"/>
  <c r="F20" i="7"/>
  <c r="G20" i="7"/>
  <c r="E21" i="7"/>
  <c r="F21" i="7"/>
  <c r="G21" i="7"/>
  <c r="E22" i="7"/>
  <c r="F22" i="7"/>
  <c r="G22" i="7"/>
  <c r="E26" i="7"/>
  <c r="E33" i="7" s="1"/>
  <c r="E27" i="7"/>
  <c r="E28" i="7"/>
  <c r="E29" i="7"/>
  <c r="E30" i="7"/>
  <c r="E31" i="7"/>
  <c r="E32" i="7"/>
  <c r="E36" i="7"/>
  <c r="F36" i="7"/>
  <c r="E37" i="7"/>
  <c r="F37" i="7"/>
  <c r="E38" i="7"/>
  <c r="F38" i="7"/>
  <c r="E39" i="7"/>
  <c r="F39" i="7"/>
  <c r="E40" i="7"/>
  <c r="F40" i="7"/>
  <c r="E41" i="7"/>
  <c r="F41" i="7"/>
  <c r="E42" i="7"/>
  <c r="F42" i="7"/>
  <c r="E43" i="7"/>
  <c r="F43" i="7"/>
  <c r="E44" i="7"/>
  <c r="F44" i="7"/>
  <c r="E45" i="7"/>
  <c r="F45" i="7"/>
  <c r="E46" i="7"/>
  <c r="F46" i="7"/>
  <c r="E47" i="7"/>
  <c r="F47" i="7"/>
  <c r="E48" i="7"/>
  <c r="F48" i="7"/>
  <c r="E49" i="7"/>
  <c r="F49" i="7"/>
  <c r="E50" i="7"/>
  <c r="F50" i="7"/>
  <c r="E51" i="7"/>
  <c r="F51" i="7"/>
  <c r="F4" i="6"/>
  <c r="I5" i="6"/>
  <c r="J6" i="6"/>
  <c r="J7" i="6"/>
  <c r="I8" i="6"/>
  <c r="I9" i="6"/>
  <c r="E10" i="6"/>
  <c r="I10" i="6"/>
  <c r="E11" i="6"/>
  <c r="I11" i="6"/>
  <c r="I12" i="6"/>
  <c r="E13" i="6"/>
  <c r="I13" i="6"/>
  <c r="I14" i="6"/>
  <c r="I15" i="6"/>
  <c r="I16" i="6"/>
  <c r="I17" i="6"/>
  <c r="I18" i="6"/>
  <c r="J19" i="6"/>
  <c r="J20" i="6"/>
  <c r="I21" i="6"/>
  <c r="J22" i="6"/>
  <c r="J23" i="6"/>
  <c r="I24" i="6"/>
  <c r="I25" i="6"/>
  <c r="I26" i="6"/>
  <c r="I27" i="6"/>
  <c r="D28" i="6"/>
  <c r="F28" i="6" s="1"/>
  <c r="G28" i="6" s="1"/>
  <c r="I28" i="6"/>
  <c r="I29" i="6"/>
  <c r="F29" i="6" s="1"/>
  <c r="D30" i="6"/>
  <c r="F30" i="6" s="1"/>
  <c r="G30" i="6" s="1"/>
  <c r="I32" i="6"/>
  <c r="I33" i="6"/>
  <c r="E34" i="6"/>
  <c r="I34" i="6"/>
  <c r="I35" i="6"/>
  <c r="J36" i="6"/>
  <c r="J37" i="6"/>
  <c r="I38" i="6"/>
  <c r="D39" i="6"/>
  <c r="F39" i="6" s="1"/>
  <c r="G39" i="6" s="1"/>
  <c r="I39" i="6"/>
  <c r="D40" i="6"/>
  <c r="F40" i="6" s="1"/>
  <c r="G40" i="6" s="1"/>
  <c r="I40" i="6"/>
  <c r="I41" i="6"/>
  <c r="J42" i="6"/>
  <c r="J43" i="6"/>
  <c r="J44" i="6"/>
  <c r="F45" i="6"/>
  <c r="G45" i="6"/>
  <c r="I45" i="6"/>
  <c r="J46" i="6"/>
  <c r="J47" i="6"/>
  <c r="I48" i="6"/>
  <c r="I49" i="6"/>
  <c r="I50" i="6"/>
  <c r="D53" i="6"/>
  <c r="F53" i="6" s="1"/>
  <c r="G53" i="6" s="1"/>
  <c r="I53" i="6" s="1"/>
  <c r="D55" i="6"/>
  <c r="F55" i="6" s="1"/>
  <c r="H55" i="6" s="1"/>
  <c r="J55" i="6"/>
  <c r="I56" i="6"/>
  <c r="G56" i="6" s="1"/>
  <c r="I57" i="6"/>
  <c r="G57" i="6" s="1"/>
  <c r="D58" i="6"/>
  <c r="I58" i="6"/>
  <c r="D59" i="6"/>
  <c r="J59" i="6"/>
  <c r="J60" i="6"/>
  <c r="I61" i="6"/>
  <c r="K69" i="6"/>
  <c r="K70" i="6"/>
  <c r="G70" i="6" s="1"/>
  <c r="L70" i="6"/>
  <c r="H70" i="6" s="1"/>
  <c r="G71" i="6"/>
  <c r="K71" i="6" s="1"/>
  <c r="H71" i="6"/>
  <c r="L71" i="6" s="1"/>
  <c r="H72" i="6"/>
  <c r="K72" i="6"/>
  <c r="K73" i="6"/>
  <c r="L73" i="6"/>
  <c r="C3" i="5"/>
  <c r="D3" i="5" s="1"/>
  <c r="C4" i="5"/>
  <c r="D4" i="5" s="1"/>
  <c r="D5" i="5"/>
  <c r="D11" i="5"/>
  <c r="E11" i="5" s="1"/>
  <c r="D12" i="5"/>
  <c r="E12" i="5"/>
  <c r="E13" i="5"/>
  <c r="E14" i="5"/>
  <c r="E5" i="3"/>
  <c r="E9" i="3"/>
  <c r="E13" i="3"/>
  <c r="E17" i="3"/>
  <c r="E18" i="3"/>
  <c r="E19" i="3" s="1"/>
  <c r="E23" i="3"/>
  <c r="E25" i="3" s="1"/>
  <c r="E24" i="3"/>
  <c r="E29" i="3"/>
  <c r="E30" i="3"/>
  <c r="E35" i="3"/>
  <c r="E37" i="3" s="1"/>
  <c r="E36" i="3"/>
  <c r="D41" i="3"/>
  <c r="D45" i="3"/>
  <c r="D49" i="3"/>
  <c r="K63" i="3" l="1"/>
  <c r="I155" i="17"/>
  <c r="J155" i="17" s="1"/>
  <c r="J190" i="17"/>
  <c r="I90" i="17"/>
  <c r="J90" i="17" s="1"/>
  <c r="J91" i="17"/>
  <c r="R18" i="16"/>
  <c r="A5" i="16"/>
  <c r="C4" i="16"/>
  <c r="A18" i="16"/>
  <c r="C17" i="16"/>
  <c r="A41" i="16"/>
  <c r="C40" i="16"/>
  <c r="C23" i="16"/>
  <c r="A24" i="16"/>
  <c r="A29" i="16"/>
  <c r="M31" i="16"/>
  <c r="A46" i="16"/>
  <c r="C3" i="16"/>
  <c r="R19" i="16" s="1"/>
  <c r="C15" i="16"/>
  <c r="Q18" i="16"/>
  <c r="N25" i="16"/>
  <c r="O25" i="16" s="1"/>
  <c r="J125" i="3"/>
  <c r="E31" i="3"/>
  <c r="J76" i="6"/>
  <c r="H76" i="6"/>
  <c r="E76" i="6"/>
  <c r="L76" i="6"/>
  <c r="I76" i="6"/>
  <c r="F74" i="6"/>
  <c r="G74" i="6" s="1"/>
  <c r="K74" i="6" s="1"/>
  <c r="K76" i="6" s="1"/>
  <c r="E15" i="5"/>
  <c r="D29" i="6"/>
  <c r="D76" i="6" s="1"/>
  <c r="G29" i="6"/>
  <c r="G4" i="6"/>
  <c r="Q20" i="16" l="1"/>
  <c r="A47" i="16"/>
  <c r="C46" i="16"/>
  <c r="C24" i="16"/>
  <c r="A25" i="16"/>
  <c r="C18" i="16"/>
  <c r="A19" i="16"/>
  <c r="A42" i="16"/>
  <c r="C41" i="16"/>
  <c r="R20" i="16"/>
  <c r="Q19" i="16"/>
  <c r="A32" i="16"/>
  <c r="C29" i="16"/>
  <c r="P19" i="16"/>
  <c r="P20" i="16"/>
  <c r="A6" i="16"/>
  <c r="C5" i="16"/>
  <c r="R21" i="16" s="1"/>
  <c r="N27" i="16"/>
  <c r="G76" i="6"/>
  <c r="F76" i="6"/>
  <c r="A43" i="16" l="1"/>
  <c r="C43" i="16" s="1"/>
  <c r="C42" i="16"/>
  <c r="A26" i="16"/>
  <c r="C26" i="16" s="1"/>
  <c r="C25" i="16"/>
  <c r="A33" i="16"/>
  <c r="C32" i="16"/>
  <c r="A20" i="16"/>
  <c r="C20" i="16" s="1"/>
  <c r="C19" i="16"/>
  <c r="Q21" i="16"/>
  <c r="A7" i="16"/>
  <c r="C7" i="16" s="1"/>
  <c r="Q26" i="16" s="1"/>
  <c r="C6" i="16"/>
  <c r="R26" i="16" s="1"/>
  <c r="P21" i="16"/>
  <c r="C47" i="16"/>
  <c r="A48" i="16"/>
  <c r="P22" i="16" l="1"/>
  <c r="Q22" i="16"/>
  <c r="P26" i="16"/>
  <c r="O26" i="16" s="1"/>
  <c r="O27" i="16" s="1"/>
  <c r="A49" i="16"/>
  <c r="C49" i="16" s="1"/>
  <c r="C48" i="16"/>
  <c r="R22" i="16"/>
  <c r="A34" i="16"/>
  <c r="C34" i="16" s="1"/>
  <c r="C33" i="16"/>
</calcChain>
</file>

<file path=xl/sharedStrings.xml><?xml version="1.0" encoding="utf-8"?>
<sst xmlns="http://schemas.openxmlformats.org/spreadsheetml/2006/main" count="21784" uniqueCount="3469">
  <si>
    <t>Obra</t>
  </si>
  <si>
    <t>Bancos</t>
  </si>
  <si>
    <t>B.D.I.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</si>
  <si>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</si>
  <si>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</si>
  <si>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</si>
  <si>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</si>
  <si>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</si>
  <si>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</si>
  <si>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</si>
  <si>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</si>
  <si>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</si>
  <si>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</si>
  <si>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</si>
  <si>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</si>
  <si>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</si>
  <si>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 xml:space="preserve"> 1.1 </t>
  </si>
  <si>
    <t>PLACA DE OBRA E INSTALAÇÕES PROVISÓRIAS</t>
  </si>
  <si>
    <t xml:space="preserve"> 1.1.1 </t>
  </si>
  <si>
    <t xml:space="preserve"> 021301 </t>
  </si>
  <si>
    <t>AGETOP CIVIL</t>
  </si>
  <si>
    <t>PLACA DE OBRA PLOTADA EM CHAPA METÁLICA 26 , AFIXADA EM CAVALETES DE MADEIRA DE LEI (VIGOTAS 6X12CM) - PADRÃO GOINFRA</t>
  </si>
  <si>
    <t>m²</t>
  </si>
  <si>
    <t xml:space="preserve"> 1.1.2 </t>
  </si>
  <si>
    <t xml:space="preserve"> 00010776 </t>
  </si>
  <si>
    <t>SINAPI</t>
  </si>
  <si>
    <t>LOCACAO DE CONTAINER 2,30  X  6,00 M, ALT. 2,50 M, PARA ESCRITORIO, SEM DIVISORIAS INTERNAS E SEM SANITARIO</t>
  </si>
  <si>
    <t>MES</t>
  </si>
  <si>
    <t xml:space="preserve"> 1.1.3 </t>
  </si>
  <si>
    <t xml:space="preserve"> 93208 </t>
  </si>
  <si>
    <t>EXECUÇÃO DE ALMOXARIFADO EM CANTEIRO DE OBRA EM CHAPA DE MADEIRA COMPENSADA, INCLUSO PRATELEIRAS. AF_02/2016</t>
  </si>
  <si>
    <t xml:space="preserve"> 1.1.4 </t>
  </si>
  <si>
    <t xml:space="preserve"> 020701 </t>
  </si>
  <si>
    <t>LOCAÇÃO DA OBRA, EXECUÇÃO DE GABARITO SEM REAPROVEITAMENTO, INCLUSO PINTURA (FACE INTERNA DO RIPÃO 15CM) E PIQUETE COM TESTEMUNHA</t>
  </si>
  <si>
    <t xml:space="preserve"> 1.1.5 </t>
  </si>
  <si>
    <t xml:space="preserve"> 020400 </t>
  </si>
  <si>
    <t>LIGAÇÃO PROVISÓRIA DE ÁGUA ( INCLUSO RETIRADA DO ESGOTO SANITÁRIO) - PD. GOINFRA</t>
  </si>
  <si>
    <t>Un</t>
  </si>
  <si>
    <t xml:space="preserve"> 1.1.6 </t>
  </si>
  <si>
    <t xml:space="preserve"> 020501 </t>
  </si>
  <si>
    <t>LIGAÇÃO PROVISÓRIA LUZ E FORÇA - PD. GOINFRA</t>
  </si>
  <si>
    <t xml:space="preserve"> 1.1.7 </t>
  </si>
  <si>
    <t xml:space="preserve"> 020600 </t>
  </si>
  <si>
    <t>TAPUME EM CHAPA COMPENSADA RESINADA 6MM COM PORTÕES E FERRAGENS - PADRÃO GOINFRA</t>
  </si>
  <si>
    <t xml:space="preserve"> 1.2 </t>
  </si>
  <si>
    <t>DEMOLIÇÕES</t>
  </si>
  <si>
    <t xml:space="preserve"> 1.2.1 </t>
  </si>
  <si>
    <t xml:space="preserve"> 020118 </t>
  </si>
  <si>
    <t>DEMOLIÇÃO MANUAL ALVENARIA TIJOLO S/REAP. C/TR.ATE CB. E CARGA</t>
  </si>
  <si>
    <t>m³</t>
  </si>
  <si>
    <t xml:space="preserve"> 1.2.2 </t>
  </si>
  <si>
    <t xml:space="preserve"> 020117 </t>
  </si>
  <si>
    <t>DEMOLIÇÃO MANUAL DE REVESTIMENTO C/ARGAMASSA C/TR.ATE CB.E CARGA</t>
  </si>
  <si>
    <t xml:space="preserve"> 1.2.3 </t>
  </si>
  <si>
    <t xml:space="preserve"> 030106 </t>
  </si>
  <si>
    <t>TRANSPORTE DE ENTULHO EM CAMINHÃO SEM CARGA</t>
  </si>
  <si>
    <t xml:space="preserve"> 1.3 </t>
  </si>
  <si>
    <t>ADMINISTRAÇÃO LOCAL</t>
  </si>
  <si>
    <t xml:space="preserve"> 1.3.1 </t>
  </si>
  <si>
    <t xml:space="preserve"> 250101 </t>
  </si>
  <si>
    <t>ENGENHEIRO - (OBRAS CIVIS)</t>
  </si>
  <si>
    <t>H</t>
  </si>
  <si>
    <t xml:space="preserve"> 1.3.2 </t>
  </si>
  <si>
    <t xml:space="preserve"> 250102 </t>
  </si>
  <si>
    <t>MESTRE DE OBRA - (OBRAS CIVIS)</t>
  </si>
  <si>
    <t xml:space="preserve"> 1.3.3 </t>
  </si>
  <si>
    <t xml:space="preserve"> 250111 </t>
  </si>
  <si>
    <t>VIGIA DE OBRAS - (NOTURNO) - OBRAS CIVIS</t>
  </si>
  <si>
    <t xml:space="preserve"> 2 </t>
  </si>
  <si>
    <t>FUNDAÇÕES</t>
  </si>
  <si>
    <t xml:space="preserve"> 2.1 </t>
  </si>
  <si>
    <t>ESCAVAÇÃO DE VALAS</t>
  </si>
  <si>
    <t xml:space="preserve"> 2.1.1 </t>
  </si>
  <si>
    <t xml:space="preserve"> 050901 </t>
  </si>
  <si>
    <t>ESCAVACAO MANUAL DE VALAS (SAPATAS/BLOCOS)</t>
  </si>
  <si>
    <t xml:space="preserve"> 2.1.2 </t>
  </si>
  <si>
    <t xml:space="preserve"> 040101 </t>
  </si>
  <si>
    <t>ESCAVACAO MANUAL DE VALAS &lt; 1 MTS. (OBRAS CIVIS)</t>
  </si>
  <si>
    <t xml:space="preserve"> 2.1.3 </t>
  </si>
  <si>
    <t xml:space="preserve"> 050903 </t>
  </si>
  <si>
    <t>REATERRO C/APILOAMENTO (BLOCOS/SAPATAS)</t>
  </si>
  <si>
    <t xml:space="preserve"> 2.1.4 </t>
  </si>
  <si>
    <t xml:space="preserve"> 040902 </t>
  </si>
  <si>
    <t>REATERRO COM APILOAMENTO</t>
  </si>
  <si>
    <t xml:space="preserve"> 2.2 </t>
  </si>
  <si>
    <t>ESTACAS</t>
  </si>
  <si>
    <t xml:space="preserve"> 2.2.1 </t>
  </si>
  <si>
    <t xml:space="preserve"> 041004 </t>
  </si>
  <si>
    <t>ESCAVACAO MECANICA</t>
  </si>
  <si>
    <t xml:space="preserve"> 2.2.2 </t>
  </si>
  <si>
    <t xml:space="preserve"> 050302 </t>
  </si>
  <si>
    <t>ESTACA A TRADO DIAM.30 CM SEM FERRO</t>
  </si>
  <si>
    <t>M</t>
  </si>
  <si>
    <t xml:space="preserve"> 2.2.3 </t>
  </si>
  <si>
    <t xml:space="preserve"> 052014 </t>
  </si>
  <si>
    <t>ACO CA-60 - 5,0 MM - (OBRAS CIVIS)</t>
  </si>
  <si>
    <t>Kg</t>
  </si>
  <si>
    <t xml:space="preserve"> 2.2.4 </t>
  </si>
  <si>
    <t xml:space="preserve"> 052005 </t>
  </si>
  <si>
    <t>ACO CA-50A - 10,0 MM (3/8") - (OBRAS CIVIS)</t>
  </si>
  <si>
    <t xml:space="preserve"> 2.3 </t>
  </si>
  <si>
    <t>BLOCOS DE FUNDAÇÃO</t>
  </si>
  <si>
    <t xml:space="preserve"> 2.3.1 </t>
  </si>
  <si>
    <t xml:space="preserve"> 051027 </t>
  </si>
  <si>
    <t>LASTRO DE BRITA (OBRAS CIVIS)</t>
  </si>
  <si>
    <t xml:space="preserve"> 2.3.2 </t>
  </si>
  <si>
    <t xml:space="preserve"> 051009 </t>
  </si>
  <si>
    <t>FORMA TABUA PINHO P/FUNDACOES U=3V - (OBRAS CIVIS)</t>
  </si>
  <si>
    <t xml:space="preserve"> 2.3.3 </t>
  </si>
  <si>
    <t xml:space="preserve"> 2.3.4 </t>
  </si>
  <si>
    <t xml:space="preserve"> 052003 </t>
  </si>
  <si>
    <t>ACO CA-50A - 6,3 MM (1/4") - (OBRAS CIVIS)</t>
  </si>
  <si>
    <t xml:space="preserve"> 2.3.5 </t>
  </si>
  <si>
    <t xml:space="preserve"> 060524 </t>
  </si>
  <si>
    <t>CONCRETO USINADO BOMBEÁVEL FCK=25 MPA (O.C.)</t>
  </si>
  <si>
    <t xml:space="preserve"> 2.3.6 </t>
  </si>
  <si>
    <t xml:space="preserve"> 051026 </t>
  </si>
  <si>
    <t>LANÇAMENTO/APLICAÇÃO/ADENSAMENTO DE CONCRETO EM FUNDAÇÃO- (O.C.)</t>
  </si>
  <si>
    <t xml:space="preserve"> 2.4 </t>
  </si>
  <si>
    <t>VIGAS BALDRAMES</t>
  </si>
  <si>
    <t xml:space="preserve"> 2.4.1 </t>
  </si>
  <si>
    <t xml:space="preserve"> 2.4.2 </t>
  </si>
  <si>
    <t xml:space="preserve"> 060191 </t>
  </si>
  <si>
    <t>FORMA DE TABUA CINTA BALDRAME U=8 VEZES</t>
  </si>
  <si>
    <t xml:space="preserve"> 2.4.3 </t>
  </si>
  <si>
    <t xml:space="preserve"> 2.4.4 </t>
  </si>
  <si>
    <t xml:space="preserve"> 052004 </t>
  </si>
  <si>
    <t>ACO CA 50-A - 8,0 MM (5/16") - (OBRAS CIVIS)</t>
  </si>
  <si>
    <t xml:space="preserve"> 2.4.5 </t>
  </si>
  <si>
    <t xml:space="preserve"> 2.4.6 </t>
  </si>
  <si>
    <t xml:space="preserve"> 051037 </t>
  </si>
  <si>
    <t>CONCRETO USINADO BOMBEÁVEL FCK=30 MPA (O.C.)</t>
  </si>
  <si>
    <t xml:space="preserve"> 2.4.7 </t>
  </si>
  <si>
    <t xml:space="preserve"> 2.5 </t>
  </si>
  <si>
    <t>ATERRO</t>
  </si>
  <si>
    <t xml:space="preserve"> 2.5.1 </t>
  </si>
  <si>
    <t xml:space="preserve"> 00006081 </t>
  </si>
  <si>
    <t>ARGILA OU BARRO PARA ATERRO/REATERRO (COM TRANSPORTE ATE 10 KM)</t>
  </si>
  <si>
    <t xml:space="preserve"> 2.5.2 </t>
  </si>
  <si>
    <t xml:space="preserve"> 96385 </t>
  </si>
  <si>
    <t>EXECUÇÃO E COMPACTAÇÃO DE ATERRO COM SOLO PREDOMINANTEMENTE ARGILOSO - EXCLUSIVE SOLO, ESCAVAÇÃO, CARGA E TRANSPORTE. AF_11/2019</t>
  </si>
  <si>
    <t xml:space="preserve"> 3 </t>
  </si>
  <si>
    <t>ESTRUTURA</t>
  </si>
  <si>
    <t xml:space="preserve"> 3.1 </t>
  </si>
  <si>
    <t>PILARES</t>
  </si>
  <si>
    <t xml:space="preserve"> 3.1.1 </t>
  </si>
  <si>
    <t xml:space="preserve"> 060212 </t>
  </si>
  <si>
    <t>FORMA CH.COMPENSADA PLASTIF.12MM-VIGA/PILAR U=3V-(O.C.)</t>
  </si>
  <si>
    <t xml:space="preserve"> 3.1.2 </t>
  </si>
  <si>
    <t xml:space="preserve"> 3.1.3 </t>
  </si>
  <si>
    <t xml:space="preserve"> 060305 </t>
  </si>
  <si>
    <t xml:space="preserve"> 3.1.4 </t>
  </si>
  <si>
    <t xml:space="preserve"> 060306 </t>
  </si>
  <si>
    <t>ACO CA-50A - 12,5 MM (1/2") - (OBRAS CIVIS)</t>
  </si>
  <si>
    <t xml:space="preserve"> 3.1.5 </t>
  </si>
  <si>
    <t xml:space="preserve"> 060307 </t>
  </si>
  <si>
    <t>ACO CA-50 - 16,0 MM (5/8") - (OBRAS CIVIS)</t>
  </si>
  <si>
    <t xml:space="preserve"> 3.1.6 </t>
  </si>
  <si>
    <t xml:space="preserve"> 060308 </t>
  </si>
  <si>
    <t>ACO CA 50-A - 20,0 MM (3/4") - (OBRAS CIVIS)</t>
  </si>
  <si>
    <t xml:space="preserve"> 3.1.7 </t>
  </si>
  <si>
    <t xml:space="preserve"> 060525 </t>
  </si>
  <si>
    <t xml:space="preserve"> 3.1.8 </t>
  </si>
  <si>
    <t xml:space="preserve"> 060800 </t>
  </si>
  <si>
    <t>LANÇAMENTO/APLICAÇÃO/ADENSAMENTO DE CONCRETO USINADO BOMBEADO EM ESTRUTURA - (O.C.)</t>
  </si>
  <si>
    <t xml:space="preserve"> 3.2 </t>
  </si>
  <si>
    <t>VIGAS</t>
  </si>
  <si>
    <t xml:space="preserve"> 3.2.1 </t>
  </si>
  <si>
    <t xml:space="preserve"> 3.2.2 </t>
  </si>
  <si>
    <t xml:space="preserve"> 3.2.3 </t>
  </si>
  <si>
    <t xml:space="preserve"> 060303 </t>
  </si>
  <si>
    <t>ACO CA-50-A - 6,3 MM (1/4") - (OBRAS CIVIS)</t>
  </si>
  <si>
    <t xml:space="preserve"> 3.2.4 </t>
  </si>
  <si>
    <t xml:space="preserve"> 060304 </t>
  </si>
  <si>
    <t>ACO CA-50 A - 8,0 MM (5/16") - (OBRAS CIVIS)</t>
  </si>
  <si>
    <t xml:space="preserve"> 3.2.5 </t>
  </si>
  <si>
    <t xml:space="preserve"> 3.2.6 </t>
  </si>
  <si>
    <t xml:space="preserve"> 3.2.7 </t>
  </si>
  <si>
    <t xml:space="preserve"> 3.2.8 </t>
  </si>
  <si>
    <t xml:space="preserve"> 3.2.9 </t>
  </si>
  <si>
    <t xml:space="preserve"> 3.2.10 </t>
  </si>
  <si>
    <t xml:space="preserve"> 3.3 </t>
  </si>
  <si>
    <t>LAJES</t>
  </si>
  <si>
    <t xml:space="preserve"> 3.3.1 </t>
  </si>
  <si>
    <t xml:space="preserve"> 061101 </t>
  </si>
  <si>
    <t>FORRO EM LAJE PRE-MOLDADA INC.CAPEAMENTO/FERR.DISTRIB./ESCORAMENTO E FORMA/DESFORMA</t>
  </si>
  <si>
    <t xml:space="preserve"> 3.4 </t>
  </si>
  <si>
    <t>MURO DE ARRIMO</t>
  </si>
  <si>
    <t xml:space="preserve"> 3.4.1 </t>
  </si>
  <si>
    <t xml:space="preserve"> 061130 </t>
  </si>
  <si>
    <t>MURO ARRIMO PADRÃO GOINFRA EM CANALETA SEM REVESTIMENTO-(COM ALTURA ATÉ 2 ,50M)-INCLUSO FUNDAÇÃO</t>
  </si>
  <si>
    <t xml:space="preserve"> 4 </t>
  </si>
  <si>
    <t>INSTALAÇÕES ELÉTRICAS</t>
  </si>
  <si>
    <t xml:space="preserve"> 4.1 </t>
  </si>
  <si>
    <t>CONDUTOS E CONDUTORES</t>
  </si>
  <si>
    <t xml:space="preserve"> 4.1.1 </t>
  </si>
  <si>
    <t xml:space="preserve"> 071194 </t>
  </si>
  <si>
    <t>ELETRODUTO PVC FLEXÍVEL - MANGUEIRA CORRUGADA LEVE - DIAM. 25MM</t>
  </si>
  <si>
    <t xml:space="preserve"> 4.1.2 </t>
  </si>
  <si>
    <t xml:space="preserve"> 071195 </t>
  </si>
  <si>
    <t>ELETRODUTO PVC FLEXÍVEL - MANGUEIRA CORRUGADA LEVE - DIAM. 32MM</t>
  </si>
  <si>
    <t xml:space="preserve"> 4.1.3 </t>
  </si>
  <si>
    <t xml:space="preserve"> 071196 </t>
  </si>
  <si>
    <t>ELETRODUTO PVC FLEXÍVEL - MANGUEIRA CORRUGADA REFORÇADA - DIAM. 40MM</t>
  </si>
  <si>
    <t xml:space="preserve"> 4.1.4 </t>
  </si>
  <si>
    <t xml:space="preserve"> 071198 </t>
  </si>
  <si>
    <t>ELETRODUTO PVC FLEXÍVEL - MANGUEIRA CORRUGADA REFORÇADA - DIAM. 60MM</t>
  </si>
  <si>
    <t xml:space="preserve"> 4.1.5 </t>
  </si>
  <si>
    <t xml:space="preserve"> 070561 </t>
  </si>
  <si>
    <t>CABO ISOLADO PP 3 X 2,5 MM2</t>
  </si>
  <si>
    <t xml:space="preserve"> 4.1.6 </t>
  </si>
  <si>
    <t xml:space="preserve"> 070563 </t>
  </si>
  <si>
    <t>CABO ISOLADO PVC 750 V. No. 2,5 MM2</t>
  </si>
  <si>
    <t>m</t>
  </si>
  <si>
    <t xml:space="preserve"> 4.1.7 </t>
  </si>
  <si>
    <t xml:space="preserve"> 070565 </t>
  </si>
  <si>
    <t>CABO ISOLADO PVC 750 V. No. 6 MM2</t>
  </si>
  <si>
    <t xml:space="preserve"> 4.1.8 </t>
  </si>
  <si>
    <t xml:space="preserve"> 070582 </t>
  </si>
  <si>
    <t>CABO PVC (70ºC) 1 KV No. 4 MM2</t>
  </si>
  <si>
    <t xml:space="preserve"> 4.1.9 </t>
  </si>
  <si>
    <t xml:space="preserve"> 070584 </t>
  </si>
  <si>
    <t>CABO PVC (70ºC) 1 KV No. 10 MM2</t>
  </si>
  <si>
    <t xml:space="preserve"> 4.1.10 </t>
  </si>
  <si>
    <t xml:space="preserve"> 070587 </t>
  </si>
  <si>
    <t>CABO PVC (70ºC) 1 KV No. 35 MM2</t>
  </si>
  <si>
    <t xml:space="preserve"> 4.2 </t>
  </si>
  <si>
    <t>CAIXAS DE PASSAGEM</t>
  </si>
  <si>
    <t xml:space="preserve"> 4.2.1 </t>
  </si>
  <si>
    <t xml:space="preserve"> 070635 </t>
  </si>
  <si>
    <t>CAIXA DE PASSAGEM -  ALVENARIA DE 1/2 VEZ COM REVESTIMENTO INTERNO EM REBOCO PAULISTA A-14</t>
  </si>
  <si>
    <t xml:space="preserve"> 4.3 </t>
  </si>
  <si>
    <t>LUMINÁRIAS E ACESSÓRIOS</t>
  </si>
  <si>
    <t xml:space="preserve"> 4.3.1 </t>
  </si>
  <si>
    <t xml:space="preserve"> 100902 </t>
  </si>
  <si>
    <t>LÂMPADA TUBULAR LED DE 9W - EMBUTIR - FORNECIMENTO E INSTALAÇÃO. AF_02/2020_P</t>
  </si>
  <si>
    <t>UN</t>
  </si>
  <si>
    <t xml:space="preserve"> 4.3.2 </t>
  </si>
  <si>
    <t>LÂMPADA TUBULAR LED DE 9/10 W - SOBREPOR - FORNECIMENTO E INSTALAÇÃO. AF_02/2020_P</t>
  </si>
  <si>
    <t xml:space="preserve"> 4.3.3 </t>
  </si>
  <si>
    <t xml:space="preserve"> 00043265 </t>
  </si>
  <si>
    <t>LUMINARIA SOLAR LED EXTERNA, TIPO ARANDELA DE PAREDE, EM ALUMINIO, 16 LEDS, LUZ BRANCA, *180* LUMENS, CAPACIDADE DE ILUMINACAO ATE 36 H, RETANGULAR, *13 X 9 X 7* (C X L X A), COM SENSOR DE MOVIMENTO / PRESENCA, BATERIA RECARREGAVEL COM LUZ SOLAR, RESISTENTE AO CALOR, A PROVA DE AGUA E POEIRA/ IMPERMEAVEL, IP65</t>
  </si>
  <si>
    <t xml:space="preserve"> 4.3.4 </t>
  </si>
  <si>
    <t xml:space="preserve"> 12971 </t>
  </si>
  <si>
    <t>ORSE</t>
  </si>
  <si>
    <t>Luminária Painel Led embutir 18w quadrada, 6000k  da G-light ou similar - Rev 01_11/2021</t>
  </si>
  <si>
    <t>un</t>
  </si>
  <si>
    <t xml:space="preserve"> 4.3.5 </t>
  </si>
  <si>
    <t xml:space="preserve"> 060121 </t>
  </si>
  <si>
    <t>SBC</t>
  </si>
  <si>
    <t>LUMINARIA DE EMBUTIR PLAFON 18W LED BRANCO FRIO 22,5x22,5</t>
  </si>
  <si>
    <t xml:space="preserve"> 4.3.6 </t>
  </si>
  <si>
    <t xml:space="preserve"> 060081 </t>
  </si>
  <si>
    <t>LUMINARIA EMBUTIR/PAINEL LED DEEP QUADRADO STH8904/30 STELLA</t>
  </si>
  <si>
    <t xml:space="preserve"> 4.3.7 </t>
  </si>
  <si>
    <t>LUMINARIA SOBREPOR LED DEEP QUADRADO STH8904/30 STELLA</t>
  </si>
  <si>
    <t xml:space="preserve"> 4.3.8 </t>
  </si>
  <si>
    <t xml:space="preserve"> 071598 </t>
  </si>
  <si>
    <t>LUMINÁRIA DE EMERGÊNCIA 30 LEDS</t>
  </si>
  <si>
    <t xml:space="preserve"> 4.3.9 </t>
  </si>
  <si>
    <t xml:space="preserve"> 10200 </t>
  </si>
  <si>
    <t>Refletor Super Led, corpo em aluminio, potencia 10W, bivolt, temp.cor 6400K, IP-65, ref: FLC ou similar</t>
  </si>
  <si>
    <t xml:space="preserve"> 4.3.10 </t>
  </si>
  <si>
    <t xml:space="preserve"> 91953 </t>
  </si>
  <si>
    <t>INTERRUPTOR SIMPLES (1 MÓDULO), 10A/250V, INCLUINDO SUPORTE E PLACA - FORNECIMENTO E INSTALAÇÃO. AF_12/2015</t>
  </si>
  <si>
    <t xml:space="preserve"> 4.3.11 </t>
  </si>
  <si>
    <t xml:space="preserve"> 91959 </t>
  </si>
  <si>
    <t>INTERRUPTOR SIMPLES (2 MÓDULOS), 10A/250V, INCLUINDO SUPORTE E PLACA - FORNECIMENTO E INSTALAÇÃO. AF_12/2015</t>
  </si>
  <si>
    <t xml:space="preserve"> 4.3.12 </t>
  </si>
  <si>
    <t xml:space="preserve"> 91967 </t>
  </si>
  <si>
    <t>INTERRUPTOR SIMPLES (3 MÓDULOS), 10A/250V, INCLUINDO SUPORTE E PLACA - FORNECIMENTO E INSTALAÇÃO. AF_12/2015</t>
  </si>
  <si>
    <t xml:space="preserve"> 4.3.13 </t>
  </si>
  <si>
    <t xml:space="preserve"> 91955 </t>
  </si>
  <si>
    <t>INTERRUPTOR PARALELO (1 MÓDULO), 10A/250V, INCLUINDO SUPORTE E PLACA - FORNECIMENTO E INSTALAÇÃO. AF_12/2015</t>
  </si>
  <si>
    <t xml:space="preserve"> 4.3.14 </t>
  </si>
  <si>
    <t xml:space="preserve"> 97597 </t>
  </si>
  <si>
    <t>SENSOR DE PRESENÇA COM FOTOCÉLULA, FIXAÇÃO EM TETO - FORNECIMENTO E INSTALAÇÃO. AF_02/2020</t>
  </si>
  <si>
    <t xml:space="preserve"> 4.3.15 </t>
  </si>
  <si>
    <t xml:space="preserve"> 97595 </t>
  </si>
  <si>
    <t>SENSOR DE PRESENÇA COM FOTOCÉLULA, FIXAÇÃO EM PAREDE - FORNECIMENTO E INSTALAÇÃO. AF_02/2020</t>
  </si>
  <si>
    <t xml:space="preserve"> 4.3.16 </t>
  </si>
  <si>
    <t xml:space="preserve"> 072578 </t>
  </si>
  <si>
    <t>TOMADA HEXAGONAL 2P + T - 10A - 250V</t>
  </si>
  <si>
    <t xml:space="preserve"> 4.3.17 </t>
  </si>
  <si>
    <t xml:space="preserve"> 072579 </t>
  </si>
  <si>
    <t>TOMADA HEXAGONAL DUPLA 2P + T - 10A - 250V</t>
  </si>
  <si>
    <t xml:space="preserve"> 4.3.18 </t>
  </si>
  <si>
    <t xml:space="preserve"> 070691 </t>
  </si>
  <si>
    <t>CAIXA METALICA RET. 4" X 2" X 2"</t>
  </si>
  <si>
    <t xml:space="preserve"> 4.4 </t>
  </si>
  <si>
    <t>DISJUNTORES E QUADROS</t>
  </si>
  <si>
    <t xml:space="preserve"> 4.4.1 </t>
  </si>
  <si>
    <t xml:space="preserve"> 071171 </t>
  </si>
  <si>
    <t>DISJUNTOR MONOPOLAR DE 10 A 32-A</t>
  </si>
  <si>
    <t xml:space="preserve"> 4.4.2 </t>
  </si>
  <si>
    <t xml:space="preserve"> 071172 </t>
  </si>
  <si>
    <t>DISJUNTOR MONOPOLAR DE 35 A 50-A</t>
  </si>
  <si>
    <t xml:space="preserve"> 4.4.3 </t>
  </si>
  <si>
    <t xml:space="preserve"> 071173 </t>
  </si>
  <si>
    <t>DISJUNTOR TRIPOLAR DE 10 A 35-A</t>
  </si>
  <si>
    <t xml:space="preserve"> 4.4.4 </t>
  </si>
  <si>
    <t xml:space="preserve"> 071174 </t>
  </si>
  <si>
    <t>DISJUNTOR TRIPOLAR 40 A 50A</t>
  </si>
  <si>
    <t xml:space="preserve"> 4.4.5 </t>
  </si>
  <si>
    <t xml:space="preserve"> 071176 </t>
  </si>
  <si>
    <t>DISJUNTOR TRIPOLAR DE 125-A</t>
  </si>
  <si>
    <t xml:space="preserve"> 4.4.6 </t>
  </si>
  <si>
    <t xml:space="preserve"> 071184 </t>
  </si>
  <si>
    <t>DISPOSITIVO DE PROTEÇÃO CONTRA SURTOS (D.P.S.) 275V DE 8 A 40KA</t>
  </si>
  <si>
    <t xml:space="preserve"> 4.4.7 </t>
  </si>
  <si>
    <t xml:space="preserve"> 071451 </t>
  </si>
  <si>
    <t>INTERRUPTOR DIFERENCIAL RESIDUAL (D.R.) BIPOLAR DE 40A-30mA</t>
  </si>
  <si>
    <t xml:space="preserve"> 4.4.8 </t>
  </si>
  <si>
    <t xml:space="preserve"> 072198 </t>
  </si>
  <si>
    <t>QUADRO DE DISTRIBUIÇÃO DE EMBUTIR METÁLICO CB-34E - 150A</t>
  </si>
  <si>
    <t xml:space="preserve"> 4.4.9 </t>
  </si>
  <si>
    <t xml:space="preserve"> 072171 </t>
  </si>
  <si>
    <t>QUADRO DE DISTRIBUIÇÃO DE EMBUTIR EM PVC CB 24E - 80A</t>
  </si>
  <si>
    <t xml:space="preserve"> 4.4.10 </t>
  </si>
  <si>
    <t xml:space="preserve"> 072170 </t>
  </si>
  <si>
    <t>QUADRO DE DISTRIBUIÇÃO DE EMBUTIR EM PVC CB 12E - 80A</t>
  </si>
  <si>
    <t xml:space="preserve"> 4.4.11 </t>
  </si>
  <si>
    <t>QUADRO DE DISTRIBUIÇÃO DE EMBUTIR METÁLICO CB-28E - 150A</t>
  </si>
  <si>
    <t xml:space="preserve"> 4.4.12 </t>
  </si>
  <si>
    <t xml:space="preserve"> 070285 </t>
  </si>
  <si>
    <t>BORNE TERMINAL SAK 2,5 MM2</t>
  </si>
  <si>
    <t xml:space="preserve"> 4.4.13 </t>
  </si>
  <si>
    <t xml:space="preserve"> 062301 </t>
  </si>
  <si>
    <t>BARRAMENTO PENTE TRIFASICO 80A 16 POLOS S-3F285B STECK</t>
  </si>
  <si>
    <t xml:space="preserve"> 5 </t>
  </si>
  <si>
    <t>INSTALAÇÃO HIDROSSANITÁRIA</t>
  </si>
  <si>
    <t xml:space="preserve"> 5.1 </t>
  </si>
  <si>
    <t>LOUÇAS</t>
  </si>
  <si>
    <t xml:space="preserve"> 5.1.1 </t>
  </si>
  <si>
    <t xml:space="preserve"> 080590 </t>
  </si>
  <si>
    <t>CUBA DE LOUCA DE EMBUTIR OVAL MÉDIA</t>
  </si>
  <si>
    <t xml:space="preserve"> 5.1.2 </t>
  </si>
  <si>
    <t xml:space="preserve"> 080686 </t>
  </si>
  <si>
    <t>CUBA INOX 56X34X17CM E=0,6MM-AÇO 304 (CUBA Nº2)</t>
  </si>
  <si>
    <t xml:space="preserve"> 5.1.3 </t>
  </si>
  <si>
    <t xml:space="preserve"> 190318 </t>
  </si>
  <si>
    <t>CUBA PARA BANHEIRO EM LOUÇA DE APOIO QUADRADA 35X35cm Com Mesa ICA12 00</t>
  </si>
  <si>
    <t xml:space="preserve"> 5.1.4 </t>
  </si>
  <si>
    <t xml:space="preserve"> 080505 </t>
  </si>
  <si>
    <t>VASO SANITÁRIO PARA P.N.E. COM CAIXA ACOPLADA COM DUPLO ACIONAMENTO - COMPLETO EXCLUSO O ASSENTO</t>
  </si>
  <si>
    <t xml:space="preserve"> 5.1.5 </t>
  </si>
  <si>
    <t xml:space="preserve"> 080504 </t>
  </si>
  <si>
    <t>VASO SANITÁRIO COM CAIXA ACOPLADA COM DUPLO ACIONAMENTO - COMPLETO EXCLUSO O ASSENTO</t>
  </si>
  <si>
    <t xml:space="preserve"> 5.1.6 </t>
  </si>
  <si>
    <t xml:space="preserve"> 080526 </t>
  </si>
  <si>
    <t>ASSENTO EM POLIPROPILENO COM SISTEMA DE FECHAMENTO SUAVE PARA VASO SANITÁRIO</t>
  </si>
  <si>
    <t xml:space="preserve"> 5.1.7 </t>
  </si>
  <si>
    <t xml:space="preserve"> 080804 </t>
  </si>
  <si>
    <t>TANQUE DE LOUÇA COM COLUNA TAMANHO MÉDIO</t>
  </si>
  <si>
    <t xml:space="preserve"> 5.1.8 </t>
  </si>
  <si>
    <t xml:space="preserve"> 080652 </t>
  </si>
  <si>
    <t>PIA MÁRMORE/GRANITO SINTÉTICO 2,00 X 0,54 M</t>
  </si>
  <si>
    <t xml:space="preserve"> 5.2 </t>
  </si>
  <si>
    <t>TORNEIRAS E COMPLEMENTOS</t>
  </si>
  <si>
    <t xml:space="preserve"> 5.2.1 </t>
  </si>
  <si>
    <t xml:space="preserve"> 080573 </t>
  </si>
  <si>
    <t>TORNEIRA DE MESA PARA P.N.E. COM FECHAMENTO AUTOMÁTICO TEMPORIZADO PARA LAVATÓRIO DIÂMETRO DE 1/2"</t>
  </si>
  <si>
    <t xml:space="preserve"> 5.2.2 </t>
  </si>
  <si>
    <t xml:space="preserve"> 080572 </t>
  </si>
  <si>
    <t>TORNEIRA DE MESA COM FECHAMENTO AUTOMÁTICO TEMPORIZADO PARA LAVATÓRIO DIÂMETRO DE 1/2"</t>
  </si>
  <si>
    <t xml:space="preserve"> 5.2.3 </t>
  </si>
  <si>
    <t xml:space="preserve"> 080570 </t>
  </si>
  <si>
    <t>TORNEIRA DE MESA PARA LAVATÓRIO DIÂMETRO DE 1/2"</t>
  </si>
  <si>
    <t xml:space="preserve"> 5.2.4 </t>
  </si>
  <si>
    <t xml:space="preserve"> 080656 </t>
  </si>
  <si>
    <t>TORNEIRA DE MESA PARA PIA DIÂMETRO DE 1/2" - BICA MÓVEL</t>
  </si>
  <si>
    <t xml:space="preserve"> 5.2.5 </t>
  </si>
  <si>
    <t xml:space="preserve"> 080810 </t>
  </si>
  <si>
    <t>TORNEIRA DE PAREDE PARA TANQUE COM AREJADOR DIÂMETRO DE 1/2" E 3/4"</t>
  </si>
  <si>
    <t xml:space="preserve"> 5.2.6 </t>
  </si>
  <si>
    <t xml:space="preserve"> 080555 </t>
  </si>
  <si>
    <t>LIGAÇÃO FLEXÍVEL METÁLICA DIAM.1/2"(ENGATE)</t>
  </si>
  <si>
    <t xml:space="preserve"> 5.2.7 </t>
  </si>
  <si>
    <t xml:space="preserve"> 080560 </t>
  </si>
  <si>
    <t>SIFAO P/LAVATORIO METALICO DIAM.1"X1.1/2"</t>
  </si>
  <si>
    <t xml:space="preserve"> 5.2.8 </t>
  </si>
  <si>
    <t xml:space="preserve"> 080670 </t>
  </si>
  <si>
    <t>SIFAO P/PIA 1.1/2" X 2" METAL</t>
  </si>
  <si>
    <t xml:space="preserve"> 5.3 </t>
  </si>
  <si>
    <t>ÁGUAS PLUVIAIS</t>
  </si>
  <si>
    <t xml:space="preserve"> 5.3.1 </t>
  </si>
  <si>
    <t xml:space="preserve"> 082303 </t>
  </si>
  <si>
    <t>TUBO SOLDAVEL P/ESGOTO DIAM.75 MM</t>
  </si>
  <si>
    <t xml:space="preserve"> 5.3.2 </t>
  </si>
  <si>
    <t xml:space="preserve"> 082304 </t>
  </si>
  <si>
    <t>TUBO SOLDAVEL P/ESGOTO DIAM. 100 MM</t>
  </si>
  <si>
    <t xml:space="preserve"> 5.3.3 </t>
  </si>
  <si>
    <t xml:space="preserve"> 082331 </t>
  </si>
  <si>
    <t>TUBO LEVE PVC RIGIDO DIAMETRO 150 MM</t>
  </si>
  <si>
    <t xml:space="preserve"> 5.3.4 </t>
  </si>
  <si>
    <t xml:space="preserve"> 081924 </t>
  </si>
  <si>
    <t>JOELHO 45 GRAUS DIAMETRO 100 MM</t>
  </si>
  <si>
    <t xml:space="preserve"> 5.3.5 </t>
  </si>
  <si>
    <t xml:space="preserve"> 5.3.6 </t>
  </si>
  <si>
    <t xml:space="preserve"> 081824 </t>
  </si>
  <si>
    <t>CAIXA DE AREIA 40X40CM FUNDO DE BRITA COM GRELHA METÁLICA FERRO CHATO PADRÃO GOINFRA</t>
  </si>
  <si>
    <t xml:space="preserve"> 5.3.7 </t>
  </si>
  <si>
    <t xml:space="preserve"> 053039 </t>
  </si>
  <si>
    <t>RALO HEMISFERICO 100mm PVC (RALO ABACAXI)</t>
  </si>
  <si>
    <t xml:space="preserve"> 5.3.8 </t>
  </si>
  <si>
    <t xml:space="preserve"> 5.3.9 </t>
  </si>
  <si>
    <t xml:space="preserve"> 081690 </t>
  </si>
  <si>
    <t>CORPO RALO SIFONADO CILINDRICO 100 X 40</t>
  </si>
  <si>
    <t xml:space="preserve"> 5.3.10 </t>
  </si>
  <si>
    <t xml:space="preserve"> 83623 </t>
  </si>
  <si>
    <t>GRELHA DE FERRO FUNDIDO PARA CANALETA LARG = 30CM, FORNECIMENTO E ASSENTAMENTO</t>
  </si>
  <si>
    <t>Próprio</t>
  </si>
  <si>
    <t xml:space="preserve"> 5.4 </t>
  </si>
  <si>
    <t>ESGOTO SANITÁRIO</t>
  </si>
  <si>
    <t xml:space="preserve"> 5.4.1 </t>
  </si>
  <si>
    <t xml:space="preserve"> 082301 </t>
  </si>
  <si>
    <t>TUBO SOLD.P/ESGOTO DIAM. 40 MM</t>
  </si>
  <si>
    <t xml:space="preserve"> 5.4.2 </t>
  </si>
  <si>
    <t xml:space="preserve"> 081921 </t>
  </si>
  <si>
    <t>JOELHO 45 GRAUS DIAMETRO 40 MM</t>
  </si>
  <si>
    <t xml:space="preserve"> 5.4.3 </t>
  </si>
  <si>
    <t xml:space="preserve"> 082302 </t>
  </si>
  <si>
    <t>TUBO SOLD. P/ESGOTO DIAM. 50 MM</t>
  </si>
  <si>
    <t xml:space="preserve"> 5.4.4 </t>
  </si>
  <si>
    <t xml:space="preserve"> 082002 </t>
  </si>
  <si>
    <t>LUVA SIMPLES DIAMETRO 50 MM</t>
  </si>
  <si>
    <t xml:space="preserve"> 5.4.5 </t>
  </si>
  <si>
    <t xml:space="preserve"> 081922 </t>
  </si>
  <si>
    <t>JOELHO 45 GRAUS DIAMETRO 50 MM</t>
  </si>
  <si>
    <t xml:space="preserve"> 5.4.6 </t>
  </si>
  <si>
    <t xml:space="preserve"> 081661 </t>
  </si>
  <si>
    <t>CORPO CX. SIFONADA DIAM. 100 X 100 X 50</t>
  </si>
  <si>
    <t xml:space="preserve"> 5.4.7 </t>
  </si>
  <si>
    <t xml:space="preserve"> 082103 </t>
  </si>
  <si>
    <t>REDUCAO EXCENTRICA 100 X 50 MM</t>
  </si>
  <si>
    <t xml:space="preserve"> 5.4.8 </t>
  </si>
  <si>
    <t xml:space="preserve"> 081928 </t>
  </si>
  <si>
    <t>JOELHO 90 GRAUS C/ANEL 50 MM</t>
  </si>
  <si>
    <t xml:space="preserve"> 5.4.9 </t>
  </si>
  <si>
    <t xml:space="preserve"> 081938 </t>
  </si>
  <si>
    <t>JOELHO 90 GRAUS DIAMETRO 100 MM</t>
  </si>
  <si>
    <t xml:space="preserve"> 5.4.10 </t>
  </si>
  <si>
    <t xml:space="preserve"> 082004 </t>
  </si>
  <si>
    <t>LUVA SIMPLES DIAM. 100 MM</t>
  </si>
  <si>
    <t xml:space="preserve"> 5.4.11 </t>
  </si>
  <si>
    <t xml:space="preserve"> 5.4.12 </t>
  </si>
  <si>
    <t xml:space="preserve"> 082101 </t>
  </si>
  <si>
    <t>REDUCAO EXCENTRICA 75 X 50 MM</t>
  </si>
  <si>
    <t xml:space="preserve"> 5.4.13 </t>
  </si>
  <si>
    <t xml:space="preserve"> 081975 </t>
  </si>
  <si>
    <t>JUNCAO SIMPLES DIAM. 100 X 100 MM</t>
  </si>
  <si>
    <t xml:space="preserve"> 5.4.14 </t>
  </si>
  <si>
    <t xml:space="preserve"> 5.4.15 </t>
  </si>
  <si>
    <t xml:space="preserve"> 081846 </t>
  </si>
  <si>
    <t>CAIXA DE GORDURA E INSPEÇÃO EM PVC/ABS 19 LITROS COM TAMPA E PORTA TAMPA E CESTO DE LIMPEZA REMOVÍVEL</t>
  </si>
  <si>
    <t xml:space="preserve"> 081760 </t>
  </si>
  <si>
    <t>GRELHA QUADRADA ACO INOX SIMP. DIAM. 100 MM</t>
  </si>
  <si>
    <t xml:space="preserve"> 5.5 </t>
  </si>
  <si>
    <t>COMBATE A INCÊNDIO</t>
  </si>
  <si>
    <t xml:space="preserve"> 5.5.1 </t>
  </si>
  <si>
    <t xml:space="preserve"> 091046 </t>
  </si>
  <si>
    <t>PLACA DE SINALIZAÇÃO DE INCÊNDIO</t>
  </si>
  <si>
    <t xml:space="preserve"> 5.5.2 </t>
  </si>
  <si>
    <t xml:space="preserve"> 085006 </t>
  </si>
  <si>
    <t>EXTINTOR MULTI USO EM PO A B C (6 KG) - CAPACIDADE EXTINTORA 3A 20BC</t>
  </si>
  <si>
    <t xml:space="preserve"> 5.6 </t>
  </si>
  <si>
    <t>INSTALAÇÕES DE ÁGUA</t>
  </si>
  <si>
    <t xml:space="preserve"> 5.6.1 </t>
  </si>
  <si>
    <t xml:space="preserve"> 081006 </t>
  </si>
  <si>
    <t>TUBO SOLDAVEL PVC MARROM DIAM. 50 mm</t>
  </si>
  <si>
    <t xml:space="preserve"> 5.6.2 </t>
  </si>
  <si>
    <t xml:space="preserve"> 5.6.3 </t>
  </si>
  <si>
    <t xml:space="preserve"> 081405 </t>
  </si>
  <si>
    <t>TE 90 GRAUS SOLDAVEL DIAMETRO 50 mm</t>
  </si>
  <si>
    <t xml:space="preserve"> 5.6.4 </t>
  </si>
  <si>
    <t xml:space="preserve"> 081424 </t>
  </si>
  <si>
    <t>TE REDUCAO 90 GRAUS SOLDAVEL 50 X 25 mm</t>
  </si>
  <si>
    <t xml:space="preserve"> 5.6.5 </t>
  </si>
  <si>
    <t xml:space="preserve"> 081321 </t>
  </si>
  <si>
    <t>JOELHO 90 GRAUS SOLDAVEL DIAMETRO 25 MM</t>
  </si>
  <si>
    <t xml:space="preserve"> 5.6.6 </t>
  </si>
  <si>
    <t xml:space="preserve"> 081105 </t>
  </si>
  <si>
    <t>LUVA SOLDAVEL DIAMETRO 50 mm</t>
  </si>
  <si>
    <t xml:space="preserve"> 5.6.7 </t>
  </si>
  <si>
    <t xml:space="preserve"> 081572 </t>
  </si>
  <si>
    <t>CRUZETA SOLDAVEL DIAMETRO 50 mm</t>
  </si>
  <si>
    <t xml:space="preserve"> 5.6.8 </t>
  </si>
  <si>
    <t xml:space="preserve"> 081004 </t>
  </si>
  <si>
    <t>TUBO SOLDAVEL PVC MARROM DIAMETRO 32 mm</t>
  </si>
  <si>
    <t xml:space="preserve"> 5.6.9 </t>
  </si>
  <si>
    <t xml:space="preserve"> 081322 </t>
  </si>
  <si>
    <t>JOELHO 90 GRAUS SOLDAVEL DIAMETRO 32 MM (1")</t>
  </si>
  <si>
    <t xml:space="preserve"> 5.6.10 </t>
  </si>
  <si>
    <t xml:space="preserve"> 081421 </t>
  </si>
  <si>
    <t>TE REDUCAO 90 GRAUS SOLDAVEL 32 X 25 mm</t>
  </si>
  <si>
    <t xml:space="preserve"> 5.6.11 </t>
  </si>
  <si>
    <t xml:space="preserve"> 081890 </t>
  </si>
  <si>
    <t>TORNEIRA BOIA DIAMETRO 1.1/4" - 32 MM</t>
  </si>
  <si>
    <t xml:space="preserve"> 5.6.12 </t>
  </si>
  <si>
    <t xml:space="preserve"> 081042 </t>
  </si>
  <si>
    <t>ADAPTAD.PVC SOLD.LONGO C/FLANGES LIVRES P/CX.DAGUA 32X1"</t>
  </si>
  <si>
    <t xml:space="preserve"> 5.6.13 </t>
  </si>
  <si>
    <t xml:space="preserve"> 080980 </t>
  </si>
  <si>
    <t>REGISTRO DE ESFERA DIAMETRO 2"</t>
  </si>
  <si>
    <t xml:space="preserve"> 5.6.14 </t>
  </si>
  <si>
    <t xml:space="preserve"> 080811 </t>
  </si>
  <si>
    <t>TORNEIRA DE JARDIM COM BICO PARA MANGUEIRA DIÂMETRO DE 1/2" E 3/4"</t>
  </si>
  <si>
    <t xml:space="preserve"> 5.6.15 </t>
  </si>
  <si>
    <t xml:space="preserve"> 081815 </t>
  </si>
  <si>
    <t>KIT CAVALETE D=25MM P/HIDRÔMETRO 1,5-3,0-5,0 M3/MURETA/CAIXA</t>
  </si>
  <si>
    <t xml:space="preserve"> 5.6.16 </t>
  </si>
  <si>
    <t xml:space="preserve"> 081811 </t>
  </si>
  <si>
    <t>HIDROMETRO DIAM.RAMAL = 25 MM VAZAO =1,5  A 3 M3</t>
  </si>
  <si>
    <t xml:space="preserve"> 081360 </t>
  </si>
  <si>
    <t>JOELHO RED.90 GRAUS SOLD.C/BUCHA LATAO 25X1/2"</t>
  </si>
  <si>
    <t xml:space="preserve"> 6 </t>
  </si>
  <si>
    <t>ALVENARIAS E DIVISÓRIAS</t>
  </si>
  <si>
    <t xml:space="preserve"> 6.1 </t>
  </si>
  <si>
    <t xml:space="preserve"> 100160 </t>
  </si>
  <si>
    <t>ALVENARIA DE TIJOLO FURADO 1/2 VEZ 14X29X9 - 6 FUROS -  ARG. (1CALH:4ARML+100KG DE CI/M3)</t>
  </si>
  <si>
    <t xml:space="preserve"> 6.2 </t>
  </si>
  <si>
    <t xml:space="preserve"> 100203 </t>
  </si>
  <si>
    <t>ALVENARIA DE TIJOLO COMUM 1 VEZ - ARG. (1CI : 2CH : 8ARML)</t>
  </si>
  <si>
    <t xml:space="preserve"> 6.3 </t>
  </si>
  <si>
    <t xml:space="preserve"> 96359 </t>
  </si>
  <si>
    <t>PAREDE COM PLACAS DE GESSO ACARTONADO (DRYWALL), PARA USO INTERNO, COM DUAS FACES SIMPLES E ESTRUTURA METÁLICA COM GUIAS SIMPLES, COM VÃOS AF_06/2017_P</t>
  </si>
  <si>
    <t xml:space="preserve"> 6.4 </t>
  </si>
  <si>
    <t xml:space="preserve"> 6.5 </t>
  </si>
  <si>
    <t xml:space="preserve"> 100501 </t>
  </si>
  <si>
    <t>ELEMENTO VAZADO DE CONCRETO</t>
  </si>
  <si>
    <t xml:space="preserve"> 6.6 </t>
  </si>
  <si>
    <t xml:space="preserve"> 150204 </t>
  </si>
  <si>
    <t>ESTRUTURA METÁLICA - RECEPÇÃO</t>
  </si>
  <si>
    <t xml:space="preserve"> 6.7 </t>
  </si>
  <si>
    <t xml:space="preserve"> 190201 </t>
  </si>
  <si>
    <t>VIDRO TEMPERADO 10 MM  - COLOCADO</t>
  </si>
  <si>
    <t xml:space="preserve"> 7 </t>
  </si>
  <si>
    <t>REVESTIMENTO DE PAREDE</t>
  </si>
  <si>
    <t xml:space="preserve"> 7.1 </t>
  </si>
  <si>
    <t xml:space="preserve"> 200101 </t>
  </si>
  <si>
    <t>CHAPISCO COMUM</t>
  </si>
  <si>
    <t xml:space="preserve"> 7.2 </t>
  </si>
  <si>
    <t xml:space="preserve"> 200403 </t>
  </si>
  <si>
    <t>REBOCO (1 CALH:4 ARFC+100kgCI/M3)</t>
  </si>
  <si>
    <t xml:space="preserve"> 7.3 </t>
  </si>
  <si>
    <t xml:space="preserve"> 200201 </t>
  </si>
  <si>
    <t>EMBOÇO (1CI:4 ARML)</t>
  </si>
  <si>
    <t xml:space="preserve"> 7.4 </t>
  </si>
  <si>
    <t xml:space="preserve"> 201302 </t>
  </si>
  <si>
    <t>REVESTIMENTO COM CERÂMICA</t>
  </si>
  <si>
    <t xml:space="preserve"> 7.5 </t>
  </si>
  <si>
    <t xml:space="preserve"> 261301 </t>
  </si>
  <si>
    <t>EMASSAMENTO COM MASSA PVA UMA DEMAO</t>
  </si>
  <si>
    <t xml:space="preserve"> 7.6 </t>
  </si>
  <si>
    <t xml:space="preserve"> 261307 </t>
  </si>
  <si>
    <t>PINTURA PVA LATEX 2 DEMAOS SEM SELADOR</t>
  </si>
  <si>
    <t xml:space="preserve"> 7.7 </t>
  </si>
  <si>
    <t xml:space="preserve"> 261005 </t>
  </si>
  <si>
    <t>PINTURA COM SELADOR ACRILICO</t>
  </si>
  <si>
    <t xml:space="preserve"> 7.8 </t>
  </si>
  <si>
    <t xml:space="preserve"> 11808 </t>
  </si>
  <si>
    <t>PORCELANATO AMADEIRADO</t>
  </si>
  <si>
    <t xml:space="preserve"> 7.9 </t>
  </si>
  <si>
    <t xml:space="preserve"> 260601 </t>
  </si>
  <si>
    <t>PINTURA TEXTURIZADA C/SELADOR ACRILICO</t>
  </si>
  <si>
    <t xml:space="preserve"> 8 </t>
  </si>
  <si>
    <t>IMPERMEABILIZAÇÃO</t>
  </si>
  <si>
    <t xml:space="preserve"> 8.1 </t>
  </si>
  <si>
    <t xml:space="preserve"> 98562 </t>
  </si>
  <si>
    <t>IMPERMEABILIZAÇÃO DE FLOREIRA OU VIGA BALDRAME COM ARGAMASSA DE CIMENTO E AREIA, COM ADITIVO IMPERMEABILIZANTE, E = 2 CM. AF_06/2018</t>
  </si>
  <si>
    <t xml:space="preserve"> 8.2 </t>
  </si>
  <si>
    <t xml:space="preserve"> 120205 </t>
  </si>
  <si>
    <t>MANTA ASFALTICA TIPO III - B (4MM)</t>
  </si>
  <si>
    <t xml:space="preserve"> 8.3 </t>
  </si>
  <si>
    <t xml:space="preserve"> 121101 </t>
  </si>
  <si>
    <t>IMPERMEABILIZAÇÃO  MURO DE ARRIMO COM 4 DEMÃOS DE EMULSÃO ASFÁLTICA</t>
  </si>
  <si>
    <t xml:space="preserve"> 8.4 </t>
  </si>
  <si>
    <t xml:space="preserve"> 120902 </t>
  </si>
  <si>
    <t>IMPERMEABILIZACAO VIGAS BALDRAMES E=2,0 CM</t>
  </si>
  <si>
    <t xml:space="preserve"> 9 </t>
  </si>
  <si>
    <t>COBERTURAS</t>
  </si>
  <si>
    <t xml:space="preserve"> 9.1 </t>
  </si>
  <si>
    <t xml:space="preserve"> 92580 </t>
  </si>
  <si>
    <t>TRAMA DE AÇO COMPOSTA POR TERÇAS PARA TELHADOS DE ATÉ 2 ÁGUAS</t>
  </si>
  <si>
    <t xml:space="preserve"> 9.2 </t>
  </si>
  <si>
    <t xml:space="preserve"> 94216 </t>
  </si>
  <si>
    <t>TELHAMENTO COM TELHA METÁLICA TERMOACÚSTICA E = 30 MM, COM ATÉ 2 ÁGUAS, INCLUSO IÇAMENTO. AF_07/2019</t>
  </si>
  <si>
    <t xml:space="preserve"> 9.3 </t>
  </si>
  <si>
    <t xml:space="preserve"> 9.4 </t>
  </si>
  <si>
    <t xml:space="preserve"> 160600 </t>
  </si>
  <si>
    <t>CALHA DE CHAPA GALVANIZADA</t>
  </si>
  <si>
    <t xml:space="preserve"> 9.5 </t>
  </si>
  <si>
    <t xml:space="preserve"> 160603 </t>
  </si>
  <si>
    <t>RUFO DE CHAPA GALVANIZADA</t>
  </si>
  <si>
    <t xml:space="preserve"> 9.6 </t>
  </si>
  <si>
    <t xml:space="preserve"> 201410 </t>
  </si>
  <si>
    <t>MOLDURA TIPO "U" INVERTIDO EM ARGAMASSA COM 2CM DE ESPESSURA TIPO PINGADEIRA EM MURO/PLATIBANDA ( A PARTE VERTICAL DESCE 2,5CM)</t>
  </si>
  <si>
    <t xml:space="preserve"> 10 </t>
  </si>
  <si>
    <t>PISOS</t>
  </si>
  <si>
    <t xml:space="preserve"> 10.1 </t>
  </si>
  <si>
    <t xml:space="preserve"> 10.2 </t>
  </si>
  <si>
    <t xml:space="preserve"> 221102 </t>
  </si>
  <si>
    <t>RODAPÉ FUNDIDO DE GRANITINA 7CM</t>
  </si>
  <si>
    <t xml:space="preserve"> 10.3 </t>
  </si>
  <si>
    <t xml:space="preserve"> 220309 </t>
  </si>
  <si>
    <t>PISO EM CERÂMICA PEI MAIOR OU IGUAL A 4 COM CONTRA PISO (1CI:3ARML) E ARGAMASSA COLANTE</t>
  </si>
  <si>
    <t xml:space="preserve"> 10.4 </t>
  </si>
  <si>
    <t xml:space="preserve"> 220311 </t>
  </si>
  <si>
    <t>CERÂMICA ANTIDERRAPANTE PEI MAIOR OU IGUAL A 4 COM CONTRA PISO (1CI:3ARML) E ARGAMASSA COLANTE</t>
  </si>
  <si>
    <t xml:space="preserve"> 10.5 </t>
  </si>
  <si>
    <t xml:space="preserve"> 060470 </t>
  </si>
  <si>
    <t>LASTRO DE BRITA - (OBRAS CIVIS)</t>
  </si>
  <si>
    <t xml:space="preserve"> 10.6 </t>
  </si>
  <si>
    <t xml:space="preserve"> 220104 </t>
  </si>
  <si>
    <t>PISO EM CONCRETO DESEMPENADO ESPESSURA = 7 CM  1:2,5:3,5</t>
  </si>
  <si>
    <t xml:space="preserve"> 10.7 </t>
  </si>
  <si>
    <t xml:space="preserve"> 94995 </t>
  </si>
  <si>
    <t>EXECUÇÃO DE PASSEIO (CALÇADA) OU PISO DE CONCRETO COM CONCRETO MOLDADO IN LOCO, USINADO, ACABAMENTO CONVENCIONAL, ESPESSURA 7 CM, ARMADO. AF_07/2016</t>
  </si>
  <si>
    <t xml:space="preserve"> 10.8 </t>
  </si>
  <si>
    <t xml:space="preserve"> 270232 </t>
  </si>
  <si>
    <t>PAVIMENTO INTERTRAVADO ESPESSURA DE 6CM E FCK = 35 MPA</t>
  </si>
  <si>
    <t xml:space="preserve"> 10.9 </t>
  </si>
  <si>
    <t xml:space="preserve"> 221120 </t>
  </si>
  <si>
    <t>PISO DE BORRACHA COLORIDO MODELO TÁTIL ( ALERTA OU DIRECIONAL) INCLUSO CONTRAPISO (1CI:3ARML) C/ E=2CM E NATA DE CIMENTO</t>
  </si>
  <si>
    <t xml:space="preserve"> 10.10 </t>
  </si>
  <si>
    <t xml:space="preserve"> 220920 </t>
  </si>
  <si>
    <t>SOLEIRA EM GRANITO IMPERMEABILIZADA COM CONTRAPISO (1CI:3ARML)</t>
  </si>
  <si>
    <t xml:space="preserve"> 10.11 </t>
  </si>
  <si>
    <t xml:space="preserve"> 270207 </t>
  </si>
  <si>
    <t>PLANTIO GRAMA BATATAIS PLACA C/ M.O. IRRIG.ADUBO,TER.VEG.(OC) A&lt;11.000M2</t>
  </si>
  <si>
    <t xml:space="preserve"> 10.12 </t>
  </si>
  <si>
    <t xml:space="preserve"> 102494 </t>
  </si>
  <si>
    <t>PINTURA DE PISO COM TINTA EPÓXI, APLICAÇÃO MANUAL, 2 DEMÃOS, INCLUSO PRIMER EPÓXI. AF_05/2021</t>
  </si>
  <si>
    <t xml:space="preserve"> 11 </t>
  </si>
  <si>
    <t>ESQUADRIAS METÁLICAS E MADEIRA</t>
  </si>
  <si>
    <t xml:space="preserve"> 11.1 </t>
  </si>
  <si>
    <t>PORTAS</t>
  </si>
  <si>
    <t xml:space="preserve"> 11.1.1 </t>
  </si>
  <si>
    <t xml:space="preserve"> 180114 </t>
  </si>
  <si>
    <t>PORTA DE ABRIR ALUMÍNIO C/FERRAGENS (M.O.FAB.INC.MAT.) - P1</t>
  </si>
  <si>
    <t xml:space="preserve"> 11.1.2 </t>
  </si>
  <si>
    <t>PORTA DE ABRIR ALUMÍNIO C/FERRAGENS (M.O.FAB.INC.MAT.) - P2</t>
  </si>
  <si>
    <t xml:space="preserve"> 11.1.3 </t>
  </si>
  <si>
    <t>PORTA DE ABRIR ALUMÍNIO C/FERRAGENS (M.O.FAB.INC.MAT.) - P3</t>
  </si>
  <si>
    <t xml:space="preserve"> 11.1.4 </t>
  </si>
  <si>
    <t>PORTA DE ABRIR ALUMÍNIO C/FERRAGENS (M.O.FAB.INC.MAT.) - P4</t>
  </si>
  <si>
    <t xml:space="preserve"> 11.1.5 </t>
  </si>
  <si>
    <t xml:space="preserve"> 170116 </t>
  </si>
  <si>
    <t>FOLHA DE PORTA COM REVESTIMENTO MELAMÍNICO 90X210 -P4*</t>
  </si>
  <si>
    <t xml:space="preserve"> 11.1.6 </t>
  </si>
  <si>
    <t>FOLHA DE PORTA COM REVESTIMENTO MELAMÍNICO 90X210  - P5</t>
  </si>
  <si>
    <t xml:space="preserve"> 11.1.7 </t>
  </si>
  <si>
    <t xml:space="preserve"> 170117 </t>
  </si>
  <si>
    <t>FOLHA DE PORTA COM REVESTIMENTO MELAMÍNICO 100X210 - P6</t>
  </si>
  <si>
    <t xml:space="preserve"> 11.1.8 </t>
  </si>
  <si>
    <t>FOLHA DE PORTA COM REVESTIMENTO MELAMÍNICO 120X210 - P7</t>
  </si>
  <si>
    <t xml:space="preserve"> 11.1.9 </t>
  </si>
  <si>
    <t xml:space="preserve"> 180103 </t>
  </si>
  <si>
    <t>PORTA DE ABRIR EM ALUMÍNIO NATURAL / VIDRO C/FERRAGENS (M.O.FAB.INC.MAT.)  - P8</t>
  </si>
  <si>
    <t xml:space="preserve"> 11.1.10 </t>
  </si>
  <si>
    <t>FOLHA DE PORTA COM REVESTIMENTO MELAMÍNICO 100X210 - P9</t>
  </si>
  <si>
    <t xml:space="preserve"> 11.1.11 </t>
  </si>
  <si>
    <t>PORTA DE ABRIR EM ALUMÍNIO NATURAL / VIDRO C/FERRAGENS (M.O.FAB.INC.MAT.) - P10</t>
  </si>
  <si>
    <t xml:space="preserve"> 11.1.12 </t>
  </si>
  <si>
    <t>FOLHA DE PORTA COM REVESTIMENTO MELAMÍNICO 90X210 - P11</t>
  </si>
  <si>
    <t xml:space="preserve"> 11.1.13 </t>
  </si>
  <si>
    <t xml:space="preserve"> 170115 </t>
  </si>
  <si>
    <t>FOLHA DE PORTA COM REVESTIMENTO MELAMÍNICO 80X210 - P12</t>
  </si>
  <si>
    <t xml:space="preserve"> 11.1.14 </t>
  </si>
  <si>
    <t>PORTA DE ABRIR EM ALUMÍNIO NATURAL / VIDRO C/FERRAGENS (M.O.FAB.INC.MAT.) - P13</t>
  </si>
  <si>
    <t xml:space="preserve"> 11.1.15 </t>
  </si>
  <si>
    <t>PORTA DE ABRIR ALUMÍNIO ANODIZADO EM VENEZIANA C/FERRAGENS (M.O.FAB.INC.MAT.) - P14</t>
  </si>
  <si>
    <t xml:space="preserve"> 11.1.16 </t>
  </si>
  <si>
    <t>PORTA DE ABRIR ALUMÍNIO ANODIZADO EM VENEZIANA C/FERRAGENS (M.O.FAB.INC.MAT.) - P15</t>
  </si>
  <si>
    <t xml:space="preserve"> 11.1.17 </t>
  </si>
  <si>
    <t xml:space="preserve"> 230202 </t>
  </si>
  <si>
    <t>DOBRADICA 3" X 3 1/2" CROMADA</t>
  </si>
  <si>
    <t xml:space="preserve"> 11.1.18 </t>
  </si>
  <si>
    <t xml:space="preserve"> 230105 </t>
  </si>
  <si>
    <t>FECH.(ALAV.) LAFONTE 6236 B/8766 - B19 IMAB OU EQUIV.</t>
  </si>
  <si>
    <t xml:space="preserve"> 11.1.19 </t>
  </si>
  <si>
    <t xml:space="preserve"> 84898 </t>
  </si>
  <si>
    <t>TRILHO "U" DE ALUMINIO, 40X40MM E ROLDANA FIXA DUPLA DE LATAO COM ROLAMENTO PARA PORTA OU JANELA DE CORRER</t>
  </si>
  <si>
    <t xml:space="preserve"> 11.1.20 </t>
  </si>
  <si>
    <t xml:space="preserve"> 060010 </t>
  </si>
  <si>
    <t>VERGA/CONTRAVERGA EM CONCRETO ARMADO FCK = 20 MPA</t>
  </si>
  <si>
    <t xml:space="preserve"> 11.2 </t>
  </si>
  <si>
    <t>JANELAS</t>
  </si>
  <si>
    <t xml:space="preserve"> 11.2.1 </t>
  </si>
  <si>
    <t xml:space="preserve"> 11.2.2 </t>
  </si>
  <si>
    <t xml:space="preserve"> 11.2.3 </t>
  </si>
  <si>
    <t xml:space="preserve"> 11.2.4 </t>
  </si>
  <si>
    <t xml:space="preserve"> 11.2.5 </t>
  </si>
  <si>
    <t xml:space="preserve"> 11.2.6 </t>
  </si>
  <si>
    <t xml:space="preserve"> 11.2.7 </t>
  </si>
  <si>
    <t xml:space="preserve"> 11.2.8 </t>
  </si>
  <si>
    <t xml:space="preserve"> 11.2.9 </t>
  </si>
  <si>
    <t xml:space="preserve"> 11.2.10 </t>
  </si>
  <si>
    <t xml:space="preserve"> 11.2.11 </t>
  </si>
  <si>
    <t xml:space="preserve"> 11.2.12 </t>
  </si>
  <si>
    <t xml:space="preserve"> 11.2.13 </t>
  </si>
  <si>
    <t xml:space="preserve"> 11.2.14 </t>
  </si>
  <si>
    <t xml:space="preserve"> 11.2.15 </t>
  </si>
  <si>
    <t xml:space="preserve"> 11.2.16 </t>
  </si>
  <si>
    <t xml:space="preserve"> 85010 </t>
  </si>
  <si>
    <t>CAIXILHO FIXO, DE ALUMINIO, PARA VIDRO - VFX1</t>
  </si>
  <si>
    <t xml:space="preserve"> 11.2.17 </t>
  </si>
  <si>
    <t>CAIXILHO FIXO, DE ALUMINIO, PARA VIDRO - VFX2</t>
  </si>
  <si>
    <t xml:space="preserve"> 11.2.18 </t>
  </si>
  <si>
    <t>CAIXILHO FIXO, DE ALUMINIO, PARA VIDRO - VFX3</t>
  </si>
  <si>
    <t xml:space="preserve"> 11.2.19 </t>
  </si>
  <si>
    <t xml:space="preserve"> 11.2.20 </t>
  </si>
  <si>
    <t xml:space="preserve"> 11.2.21 </t>
  </si>
  <si>
    <t xml:space="preserve"> 101965 </t>
  </si>
  <si>
    <t>PEITORIL LINEAR EM GRANITO OU MÁRMORE, L = 15CM, COMPRIMENTO DE ATÉ 2M, ASSENTADO COM ARGAMASSA 1:6 COM ADITIVO. AF_11/2020</t>
  </si>
  <si>
    <t xml:space="preserve"> 11.3 </t>
  </si>
  <si>
    <t>DIVISÓRIAS DE VIDRO</t>
  </si>
  <si>
    <t xml:space="preserve"> 11.3.1 </t>
  </si>
  <si>
    <t>CAIXILHO FIXO, DE ALUMINIO, PARA VIDRO - DV1 A DV7</t>
  </si>
  <si>
    <t xml:space="preserve"> 11.3.2 </t>
  </si>
  <si>
    <t xml:space="preserve"> 11.4 </t>
  </si>
  <si>
    <t>GRADIL</t>
  </si>
  <si>
    <t xml:space="preserve"> 11.4.1 </t>
  </si>
  <si>
    <t xml:space="preserve"> 99861 </t>
  </si>
  <si>
    <t>GRADIL EM FERRO, FORMADO POR BARRAS CHATAS DE 25X4,8 MM. AF_04/2019</t>
  </si>
  <si>
    <t xml:space="preserve"> 12 </t>
  </si>
  <si>
    <t>FORROS</t>
  </si>
  <si>
    <t xml:space="preserve"> 12.1 </t>
  </si>
  <si>
    <t>FORROS DE GESSO: TETO</t>
  </si>
  <si>
    <t xml:space="preserve"> 12.1.1 </t>
  </si>
  <si>
    <t xml:space="preserve"> 12.1.2 </t>
  </si>
  <si>
    <t xml:space="preserve"> 13 </t>
  </si>
  <si>
    <t>DIVERSOS</t>
  </si>
  <si>
    <t xml:space="preserve"> 13.1 </t>
  </si>
  <si>
    <t xml:space="preserve"> 180314 </t>
  </si>
  <si>
    <t>GUARDA CORPO COM CORRIMÃO/TUBO INDUSTRIAL  GC-1</t>
  </si>
  <si>
    <t xml:space="preserve"> 13.2 </t>
  </si>
  <si>
    <t xml:space="preserve"> 13.3 </t>
  </si>
  <si>
    <t xml:space="preserve"> 99837 </t>
  </si>
  <si>
    <t>GUARDA-CORPO DE AÇO GALVANIZADO DE 1,10M, MONTANTES TUBULARES DE 1.1/4" ESPAÇADOS DE 1,20M, TRAVESSA SUPERIOR DE 1.1/2", GRADIL FORMADO POR TUBOS HORIZONTAIS DE 1" E VERTICAIS DE 3/4", FIXADO COM CHUMBADOR MECÂNICO. AF_04/2019_P</t>
  </si>
  <si>
    <t xml:space="preserve"> 13.4 </t>
  </si>
  <si>
    <t xml:space="preserve"> 271608 </t>
  </si>
  <si>
    <t>BANCADA DE GRANITO C/ESPELHO</t>
  </si>
  <si>
    <t xml:space="preserve"> 13.5 </t>
  </si>
  <si>
    <t xml:space="preserve"> 270501 </t>
  </si>
  <si>
    <t>LIMPEZA FINAL DE OBRA - (OBRAS CIVIS)</t>
  </si>
  <si>
    <t xml:space="preserve"> 13.6 </t>
  </si>
  <si>
    <t xml:space="preserve"> 270810 </t>
  </si>
  <si>
    <t>PLACA DE INAUGURACAO ACO ESCOVADO 80 X 60 CM</t>
  </si>
  <si>
    <t xml:space="preserve"> 13.7 </t>
  </si>
  <si>
    <t xml:space="preserve"> 271850 </t>
  </si>
  <si>
    <t>LETRA CAIXA CHAPA GALVANIZADA PINTADA COLOCADA</t>
  </si>
  <si>
    <t>Total sem BDI</t>
  </si>
  <si>
    <t>Total do BDI</t>
  </si>
  <si>
    <t>Total Geral</t>
  </si>
  <si>
    <t xml:space="preserve"> = Placa de 2x1 = 2m²</t>
  </si>
  <si>
    <t xml:space="preserve"> 2,0</t>
  </si>
  <si>
    <t xml:space="preserve"> = Área dos pavimentos</t>
  </si>
  <si>
    <t xml:space="preserve"> 907,15</t>
  </si>
  <si>
    <t xml:space="preserve"> = Copa Pro-Saúde = 1,6m²
Consultório 02 = 0,55m²
Consultório 01 = 0,55m²
Odontologia = 1,30m²
Autoclave = 1,65m²
Copa Ipasc = 1,6m²
Apoio Café = 0,9m²
Perícia = 0,55m²
Copa terraço = 1,6m²
Total = 9,40m²</t>
  </si>
  <si>
    <t xml:space="preserve"> 9,4</t>
  </si>
  <si>
    <t xml:space="preserve"> = Terraço = 23,15*1,1 = 25,5m²</t>
  </si>
  <si>
    <t xml:space="preserve"> 25,5</t>
  </si>
  <si>
    <t xml:space="preserve"> 238,9</t>
  </si>
  <si>
    <t xml:space="preserve"> = Pro Saúde - Entrada = 10,12m²
Pro Saúde - Em frente a Floreira = 1,848m²
Ipasc - Entrada = 6,765m²
Ipasc - Corredor = 13,31m²
Escada Pro Saúde -&gt; Ipasc = 8,14m²
Escada Ipasc -&gt; Terraço = 8,14m²
Total = 48,32m²</t>
  </si>
  <si>
    <t xml:space="preserve"> 48,32</t>
  </si>
  <si>
    <t xml:space="preserve"> = Entrada Pro-Saúde = 14 x 2,5 = 35m²
Entrada Ipasc = 6,5 x 2,5 = 16,25m²
Total = 51,25m²
</t>
  </si>
  <si>
    <t xml:space="preserve"> 51,25</t>
  </si>
  <si>
    <t xml:space="preserve"> = Vidro referente as divisórias</t>
  </si>
  <si>
    <t xml:space="preserve"> 35,04</t>
  </si>
  <si>
    <t xml:space="preserve"> = Conforme quadro de esquadrias</t>
  </si>
  <si>
    <t xml:space="preserve"> 61,85</t>
  </si>
  <si>
    <t xml:space="preserve"> 3,46</t>
  </si>
  <si>
    <t xml:space="preserve"> 95,16</t>
  </si>
  <si>
    <t xml:space="preserve"> 7,98</t>
  </si>
  <si>
    <t xml:space="preserve"> 6,24</t>
  </si>
  <si>
    <t xml:space="preserve"> 4,96</t>
  </si>
  <si>
    <t xml:space="preserve"> 4,09</t>
  </si>
  <si>
    <t xml:space="preserve"> 5,39</t>
  </si>
  <si>
    <t xml:space="preserve"> 11,4</t>
  </si>
  <si>
    <t xml:space="preserve"> 5,42</t>
  </si>
  <si>
    <t xml:space="preserve"> 5,89</t>
  </si>
  <si>
    <t xml:space="preserve"> 6,38</t>
  </si>
  <si>
    <t xml:space="preserve"> 1,9</t>
  </si>
  <si>
    <t xml:space="preserve"> 4,3</t>
  </si>
  <si>
    <t xml:space="preserve"> 8,04</t>
  </si>
  <si>
    <t xml:space="preserve"> 3,45</t>
  </si>
  <si>
    <t xml:space="preserve"> 2,08</t>
  </si>
  <si>
    <t xml:space="preserve"> 4,06</t>
  </si>
  <si>
    <t xml:space="preserve"> 4,35</t>
  </si>
  <si>
    <t xml:space="preserve"> 2,8</t>
  </si>
  <si>
    <t xml:space="preserve"> 1,16</t>
  </si>
  <si>
    <t xml:space="preserve"> = Somatório da largura das portas de correr</t>
  </si>
  <si>
    <t xml:space="preserve"> 8,0</t>
  </si>
  <si>
    <t xml:space="preserve"> = 20 portas de madeira</t>
  </si>
  <si>
    <t xml:space="preserve"> 20,0</t>
  </si>
  <si>
    <t xml:space="preserve"> = 14 portas de abrir de madeira
3 dobradiças por porta</t>
  </si>
  <si>
    <t xml:space="preserve"> 42,0</t>
  </si>
  <si>
    <t xml:space="preserve"> 1,68</t>
  </si>
  <si>
    <t xml:space="preserve"> 0,8</t>
  </si>
  <si>
    <t xml:space="preserve"> 3,36</t>
  </si>
  <si>
    <t xml:space="preserve"> 3,15</t>
  </si>
  <si>
    <t xml:space="preserve"> 1,0</t>
  </si>
  <si>
    <t xml:space="preserve"> 3,3</t>
  </si>
  <si>
    <t xml:space="preserve"> 3,0</t>
  </si>
  <si>
    <t xml:space="preserve"> 11,0</t>
  </si>
  <si>
    <t xml:space="preserve"> 13,23</t>
  </si>
  <si>
    <t xml:space="preserve"> 18,48</t>
  </si>
  <si>
    <t xml:space="preserve"> 1,47</t>
  </si>
  <si>
    <t xml:space="preserve"> 1,26</t>
  </si>
  <si>
    <t xml:space="preserve"> = Pintura de piso de estacionamento</t>
  </si>
  <si>
    <t xml:space="preserve"> = Conforme Planta de Piso</t>
  </si>
  <si>
    <t xml:space="preserve"> 50,78</t>
  </si>
  <si>
    <t xml:space="preserve"> 1,8</t>
  </si>
  <si>
    <t xml:space="preserve"> 61,65</t>
  </si>
  <si>
    <t xml:space="preserve"> 111,23</t>
  </si>
  <si>
    <t xml:space="preserve"> 5,59</t>
  </si>
  <si>
    <t xml:space="preserve"> 450,0</t>
  </si>
  <si>
    <t xml:space="preserve"> 560,16</t>
  </si>
  <si>
    <t xml:space="preserve"> = Conforme Planta de Cobertura</t>
  </si>
  <si>
    <t xml:space="preserve"> 40,18</t>
  </si>
  <si>
    <t xml:space="preserve"> 67,27</t>
  </si>
  <si>
    <t xml:space="preserve"> 42,29</t>
  </si>
  <si>
    <t xml:space="preserve"> 78,92</t>
  </si>
  <si>
    <t xml:space="preserve"> 155,35</t>
  </si>
  <si>
    <t xml:space="preserve"> = Impermeabilização de 3 faces da viga = 11,4 m²</t>
  </si>
  <si>
    <t xml:space="preserve"> = Rampa Entrada Pro Saúde =  8,80m² 
Rampa Pro Saúde =  28,08m² 
Rampa Ipasc =  4,95m²
Total = 41,83m²</t>
  </si>
  <si>
    <t xml:space="preserve"> 41,83</t>
  </si>
  <si>
    <t xml:space="preserve"> = Área do terraço coberto</t>
  </si>
  <si>
    <t xml:space="preserve"> 67,76</t>
  </si>
  <si>
    <t xml:space="preserve"> = 60m de floreira
1m de altura
60 x 1 = 60m²</t>
  </si>
  <si>
    <t xml:space="preserve"> 60,0</t>
  </si>
  <si>
    <t xml:space="preserve"> = Conforme memória de cálculo anexa</t>
  </si>
  <si>
    <t xml:space="preserve"> 79,81</t>
  </si>
  <si>
    <t xml:space="preserve"> 137,8</t>
  </si>
  <si>
    <t xml:space="preserve"> = Área de vidro para a frente da recepção (Pro Saúde) = 27,3m²</t>
  </si>
  <si>
    <t xml:space="preserve"> 27,3</t>
  </si>
  <si>
    <t xml:space="preserve"> = Estrutura Metálica para a frente da recepção (Pro Saúde) -
</t>
  </si>
  <si>
    <t xml:space="preserve"> 423,87</t>
  </si>
  <si>
    <t xml:space="preserve"> = Fosso de Luz: 2,15 x 12 = 25,8m²
Terraço = 2 x 2,4 x 1,6 = 7,68m²
Terraço = 3,15 x 2,1 = 6,62m²
Total = 40,1m²</t>
  </si>
  <si>
    <t xml:space="preserve"> 40,1</t>
  </si>
  <si>
    <t xml:space="preserve"> 10,25</t>
  </si>
  <si>
    <t xml:space="preserve"> 75,08</t>
  </si>
  <si>
    <t xml:space="preserve"> = Parede da entrada do pro saúde.
</t>
  </si>
  <si>
    <t xml:space="preserve"> 9,24</t>
  </si>
  <si>
    <t xml:space="preserve"> 231,93</t>
  </si>
  <si>
    <t xml:space="preserve"> = Remanescente de Obra</t>
  </si>
  <si>
    <t xml:space="preserve"> 29,0</t>
  </si>
  <si>
    <t xml:space="preserve"> 5,44</t>
  </si>
  <si>
    <t xml:space="preserve"> 10,0</t>
  </si>
  <si>
    <t xml:space="preserve"> 4,0</t>
  </si>
  <si>
    <t xml:space="preserve"> 5,0</t>
  </si>
  <si>
    <t xml:space="preserve"> 8,22</t>
  </si>
  <si>
    <t xml:space="preserve"> = Conforme Projeto de Incêndio</t>
  </si>
  <si>
    <t xml:space="preserve"> 7,0</t>
  </si>
  <si>
    <t xml:space="preserve"> = 18 Placas de Sinalização de Saída de Emergência
7 Placas de incêndio
Total = 25 unidades</t>
  </si>
  <si>
    <t xml:space="preserve"> 25,0</t>
  </si>
  <si>
    <t xml:space="preserve"> 13,0</t>
  </si>
  <si>
    <t xml:space="preserve"> 6,0</t>
  </si>
  <si>
    <t xml:space="preserve"> 16,33</t>
  </si>
  <si>
    <t xml:space="preserve"> 1,85</t>
  </si>
  <si>
    <t xml:space="preserve"> = Copa = 3 Unidades
DML = 2 Unidades
Total = 5 Unidades</t>
  </si>
  <si>
    <t xml:space="preserve"> = Lavabo = 6 Unidades
Odontologia = 3 Unidades
Consultório 1 = 1 Unidade
Consultório 2 = 1 Unidade
Banho = 4 Unidades
Total = 15 Unidades</t>
  </si>
  <si>
    <t xml:space="preserve"> 15,0</t>
  </si>
  <si>
    <t xml:space="preserve"> = Lavabo PNE = 8 Unidades
Odontologia = 3 Unidades
Consultório 1 = 1 Unidade
Consultório 2 = 1 Unidade
Banho = 4 Unidades
Copa = 3 Unidades
DML = 2 Unidades
Total = 22 Unidades</t>
  </si>
  <si>
    <t xml:space="preserve"> 22,0</t>
  </si>
  <si>
    <t xml:space="preserve"> = DML = 2 Unidades</t>
  </si>
  <si>
    <t xml:space="preserve"> = Copa = 3 Unidades</t>
  </si>
  <si>
    <t xml:space="preserve"> = Odontologia = 3 Unidades</t>
  </si>
  <si>
    <t xml:space="preserve"> = Banho = 4 Unidades</t>
  </si>
  <si>
    <t xml:space="preserve"> = Lavabo PNE = 6 Unidades
Odontologia = 1 Unidade
Consultório 1 = 1 Unidade
Consultório 2 = 1 Unidade</t>
  </si>
  <si>
    <t xml:space="preserve"> 9,0</t>
  </si>
  <si>
    <t xml:space="preserve"> = Lavabo PNE = 6 Unidades
Banho = 4 Unidades
Total = 10 Unidades</t>
  </si>
  <si>
    <t xml:space="preserve"> = Banho = 4 Unidades </t>
  </si>
  <si>
    <t xml:space="preserve"> = Lavabo PNE = 6 Unidades</t>
  </si>
  <si>
    <t xml:space="preserve"> = Banho = 4 unidades</t>
  </si>
  <si>
    <t xml:space="preserve"> = Copa = 3 unidades</t>
  </si>
  <si>
    <t xml:space="preserve"> = Lavabo PNE = 6
Odontologia = 4
Consultório 1 = 1
Consultório 2 = 1
Total = 12 unidades</t>
  </si>
  <si>
    <t xml:space="preserve"> 12,0</t>
  </si>
  <si>
    <t xml:space="preserve"> = Conforme Projeto Elétrico</t>
  </si>
  <si>
    <t xml:space="preserve"> 24,0</t>
  </si>
  <si>
    <t xml:space="preserve"> 19,0</t>
  </si>
  <si>
    <t xml:space="preserve"> 94,0</t>
  </si>
  <si>
    <t xml:space="preserve"> 54,0</t>
  </si>
  <si>
    <t xml:space="preserve"> 118,0</t>
  </si>
  <si>
    <t xml:space="preserve"> 38,0</t>
  </si>
  <si>
    <t xml:space="preserve"> 26,0</t>
  </si>
  <si>
    <t xml:space="preserve"> 33,0</t>
  </si>
  <si>
    <t xml:space="preserve"> 50,0</t>
  </si>
  <si>
    <t xml:space="preserve"> 0,27</t>
  </si>
  <si>
    <t xml:space="preserve"> 125,0</t>
  </si>
  <si>
    <t xml:space="preserve"> 175,0</t>
  </si>
  <si>
    <t xml:space="preserve"> 135,0</t>
  </si>
  <si>
    <t xml:space="preserve"> 6.700,0</t>
  </si>
  <si>
    <t xml:space="preserve"> 165,0</t>
  </si>
  <si>
    <t xml:space="preserve"> 990,0</t>
  </si>
  <si>
    <t xml:space="preserve"> = Concreto das vigas Novas + Vigas que Faltam ser executados</t>
  </si>
  <si>
    <t xml:space="preserve"> 2,88</t>
  </si>
  <si>
    <t xml:space="preserve"> = Aço das vigas Novas + Vigas que Faltam ser executados</t>
  </si>
  <si>
    <t xml:space="preserve"> 113,4</t>
  </si>
  <si>
    <t xml:space="preserve"> 109,6</t>
  </si>
  <si>
    <t xml:space="preserve"> 116,8</t>
  </si>
  <si>
    <t xml:space="preserve"> 78,6</t>
  </si>
  <si>
    <t xml:space="preserve"> 110,3</t>
  </si>
  <si>
    <t xml:space="preserve"> 52,0</t>
  </si>
  <si>
    <t xml:space="preserve"> 95,9</t>
  </si>
  <si>
    <t xml:space="preserve"> = Forma das vigas Novas + Vigas que Faltam ser executados</t>
  </si>
  <si>
    <t xml:space="preserve"> 49,17</t>
  </si>
  <si>
    <t xml:space="preserve"> = Concreto dos Pilares Novos + Pilares que Faltam ser executados</t>
  </si>
  <si>
    <t xml:space="preserve"> 5,3</t>
  </si>
  <si>
    <t xml:space="preserve"> = Aço dos Pilares Novos + Pilares que Faltam ser executados</t>
  </si>
  <si>
    <t xml:space="preserve"> 110,7</t>
  </si>
  <si>
    <t xml:space="preserve"> 15,3</t>
  </si>
  <si>
    <t xml:space="preserve"> 150,95</t>
  </si>
  <si>
    <t xml:space="preserve"> 296,07</t>
  </si>
  <si>
    <t xml:space="preserve"> 146,84</t>
  </si>
  <si>
    <t xml:space="preserve"> = Forma dos Pilares Novos + Pilares que Faltam ser executados</t>
  </si>
  <si>
    <t xml:space="preserve"> 89,99</t>
  </si>
  <si>
    <t xml:space="preserve"> = Rampa Entrada Pro Saúde =  18,04 m³
Rampa Pro Saúde =  42,68 m³ 
Rampa Ipasc =  7,52 m³
Sala de Espera Pro Saúde = 
Total = 68,25m³</t>
  </si>
  <si>
    <t xml:space="preserve"> 68,25</t>
  </si>
  <si>
    <t xml:space="preserve"> = Conforme Projeto de fundações</t>
  </si>
  <si>
    <t xml:space="preserve"> 0,78</t>
  </si>
  <si>
    <t xml:space="preserve"> 23,5</t>
  </si>
  <si>
    <t xml:space="preserve"> 19,7</t>
  </si>
  <si>
    <t xml:space="preserve"> 9,2</t>
  </si>
  <si>
    <t xml:space="preserve"> 12,33</t>
  </si>
  <si>
    <t xml:space="preserve"> = Compr das vigas x Área x Espessura de Brita
12 x 0,06 x 0,05 = 0,09m³</t>
  </si>
  <si>
    <t xml:space="preserve"> 0,09</t>
  </si>
  <si>
    <t xml:space="preserve"> 0,71</t>
  </si>
  <si>
    <t xml:space="preserve"> 1,5</t>
  </si>
  <si>
    <t xml:space="preserve"> 4,92</t>
  </si>
  <si>
    <t xml:space="preserve"> = Qtd. de Blocos x Área x Espessura de Brita
3 x 0,36 x 0,05 = 0,05m³</t>
  </si>
  <si>
    <t xml:space="preserve"> 0,05</t>
  </si>
  <si>
    <t xml:space="preserve"> 66,64</t>
  </si>
  <si>
    <t xml:space="preserve"> = Conforme projeto de fundações</t>
  </si>
  <si>
    <t xml:space="preserve"> 7,39</t>
  </si>
  <si>
    <t xml:space="preserve"> = 3 estacas x 6 metros de profundidade
18 m</t>
  </si>
  <si>
    <t xml:space="preserve"> 18,0</t>
  </si>
  <si>
    <t xml:space="preserve"> = Escavação de 3 estacas de 6m de profundidade, 30 cm cada estaca
5,09 m³</t>
  </si>
  <si>
    <t xml:space="preserve"> 5,09</t>
  </si>
  <si>
    <t xml:space="preserve"> = Volume escavado - Volume de concreto
1,15 - 0,65 = 0,504 m³</t>
  </si>
  <si>
    <t xml:space="preserve"> 0,504</t>
  </si>
  <si>
    <t xml:space="preserve"> = Escavação das 2 vigas baldrames
Comprimento x Largura x Altura (Considerando Espaçamentos)
2,52 m³</t>
  </si>
  <si>
    <t xml:space="preserve"> 2,52</t>
  </si>
  <si>
    <t xml:space="preserve"> = 3 Blocos de fundação de 60x60x60, com espaçamento de 20cm em cada um dos lados = 1,15m³</t>
  </si>
  <si>
    <t xml:space="preserve"> 1,152</t>
  </si>
  <si>
    <t xml:space="preserve"> = Material de demolição</t>
  </si>
  <si>
    <t xml:space="preserve"> = Ligação provisória necessária = 1 unidade</t>
  </si>
  <si>
    <t xml:space="preserve"> = Área do bloco de espera / recepção = 50m²</t>
  </si>
  <si>
    <t xml:space="preserve"> = Previsão de almoxarifado de 4x2 para depósito de materiais = 8m².</t>
  </si>
  <si>
    <t xml:space="preserve"> = Placa de Obra 2x1,5
2m x 1,5m = 3m²</t>
  </si>
  <si>
    <t>Memória de Cálculo</t>
  </si>
  <si>
    <t>peso esp.</t>
  </si>
  <si>
    <t>Compr.</t>
  </si>
  <si>
    <t>barras</t>
  </si>
  <si>
    <t>AÇO 5 MM</t>
  </si>
  <si>
    <t>altura</t>
  </si>
  <si>
    <t>AÇO 10 MM</t>
  </si>
  <si>
    <t>Diâmetro</t>
  </si>
  <si>
    <t>Uds</t>
  </si>
  <si>
    <t>ESCAVAÇÃO MECÂNICA</t>
  </si>
  <si>
    <t>CÁLCULO DE ESTACAS</t>
  </si>
  <si>
    <t>VN, 2</t>
  </si>
  <si>
    <t>VN, 1</t>
  </si>
  <si>
    <t>Altura</t>
  </si>
  <si>
    <t>Largura</t>
  </si>
  <si>
    <t>Viga</t>
  </si>
  <si>
    <t>Espessura</t>
  </si>
  <si>
    <t>LASTRO DE BRITA</t>
  </si>
  <si>
    <t>VOLUME DE CONCRETO</t>
  </si>
  <si>
    <t>CÁLCULO DE VIGAS BALDRAMES</t>
  </si>
  <si>
    <t>CÁLCULO DE BLOCOS FUNDAÇÃO</t>
  </si>
  <si>
    <t>Aço 20mm</t>
  </si>
  <si>
    <t>Aço 16mm</t>
  </si>
  <si>
    <t>Aço 12,5mm</t>
  </si>
  <si>
    <t>Aço 10mm</t>
  </si>
  <si>
    <t>Aço 8mm</t>
  </si>
  <si>
    <t>Aço 6,3mm</t>
  </si>
  <si>
    <t>Aço 5mm</t>
  </si>
  <si>
    <t>Concreto</t>
  </si>
  <si>
    <t>Fôrmas</t>
  </si>
  <si>
    <t>Vigas. Cob.</t>
  </si>
  <si>
    <t>Vigas Nov.</t>
  </si>
  <si>
    <t>Pilares Novos</t>
  </si>
  <si>
    <t>Peso Esp.</t>
  </si>
  <si>
    <t>Pilar</t>
  </si>
  <si>
    <t>AÇO 20mm</t>
  </si>
  <si>
    <t>AÇO 16mm</t>
  </si>
  <si>
    <t>P43</t>
  </si>
  <si>
    <t>P39</t>
  </si>
  <si>
    <t>P27</t>
  </si>
  <si>
    <t>Terraço</t>
  </si>
  <si>
    <t>AÇO 12,5mm</t>
  </si>
  <si>
    <t>P59</t>
  </si>
  <si>
    <t>P58</t>
  </si>
  <si>
    <t>P57</t>
  </si>
  <si>
    <t>P56</t>
  </si>
  <si>
    <t>P55</t>
  </si>
  <si>
    <t>P33</t>
  </si>
  <si>
    <t>P31</t>
  </si>
  <si>
    <t>P26</t>
  </si>
  <si>
    <t>P23</t>
  </si>
  <si>
    <t>P22</t>
  </si>
  <si>
    <t>P21</t>
  </si>
  <si>
    <t>P20</t>
  </si>
  <si>
    <t>Platibanda</t>
  </si>
  <si>
    <t>P41</t>
  </si>
  <si>
    <t>P40</t>
  </si>
  <si>
    <t>P37</t>
  </si>
  <si>
    <t>P29</t>
  </si>
  <si>
    <t>P28</t>
  </si>
  <si>
    <t>AÇO 10mm</t>
  </si>
  <si>
    <t>AÇO 5mm</t>
  </si>
  <si>
    <t>Seção</t>
  </si>
  <si>
    <t>CONCRETO</t>
  </si>
  <si>
    <t>FORMAS</t>
  </si>
  <si>
    <t>Sala de Espera Pro Saúde</t>
  </si>
  <si>
    <t>Rampa Ipasc</t>
  </si>
  <si>
    <t>Rampa Pro Saúde</t>
  </si>
  <si>
    <t>Rampa Entrada Pro Saúde</t>
  </si>
  <si>
    <t>Vol. De Aterro</t>
  </si>
  <si>
    <t>Altura Média</t>
  </si>
  <si>
    <t>Comprimento</t>
  </si>
  <si>
    <t>Local</t>
  </si>
  <si>
    <t>Área do Arrimo</t>
  </si>
  <si>
    <t>Muro de Arrimo</t>
  </si>
  <si>
    <t>TOTAL</t>
  </si>
  <si>
    <t>Muros de Arrimo</t>
  </si>
  <si>
    <t>Fachada Posterior</t>
  </si>
  <si>
    <t>Fachada Lateral Esquerda</t>
  </si>
  <si>
    <t>Fachada Lateral Direita</t>
  </si>
  <si>
    <t>Fachada Frontal</t>
  </si>
  <si>
    <t>Muretas</t>
  </si>
  <si>
    <t>CIRCULAÇÃO</t>
  </si>
  <si>
    <t>LAVABO PNE 2</t>
  </si>
  <si>
    <t>LAVABO PNE 1</t>
  </si>
  <si>
    <t>FOSSO DE LUZ</t>
  </si>
  <si>
    <t>HALL</t>
  </si>
  <si>
    <t>HALL ESCADA / ELEVADOR</t>
  </si>
  <si>
    <t>COPA</t>
  </si>
  <si>
    <t>LAJE TÉCNICA</t>
  </si>
  <si>
    <t>TERRAÇO COBERTO</t>
  </si>
  <si>
    <t>TERRAÇO DESCOBERTO</t>
  </si>
  <si>
    <t>TERRAÇO</t>
  </si>
  <si>
    <t>ASSESSORIA JURÍDICA</t>
  </si>
  <si>
    <t>PERÍCIA</t>
  </si>
  <si>
    <t>REUNIÃO</t>
  </si>
  <si>
    <t>BANHO FEMIN.</t>
  </si>
  <si>
    <t>BANHO MASC.</t>
  </si>
  <si>
    <t>HALL BANHEIROS</t>
  </si>
  <si>
    <t>ARQUIVO</t>
  </si>
  <si>
    <t>ATENDIMENTO</t>
  </si>
  <si>
    <t>ESCADA / ELEVADOR</t>
  </si>
  <si>
    <t>DML</t>
  </si>
  <si>
    <t>ADMINSTRAÇÃO</t>
  </si>
  <si>
    <t>FINANCEIRO</t>
  </si>
  <si>
    <t>BENEFÍCIOS</t>
  </si>
  <si>
    <t>SUPERINTENDÊNCIA</t>
  </si>
  <si>
    <t>IPASC</t>
  </si>
  <si>
    <t>PLATIBANDA</t>
  </si>
  <si>
    <t>MOTOR ODONTOLOGIA</t>
  </si>
  <si>
    <t>CONSULTORIO ODONTOLOGIA</t>
  </si>
  <si>
    <t>AUTOCLAVE</t>
  </si>
  <si>
    <t>ODONTOLOGIA</t>
  </si>
  <si>
    <t>CONSULTÓRIO 01</t>
  </si>
  <si>
    <t>CONSULTÓRIO 02</t>
  </si>
  <si>
    <t>BANHO FEM.</t>
  </si>
  <si>
    <t>SUPRIMENTOS</t>
  </si>
  <si>
    <t>ESCADA E ELEVADOR</t>
  </si>
  <si>
    <t>ADMINISTRAÇÃO</t>
  </si>
  <si>
    <t>FATURAMENTO</t>
  </si>
  <si>
    <t>CADASTRO 2</t>
  </si>
  <si>
    <t>CADASTRO 1</t>
  </si>
  <si>
    <t>CPD</t>
  </si>
  <si>
    <t>TRIAGEM</t>
  </si>
  <si>
    <t>ESPERA / HALL LAVABO</t>
  </si>
  <si>
    <t>ESPERA / RECEPÇÃO</t>
  </si>
  <si>
    <t>PRO SAÚDE</t>
  </si>
  <si>
    <t>Porcelato Acetinado</t>
  </si>
  <si>
    <t>Pintura Texturizada</t>
  </si>
  <si>
    <t>Cerâmica</t>
  </si>
  <si>
    <t>PINTURA PVA</t>
  </si>
  <si>
    <t>EMBOÇO</t>
  </si>
  <si>
    <t>REBOCO</t>
  </si>
  <si>
    <t>CHAPISCO</t>
  </si>
  <si>
    <t>DIVISÓRIA</t>
  </si>
  <si>
    <t>ALVENARIA</t>
  </si>
  <si>
    <t>PERÍMETRO</t>
  </si>
  <si>
    <t>ÁREA</t>
  </si>
  <si>
    <t>AMBIENTES</t>
  </si>
  <si>
    <t>ALUMÍNIO</t>
  </si>
  <si>
    <t>ABRIR</t>
  </si>
  <si>
    <t>P15</t>
  </si>
  <si>
    <t>VENEZIANA</t>
  </si>
  <si>
    <t>P14</t>
  </si>
  <si>
    <t>ALUMÍNIO + VIDRO</t>
  </si>
  <si>
    <t>P13</t>
  </si>
  <si>
    <t>MADEIRA MELAMÍNICO</t>
  </si>
  <si>
    <t>CORRER</t>
  </si>
  <si>
    <t>P12</t>
  </si>
  <si>
    <t>P11</t>
  </si>
  <si>
    <t>P10</t>
  </si>
  <si>
    <t>P9</t>
  </si>
  <si>
    <t>P8</t>
  </si>
  <si>
    <t>P7</t>
  </si>
  <si>
    <t>P6</t>
  </si>
  <si>
    <t>P5</t>
  </si>
  <si>
    <t>P4*</t>
  </si>
  <si>
    <t>P4</t>
  </si>
  <si>
    <t>P3</t>
  </si>
  <si>
    <t>P2</t>
  </si>
  <si>
    <t>P1</t>
  </si>
  <si>
    <t>Acabamento</t>
  </si>
  <si>
    <t>Tipo</t>
  </si>
  <si>
    <t>Área</t>
  </si>
  <si>
    <t>n°</t>
  </si>
  <si>
    <t>QUADRO DE ABERTURAS PORTAS</t>
  </si>
  <si>
    <t>VIDRO TEMPERADO</t>
  </si>
  <si>
    <t>FIXO</t>
  </si>
  <si>
    <t>DV7</t>
  </si>
  <si>
    <t>DV6</t>
  </si>
  <si>
    <t>DV5</t>
  </si>
  <si>
    <t>DV4</t>
  </si>
  <si>
    <t>DV3</t>
  </si>
  <si>
    <t>DV2</t>
  </si>
  <si>
    <t>DV1</t>
  </si>
  <si>
    <t>QUADRO DE ABERTURAS DIVISÓRIAS DE VIDRO</t>
  </si>
  <si>
    <t>Alumínio + Vidro</t>
  </si>
  <si>
    <t>VFX3</t>
  </si>
  <si>
    <t>VFX2</t>
  </si>
  <si>
    <t>VFX1</t>
  </si>
  <si>
    <t>BASCULANTE</t>
  </si>
  <si>
    <t>J15</t>
  </si>
  <si>
    <t>J14</t>
  </si>
  <si>
    <t>J13</t>
  </si>
  <si>
    <t>J12</t>
  </si>
  <si>
    <t>J11</t>
  </si>
  <si>
    <t>J10</t>
  </si>
  <si>
    <t>J9</t>
  </si>
  <si>
    <t>J8</t>
  </si>
  <si>
    <t>J7</t>
  </si>
  <si>
    <t>J6</t>
  </si>
  <si>
    <t>J5</t>
  </si>
  <si>
    <t>J4</t>
  </si>
  <si>
    <t>J3*</t>
  </si>
  <si>
    <t>J3</t>
  </si>
  <si>
    <t>J2*</t>
  </si>
  <si>
    <t>J2</t>
  </si>
  <si>
    <t>J1</t>
  </si>
  <si>
    <t>Peitoril</t>
  </si>
  <si>
    <t>Verga e Contraverga</t>
  </si>
  <si>
    <t>QUADRO DE ABERTURAS JANELAS</t>
  </si>
  <si>
    <t>Escada Ipasc -&gt; Terraço</t>
  </si>
  <si>
    <t>Escada Pro Saúde -&gt; Ipasc</t>
  </si>
  <si>
    <t>Ipasc - Corredor</t>
  </si>
  <si>
    <t>Ipasc - Entrada (Lado Direito)</t>
  </si>
  <si>
    <t>Pro-Saúde - Lateral</t>
  </si>
  <si>
    <t>Pro-Saúde - Entrada (Lado Direito)</t>
  </si>
  <si>
    <t>Corrimão</t>
  </si>
  <si>
    <t>Pro Saúde - Em frente a floreira</t>
  </si>
  <si>
    <t xml:space="preserve">Pro-Saúde - Entrada </t>
  </si>
  <si>
    <t>Qtd</t>
  </si>
  <si>
    <t>Guarda Corpo + Corrimão</t>
  </si>
  <si>
    <t>Benefícios</t>
  </si>
  <si>
    <t>Financeiro</t>
  </si>
  <si>
    <t>Pericia</t>
  </si>
  <si>
    <t>Administração</t>
  </si>
  <si>
    <t>Atendimento</t>
  </si>
  <si>
    <t>Cadastro</t>
  </si>
  <si>
    <t>Faturamento</t>
  </si>
  <si>
    <t>Triagem</t>
  </si>
  <si>
    <t>Odontologia</t>
  </si>
  <si>
    <t>ESCADA</t>
  </si>
  <si>
    <t>ipasc frente</t>
  </si>
  <si>
    <t>Ipasc fundo</t>
  </si>
  <si>
    <t>Pro saude frente</t>
  </si>
  <si>
    <t>Floreira Ipasc</t>
  </si>
  <si>
    <t>Descida Cobertura Pro Saúde</t>
  </si>
  <si>
    <t>Tub. Lateral Esquerda Pro Saúde</t>
  </si>
  <si>
    <t>Tub. Lateral Direita Pro Saúde</t>
  </si>
  <si>
    <t>Tub. Lateral Esquerda Ipasc</t>
  </si>
  <si>
    <t>Tub. Lateral Direita Ipasc</t>
  </si>
  <si>
    <t>Tubo de 75mm</t>
  </si>
  <si>
    <t>Tubo de 100mm</t>
  </si>
  <si>
    <t>Tubo de 150mm</t>
  </si>
  <si>
    <t>PEAD 100mm encamisado</t>
  </si>
  <si>
    <t>MUROS</t>
  </si>
  <si>
    <t>Lateral Direita</t>
  </si>
  <si>
    <t>Lateral Esquerda</t>
  </si>
  <si>
    <t>Consultório 2</t>
  </si>
  <si>
    <t>Consultório 1</t>
  </si>
  <si>
    <t>Consultório Odontologia</t>
  </si>
  <si>
    <t>Espera Hall Lavabo</t>
  </si>
  <si>
    <t xml:space="preserve">Reunião </t>
  </si>
  <si>
    <t xml:space="preserve">Superintendência </t>
  </si>
  <si>
    <t>MEMÓRIA DE CÁLCULO - REVESTIMENTOS</t>
  </si>
  <si>
    <t>FAIXA ANTIDERRAPANTE A BASE DE RESINA EPÓXICA E AREIA QUARTZOSA L=4CM</t>
  </si>
  <si>
    <t xml:space="preserve"> 14.11 </t>
  </si>
  <si>
    <t xml:space="preserve"> 14.10 </t>
  </si>
  <si>
    <t xml:space="preserve"> 14.9 </t>
  </si>
  <si>
    <t xml:space="preserve"> 14.8 </t>
  </si>
  <si>
    <t>Prateleira em granito cinza andorinha, esp= 2cm</t>
  </si>
  <si>
    <t xml:space="preserve"> 9721 </t>
  </si>
  <si>
    <t xml:space="preserve"> 14.7 </t>
  </si>
  <si>
    <t xml:space="preserve"> 14.6 </t>
  </si>
  <si>
    <t>PLANTIO DE PALMEIRA COM ALTURA DE MUDA MENOR OU IGUAL A 2,00 M. AF_05/2018</t>
  </si>
  <si>
    <t xml:space="preserve"> 98516 </t>
  </si>
  <si>
    <t xml:space="preserve"> 14.5 </t>
  </si>
  <si>
    <t>PINTURA COM TINTA ALQUÍDICA DE ACABAMENTO (ESMALTE SINTÉTICO ACETINADO) APLICADA A ROLO OU PINCEL SOBRE SUPERFÍCIES METÁLICAS (EXCETO PERFIL) EXECUTADO EM OBRA (02 DEMÃOS). AF_01/2020</t>
  </si>
  <si>
    <t xml:space="preserve"> 100758 </t>
  </si>
  <si>
    <t xml:space="preserve"> 14.4 </t>
  </si>
  <si>
    <t xml:space="preserve"> 14.3 </t>
  </si>
  <si>
    <t>Corrimão duplo em tubo de ferro galvanizado 1 1/2", com chumbadores para fixação em alvenaria</t>
  </si>
  <si>
    <t xml:space="preserve"> 12188 </t>
  </si>
  <si>
    <t xml:space="preserve"> 14.2 </t>
  </si>
  <si>
    <t xml:space="preserve"> 14.1 </t>
  </si>
  <si>
    <t xml:space="preserve"> 14 </t>
  </si>
  <si>
    <t>REGISTRO DE PRESSAO C/CANOPLA CROMADA DIAM.3/4"</t>
  </si>
  <si>
    <t xml:space="preserve"> 080946 </t>
  </si>
  <si>
    <t xml:space="preserve"> 13.10 </t>
  </si>
  <si>
    <t>TUBO SOLDAVEL PVC MARROM DIAMETRO 25 mm</t>
  </si>
  <si>
    <t xml:space="preserve"> 081003 </t>
  </si>
  <si>
    <t xml:space="preserve"> 13.9 </t>
  </si>
  <si>
    <t>TORNEIRA DE PAREDE PARA PIA OU BEBEDOURO DIÂMETRO DE 1/2" E 3/4"</t>
  </si>
  <si>
    <t xml:space="preserve"> 080660 </t>
  </si>
  <si>
    <t xml:space="preserve"> 13.8 </t>
  </si>
  <si>
    <t>POLICARBONATO EM CHAPA 6mm EM CAIXILHO DE PAINEL FIXO ALUMINIO</t>
  </si>
  <si>
    <t xml:space="preserve"> 150220 </t>
  </si>
  <si>
    <t>MANTA AUTOADESIVA PARA PROTECAO DE SUPERFICIES - PROMOPISO</t>
  </si>
  <si>
    <t xml:space="preserve"> 012115 </t>
  </si>
  <si>
    <t>PINTURA LATEX ACRILICA 2 DEMAOS C/SELADOR</t>
  </si>
  <si>
    <t xml:space="preserve"> 261000 </t>
  </si>
  <si>
    <t>EMASSAMENTO ACRILICO 2 DEMAOS</t>
  </si>
  <si>
    <t xml:space="preserve"> 261304 </t>
  </si>
  <si>
    <t>ALVENARIA DE TIJOLO COMUM 1/2 VEZ - ARG. (1CI : 2CH : 8ARML)</t>
  </si>
  <si>
    <t xml:space="preserve"> 100102 </t>
  </si>
  <si>
    <t>REPAROS - VIZINHO</t>
  </si>
  <si>
    <t>TABICA PARA FORRO DE GESSO</t>
  </si>
  <si>
    <t xml:space="preserve"> 210506 </t>
  </si>
  <si>
    <t>FORRO DE GESSO ACARTONADO ESPESSURA DE 12,5MM</t>
  </si>
  <si>
    <t xml:space="preserve"> 210498 </t>
  </si>
  <si>
    <t xml:space="preserve"> 11.4.2 </t>
  </si>
  <si>
    <t>VIDRO TEMPERADO INCOLOR, ESPESSURA 6MM, FORNECIMENTO E INSTALACAO, INCLUSIVE MASSA PARA VEDACAO</t>
  </si>
  <si>
    <t xml:space="preserve"> 72118 </t>
  </si>
  <si>
    <t>GUARNICAO / ALIZAR / VISTA LISA EM MADEIRA MACICA, PARA PORTA  , E = *1* CM, L = *5* CM, CEDRINHO / ANGELIM COMERCIAL / TAURI/ CURUPIXA / PEROBA / CUMARU OU EQUIVALENTE DA REGIAO</t>
  </si>
  <si>
    <t xml:space="preserve"> 00020017 </t>
  </si>
  <si>
    <t xml:space="preserve"> 11.1.22 </t>
  </si>
  <si>
    <t>JG</t>
  </si>
  <si>
    <t>BATENTE / PORTAL / ADUELA / MARCO EM MADEIRA MACICA COM REBAIXO, E = *3* CM, L = *14* CM, PARA PORTAS DE  GIRO DE *60 CM A 120* CM  X *210* CM, CEDRINHO / ANGELIM COMERCIAL / TAURI / CURUPIXA / PEROBA / CUMARU OU EQUIVALENTE DA REGIAO (NAO INCLUI ALIZARES)</t>
  </si>
  <si>
    <t xml:space="preserve"> 00000183 </t>
  </si>
  <si>
    <t xml:space="preserve"> 11.1.21 </t>
  </si>
  <si>
    <t xml:space="preserve"> 9.7 </t>
  </si>
  <si>
    <t>IMPERMEABILIZACAO-C/CIMENTO CRISTALIZANTE 3 DEMAOS</t>
  </si>
  <si>
    <t xml:space="preserve"> 120209 </t>
  </si>
  <si>
    <t xml:space="preserve"> 8.5 </t>
  </si>
  <si>
    <t xml:space="preserve"> 6.8 </t>
  </si>
  <si>
    <t>APLICAÇÃO MANUAL DE PINTURA COM TINTA LÁTEX ACRÍLICA EM PAREDES, DUAS DEMÃOS. AF_06/2014</t>
  </si>
  <si>
    <t xml:space="preserve"> 88489 </t>
  </si>
  <si>
    <t>MURETA DE ALVENARIA TIJOLO FURADO 1/2 VEZ ( H=0,50M) COM FUNDAÇÃO - SEM REVESTIMENTOS (PADRÃO GOINFRA)</t>
  </si>
  <si>
    <t xml:space="preserve"> 270310 </t>
  </si>
  <si>
    <t>CAIXA DE AREIA - LASTRO DE BRITA PARA O FUNDO</t>
  </si>
  <si>
    <t xml:space="preserve"> 081834 </t>
  </si>
  <si>
    <t xml:space="preserve"> 5.7.4 </t>
  </si>
  <si>
    <t>ABERTURA E FECHAMENTO DE RASGOS EM PISOS/CONTRAPISOS</t>
  </si>
  <si>
    <t xml:space="preserve"> 170303 </t>
  </si>
  <si>
    <t xml:space="preserve"> 5.7.3 </t>
  </si>
  <si>
    <t>RASGO E ENCHIMENTO DE ALVENARIA</t>
  </si>
  <si>
    <t xml:space="preserve"> 200103 </t>
  </si>
  <si>
    <t xml:space="preserve"> 5.7.2 </t>
  </si>
  <si>
    <t>TUBO SOLDAVEL PVC MARROM DIAMETRO 20 mm</t>
  </si>
  <si>
    <t xml:space="preserve"> 081002 </t>
  </si>
  <si>
    <t xml:space="preserve"> 5.7.1 </t>
  </si>
  <si>
    <t>DRENAGEM DO AR CONDICIONADO</t>
  </si>
  <si>
    <t xml:space="preserve"> 5.7 </t>
  </si>
  <si>
    <t>Canaleta meia cana D = 0,30 m assente sobre lastro de areia - areia e brita comerciais - fornecimento e instalação</t>
  </si>
  <si>
    <t>SICRO3</t>
  </si>
  <si>
    <t xml:space="preserve"> 2003799 </t>
  </si>
  <si>
    <t>Dreno profundo 30x20cm c/ tubo de pvc ø 100mm, bidim, areia grossa e brita</t>
  </si>
  <si>
    <t xml:space="preserve"> 2786 </t>
  </si>
  <si>
    <t>UND</t>
  </si>
  <si>
    <t>POÇO DE INFILTRAÇÃO - DN 200MM</t>
  </si>
  <si>
    <t xml:space="preserve"> IPASC 01 </t>
  </si>
  <si>
    <t>TOALHEIRO PLASTICO TIPO DISPENSER PARA PAPEL TOALHA INTERFOLHADO</t>
  </si>
  <si>
    <t xml:space="preserve"> 00037401 </t>
  </si>
  <si>
    <t xml:space="preserve"> 5.1.13 </t>
  </si>
  <si>
    <t>SABONETEIRA PLASTICA TIPO DISPENSER PARA SABONETE LIQUIDO COM RESERVATORIO 800 A 1500 ML</t>
  </si>
  <si>
    <t xml:space="preserve"> 00011758 </t>
  </si>
  <si>
    <t xml:space="preserve"> 5.1.12 </t>
  </si>
  <si>
    <t>BARRA DE APOIO EM AÇO INOX - 40 CM</t>
  </si>
  <si>
    <t xml:space="preserve"> 230174 </t>
  </si>
  <si>
    <t xml:space="preserve"> 5.1.11 </t>
  </si>
  <si>
    <t>BARRA DE APOIO EM AÇO INOX - 80 CM</t>
  </si>
  <si>
    <t xml:space="preserve"> 230176 </t>
  </si>
  <si>
    <t xml:space="preserve"> 5.1.10 </t>
  </si>
  <si>
    <t>CHUVEIRO ELÉTRICO EM PVC COM BRAÇO METÁLICO</t>
  </si>
  <si>
    <t xml:space="preserve"> 080721 </t>
  </si>
  <si>
    <t xml:space="preserve"> 5.1.9 </t>
  </si>
  <si>
    <t>LANÇAMENTO/APLICAÇÃO/ADENSAMENTO MANUAL DE CONCRETO - (O.C.)</t>
  </si>
  <si>
    <t xml:space="preserve"> 051055 </t>
  </si>
  <si>
    <t xml:space="preserve"> 3.6.4 </t>
  </si>
  <si>
    <t>CONCRETO USINADO CONVENCIONAL FCK=30 MPA COM TRANSPORTE MANUAL (O.C.)</t>
  </si>
  <si>
    <t xml:space="preserve"> 051033 </t>
  </si>
  <si>
    <t xml:space="preserve"> 3.6.3 </t>
  </si>
  <si>
    <t>KG</t>
  </si>
  <si>
    <t>ARMAÇÃO DE CORTINA DE CONTENÇÃO EM CONCRETO ARMADO, COM AÇO CA-50 DE 10 MM - MONTAGEM. AF_07/2019</t>
  </si>
  <si>
    <t xml:space="preserve"> 100344 </t>
  </si>
  <si>
    <t xml:space="preserve"> 3.6.2 </t>
  </si>
  <si>
    <t>FORMA CHAPA COMPENSADA 6 MM U=3V ( PARA PLACAS/TAMPAS E DIVISÓRIAS PRÉ- MOLDADAS EM CONCRETO)</t>
  </si>
  <si>
    <t xml:space="preserve"> 060180 </t>
  </si>
  <si>
    <t xml:space="preserve"> 3.6.1 </t>
  </si>
  <si>
    <t>CAIXA D'ÁGUA</t>
  </si>
  <si>
    <t xml:space="preserve"> 3.6 </t>
  </si>
  <si>
    <t>REPARO LAJE C/ CORTE</t>
  </si>
  <si>
    <t xml:space="preserve"> 021149 </t>
  </si>
  <si>
    <t xml:space="preserve"> 3.5.4 </t>
  </si>
  <si>
    <t>ARMAÇÃO DE LAJE DE UMA ESTRUTURA CONVENCIONAL DE CONCRETO ARMADO EM UM EDIFÍCIO DE MÚLTIPLOS PAVIMENTOS UTILIZANDO AÇO CA-50 DE 10,0 MM - MONTAGEM. AF_12/2015</t>
  </si>
  <si>
    <t xml:space="preserve"> 92771 </t>
  </si>
  <si>
    <t xml:space="preserve"> 3.5.3 </t>
  </si>
  <si>
    <t>CONCRETO FCK = 25MPA, TRAÇO 1:2,3:2,7 (EM MASSA SECA DE CIMENTO/ AREIA MÉDIA/ BRITA 1) - PREPARO MECÂNICO COM BETONEIRA 600 L. AF_05/2021</t>
  </si>
  <si>
    <t xml:space="preserve"> 94971 </t>
  </si>
  <si>
    <t xml:space="preserve"> 3.5.2 </t>
  </si>
  <si>
    <t>TELA DE ACO SOLDADA NERVURADA, CA-60, Q-196, (3,11 KG/M2), DIAMETRO DO FIO = 5,0 MM, LARGURA = 2,45 M, ESPACAMENTO DA MALHA = 10 X 10 CM</t>
  </si>
  <si>
    <t xml:space="preserve"> 00007156 </t>
  </si>
  <si>
    <t xml:space="preserve"> 3.5.1 </t>
  </si>
  <si>
    <t>REFORÇO - LAJE EXISTENTE</t>
  </si>
  <si>
    <t xml:space="preserve"> 3.5 </t>
  </si>
  <si>
    <t>CINTA DE AMARRAÇÃO DE ALVENARIA MOLDADA IN LOCO EM CONCRETO. AF_03/2016</t>
  </si>
  <si>
    <t xml:space="preserve"> 93204 </t>
  </si>
  <si>
    <t xml:space="preserve"> 3.2.11 </t>
  </si>
  <si>
    <t xml:space="preserve"> 2.1.5 </t>
  </si>
  <si>
    <t>ESCAVAÇAO MANUAL DE VALAS PROF. 2 A 4 M</t>
  </si>
  <si>
    <t xml:space="preserve"> 040104 </t>
  </si>
  <si>
    <t xml:space="preserve"> 1.2.4 </t>
  </si>
  <si>
    <t>DEMOLIÇÃO MANUAL DE PISO CIMENT.SOBRE LASTRO CONC.C/TR.ATE CB. E CARGA</t>
  </si>
  <si>
    <t xml:space="preserve"> 020109 </t>
  </si>
  <si>
    <t>Fornecimento e instalação de proteção para andaime fachadeiro considerando plataforma, rodapé e guarda-corpo em madeira, inclusive entelamento, conforme NR-18 (medido por m2 de fachada)</t>
  </si>
  <si>
    <t xml:space="preserve"> 1.1.8 </t>
  </si>
  <si>
    <t xml:space="preserve"> 26,55%</t>
  </si>
  <si>
    <t>Custo Acumulado</t>
  </si>
  <si>
    <t xml:space="preserve"> 100,0%</t>
  </si>
  <si>
    <t>Porcentagem Acumulado</t>
  </si>
  <si>
    <t>Custo</t>
  </si>
  <si>
    <t>Porcentagem</t>
  </si>
  <si>
    <t/>
  </si>
  <si>
    <t>150 DIAS</t>
  </si>
  <si>
    <t>120 DIAS</t>
  </si>
  <si>
    <t>90 DIAS</t>
  </si>
  <si>
    <t>60 DIAS</t>
  </si>
  <si>
    <t>30 DIAS</t>
  </si>
  <si>
    <t>Total Por Etapa</t>
  </si>
  <si>
    <t>Cronograma Físico e Financeiro</t>
  </si>
  <si>
    <t xml:space="preserve"> 100,00</t>
  </si>
  <si>
    <t xml:space="preserve"> 0,00</t>
  </si>
  <si>
    <t xml:space="preserve"> 0,14</t>
  </si>
  <si>
    <t xml:space="preserve"> 99,99</t>
  </si>
  <si>
    <t xml:space="preserve"> 99,98</t>
  </si>
  <si>
    <t xml:space="preserve"> 99,97</t>
  </si>
  <si>
    <t xml:space="preserve"> 99,96</t>
  </si>
  <si>
    <t xml:space="preserve"> 1,49</t>
  </si>
  <si>
    <t xml:space="preserve"> 99,95</t>
  </si>
  <si>
    <t xml:space="preserve"> 99,94</t>
  </si>
  <si>
    <t xml:space="preserve"> 0,01</t>
  </si>
  <si>
    <t>INEL - INSTALAÇÃO ELÉTRICA/ELETRIFICAÇÃO E ILUMINAÇÃO EXTERNA</t>
  </si>
  <si>
    <t xml:space="preserve"> 99,93</t>
  </si>
  <si>
    <t xml:space="preserve"> 0,63</t>
  </si>
  <si>
    <t xml:space="preserve"> 99,92</t>
  </si>
  <si>
    <t xml:space="preserve"> 71,04</t>
  </si>
  <si>
    <t xml:space="preserve"> 5,97</t>
  </si>
  <si>
    <t xml:space="preserve"> 11,9</t>
  </si>
  <si>
    <t>Material</t>
  </si>
  <si>
    <t xml:space="preserve"> 99,91</t>
  </si>
  <si>
    <t xml:space="preserve"> 99,90</t>
  </si>
  <si>
    <t xml:space="preserve"> 99,89</t>
  </si>
  <si>
    <t xml:space="preserve"> 99,88</t>
  </si>
  <si>
    <t xml:space="preserve"> 99,87</t>
  </si>
  <si>
    <t xml:space="preserve"> 99,86</t>
  </si>
  <si>
    <t xml:space="preserve"> 0,72</t>
  </si>
  <si>
    <t xml:space="preserve"> 99,85</t>
  </si>
  <si>
    <t xml:space="preserve"> 99,84</t>
  </si>
  <si>
    <t xml:space="preserve"> 99,83</t>
  </si>
  <si>
    <t xml:space="preserve"> 99,82</t>
  </si>
  <si>
    <t xml:space="preserve"> 99,81</t>
  </si>
  <si>
    <t xml:space="preserve"> 99,80</t>
  </si>
  <si>
    <t xml:space="preserve"> 99,79</t>
  </si>
  <si>
    <t xml:space="preserve"> 3,6</t>
  </si>
  <si>
    <t xml:space="preserve"> 99,76</t>
  </si>
  <si>
    <t xml:space="preserve"> 0,02</t>
  </si>
  <si>
    <t xml:space="preserve"> 99,72</t>
  </si>
  <si>
    <t xml:space="preserve"> 16,9</t>
  </si>
  <si>
    <t xml:space="preserve"> 99,56</t>
  </si>
  <si>
    <t xml:space="preserve"> 0,03</t>
  </si>
  <si>
    <t xml:space="preserve"> 99,43</t>
  </si>
  <si>
    <t>Luminárias Externas</t>
  </si>
  <si>
    <t xml:space="preserve"> 99,38</t>
  </si>
  <si>
    <t xml:space="preserve"> 10,5</t>
  </si>
  <si>
    <t xml:space="preserve"> 82,18</t>
  </si>
  <si>
    <t xml:space="preserve"> 24,15</t>
  </si>
  <si>
    <t xml:space="preserve"> 8,18</t>
  </si>
  <si>
    <t>ESQV - ESQUADRIAS/FERRAGENS/VIDROS</t>
  </si>
  <si>
    <t xml:space="preserve"> 0,04</t>
  </si>
  <si>
    <t xml:space="preserve"> 12,5</t>
  </si>
  <si>
    <t xml:space="preserve"> 470,00</t>
  </si>
  <si>
    <t xml:space="preserve"> 47,00</t>
  </si>
  <si>
    <t xml:space="preserve"> 489,20</t>
  </si>
  <si>
    <t xml:space="preserve"> 48,92</t>
  </si>
  <si>
    <t xml:space="preserve"> 40,0</t>
  </si>
  <si>
    <t xml:space="preserve"> 30,0</t>
  </si>
  <si>
    <t xml:space="preserve"> 0,06</t>
  </si>
  <si>
    <t>Luminárias Internas</t>
  </si>
  <si>
    <t xml:space="preserve"> 0,07</t>
  </si>
  <si>
    <t xml:space="preserve"> 48,0</t>
  </si>
  <si>
    <t xml:space="preserve"> 64,9</t>
  </si>
  <si>
    <t xml:space="preserve"> 41,8</t>
  </si>
  <si>
    <t>MOVT - MOVIMENTO DE TERRA</t>
  </si>
  <si>
    <t xml:space="preserve"> 1,67</t>
  </si>
  <si>
    <t>FUES - FUNDAÇÕES E ESTRUTURAS</t>
  </si>
  <si>
    <t xml:space="preserve"> 0,08</t>
  </si>
  <si>
    <t xml:space="preserve"> 0,10</t>
  </si>
  <si>
    <t xml:space="preserve"> 9,06</t>
  </si>
  <si>
    <t xml:space="preserve"> 34,5</t>
  </si>
  <si>
    <t xml:space="preserve"> 90,14</t>
  </si>
  <si>
    <t xml:space="preserve"> 170,0</t>
  </si>
  <si>
    <t xml:space="preserve"> 0,11</t>
  </si>
  <si>
    <t xml:space="preserve"> 80,2</t>
  </si>
  <si>
    <t>PINT - PINTURAS</t>
  </si>
  <si>
    <t xml:space="preserve"> 0,12</t>
  </si>
  <si>
    <t xml:space="preserve"> 0,13</t>
  </si>
  <si>
    <t xml:space="preserve"> 55,0</t>
  </si>
  <si>
    <t xml:space="preserve"> 124,9</t>
  </si>
  <si>
    <t xml:space="preserve"> 44,52</t>
  </si>
  <si>
    <t xml:space="preserve"> 0,15</t>
  </si>
  <si>
    <t xml:space="preserve"> 120,0</t>
  </si>
  <si>
    <t xml:space="preserve"> 0,16</t>
  </si>
  <si>
    <t>Revestimentos com Mármores e Granitos</t>
  </si>
  <si>
    <t xml:space="preserve"> 0,18</t>
  </si>
  <si>
    <t xml:space="preserve"> 30,45</t>
  </si>
  <si>
    <t xml:space="preserve"> 0,21</t>
  </si>
  <si>
    <t xml:space="preserve"> 0,22</t>
  </si>
  <si>
    <t xml:space="preserve"> 100,0</t>
  </si>
  <si>
    <t>IMPE - IMPERMEABILIZAÇÕES E PROTEÇÕES DIVERSAS</t>
  </si>
  <si>
    <t xml:space="preserve"> 55,54</t>
  </si>
  <si>
    <t xml:space="preserve"> 131,03</t>
  </si>
  <si>
    <t xml:space="preserve"> 0,25</t>
  </si>
  <si>
    <t xml:space="preserve"> 224,1</t>
  </si>
  <si>
    <t xml:space="preserve"> 553,07</t>
  </si>
  <si>
    <t xml:space="preserve"> 0,28</t>
  </si>
  <si>
    <t xml:space="preserve"> 0,29</t>
  </si>
  <si>
    <t xml:space="preserve"> 267,75</t>
  </si>
  <si>
    <t xml:space="preserve"> 0,30</t>
  </si>
  <si>
    <t>Equipamento</t>
  </si>
  <si>
    <t xml:space="preserve"> 81,71</t>
  </si>
  <si>
    <t xml:space="preserve"> 0,33</t>
  </si>
  <si>
    <t xml:space="preserve"> 56,36</t>
  </si>
  <si>
    <t xml:space="preserve"> 266,33</t>
  </si>
  <si>
    <t xml:space="preserve"> 0,36</t>
  </si>
  <si>
    <t xml:space="preserve"> 1.796,8</t>
  </si>
  <si>
    <t xml:space="preserve"> 279,03</t>
  </si>
  <si>
    <t>DROP - DRENAGEM/OBRAS DE CONTENÇÃO / POÇOS DE VISITA E CAIXAS</t>
  </si>
  <si>
    <t xml:space="preserve"> 374,67</t>
  </si>
  <si>
    <t xml:space="preserve"> 180,4</t>
  </si>
  <si>
    <t xml:space="preserve"> 0,45</t>
  </si>
  <si>
    <t xml:space="preserve"> 0,49</t>
  </si>
  <si>
    <t xml:space="preserve"> 17,0</t>
  </si>
  <si>
    <t>URBA - URBANIZAÇÃO</t>
  </si>
  <si>
    <t xml:space="preserve"> 48,69</t>
  </si>
  <si>
    <t>PISO - PISOS</t>
  </si>
  <si>
    <t xml:space="preserve"> 0,53</t>
  </si>
  <si>
    <t xml:space="preserve"> 9,81</t>
  </si>
  <si>
    <t xml:space="preserve"> 91,01</t>
  </si>
  <si>
    <t xml:space="preserve"> 0,67</t>
  </si>
  <si>
    <t xml:space="preserve"> 36,0</t>
  </si>
  <si>
    <t xml:space="preserve"> 0,70</t>
  </si>
  <si>
    <t>CANT - CANTEIRO DE OBRAS</t>
  </si>
  <si>
    <t xml:space="preserve"> 0,74</t>
  </si>
  <si>
    <t>REVE - REVESTIMENTO E TRATAMENTO DE SUPERFÍCIES</t>
  </si>
  <si>
    <t xml:space="preserve"> 132,0</t>
  </si>
  <si>
    <t xml:space="preserve"> 202,75</t>
  </si>
  <si>
    <t>ASTU - ASSENTAMENTO DE TUBOS E PECAS</t>
  </si>
  <si>
    <t>Azulejos e Cerâmicas</t>
  </si>
  <si>
    <t>PARE - PAREDES/PAINEIS</t>
  </si>
  <si>
    <t xml:space="preserve"> 14,0</t>
  </si>
  <si>
    <t>COBE - COBERTURA</t>
  </si>
  <si>
    <t xml:space="preserve"> 147,0</t>
  </si>
  <si>
    <t>Drenos</t>
  </si>
  <si>
    <t xml:space="preserve"> 663,89</t>
  </si>
  <si>
    <t xml:space="preserve"> 11,51</t>
  </si>
  <si>
    <t xml:space="preserve"> 15,45</t>
  </si>
  <si>
    <t xml:space="preserve"> 969,22</t>
  </si>
  <si>
    <t xml:space="preserve"> 4,62</t>
  </si>
  <si>
    <t xml:space="preserve"> 139,16</t>
  </si>
  <si>
    <t xml:space="preserve"> 45,43</t>
  </si>
  <si>
    <t xml:space="preserve"> 21.537,22</t>
  </si>
  <si>
    <t xml:space="preserve"> 345,48</t>
  </si>
  <si>
    <t xml:space="preserve"> 62,34</t>
  </si>
  <si>
    <t xml:space="preserve"> 161,1</t>
  </si>
  <si>
    <t>INHI - INSTALAÇÕES HIDROS SANITÁRIAS</t>
  </si>
  <si>
    <t xml:space="preserve"> 1.510,25</t>
  </si>
  <si>
    <t xml:space="preserve"> 42,62</t>
  </si>
  <si>
    <t xml:space="preserve"> 79,92</t>
  </si>
  <si>
    <t xml:space="preserve"> 36,92</t>
  </si>
  <si>
    <t xml:space="preserve"> 568,65</t>
  </si>
  <si>
    <t xml:space="preserve"> 73,85</t>
  </si>
  <si>
    <t xml:space="preserve"> 54,22</t>
  </si>
  <si>
    <t>Esquadrias de Ferro</t>
  </si>
  <si>
    <t>Peso Acumulado (%)</t>
  </si>
  <si>
    <t>Valor  Unit</t>
  </si>
  <si>
    <t>Curva ABC de Serviços</t>
  </si>
  <si>
    <t xml:space="preserve"> = Considerado 48 degraus.</t>
  </si>
  <si>
    <t xml:space="preserve"> = Letreiros das entradas = 20m</t>
  </si>
  <si>
    <t xml:space="preserve"> = 4 Prateleiras de 0,6x1,5 
4 x 0,6 x 1,5 = 3,6m²</t>
  </si>
  <si>
    <t xml:space="preserve"> = Plantio de mudas conforme projeto</t>
  </si>
  <si>
    <t xml:space="preserve"> = Pintura dos guarda-corpos = 48,32+25,5 = 73,82</t>
  </si>
  <si>
    <t xml:space="preserve"> 73,82</t>
  </si>
  <si>
    <t xml:space="preserve"> = Pro-Saúde Entrada Lado Direito = 5,4m
Pro-Saúde Lateral = 102m
Ipasc Entrada = 12,3m
Ipasc Corredor = 26,4m
Escada Pro Saúde Ipasc = 46,4m
Escada Ipasc Terraço = 46,4m
Total = 238,9m</t>
  </si>
  <si>
    <t xml:space="preserve"> = Conforme Planta de Cobertura
</t>
  </si>
  <si>
    <t xml:space="preserve"> = Pintura dos gradis = 51,25m²</t>
  </si>
  <si>
    <t xml:space="preserve"> = Conforme Planta de  Cobertura</t>
  </si>
  <si>
    <t xml:space="preserve"> = Pintura da Estrutura metálica da cobertura = Considerada 50% da área = 77,68m²</t>
  </si>
  <si>
    <t xml:space="preserve"> 77,68</t>
  </si>
  <si>
    <t xml:space="preserve"> = Telha Sanduíche = 155,35m²
</t>
  </si>
  <si>
    <t xml:space="preserve"> = Área referente a alvenaria que tem contato com o solo </t>
  </si>
  <si>
    <t xml:space="preserve"> 1.508,99</t>
  </si>
  <si>
    <t xml:space="preserve"> 551,81</t>
  </si>
  <si>
    <t xml:space="preserve"> = Pintura das duas faces dos elementos vazados:
40,1 x 2 = 80,20m²</t>
  </si>
  <si>
    <t xml:space="preserve"> = Conforme planta de ar condicionado</t>
  </si>
  <si>
    <t xml:space="preserve"> = Conforme Planta de Drenagem</t>
  </si>
  <si>
    <t xml:space="preserve"> = 1 toalheiro por banheiro = 10 toalheiros</t>
  </si>
  <si>
    <t xml:space="preserve"> = 1 Saboneteira por banheiro = 10 saboneteiras</t>
  </si>
  <si>
    <t xml:space="preserve"> = Barra para os lavatórios = 6 lavatórios x 2 barras por lavatório = 12 unidades</t>
  </si>
  <si>
    <t xml:space="preserve"> = Barra para os vasos = 6 banheiros x 2 barras por banheiro = 12 unidades</t>
  </si>
  <si>
    <t xml:space="preserve"> = Ipasc = 2 unidades
Pro-Saúde = 2 Unidades
Total = 4 Unidades</t>
  </si>
  <si>
    <t xml:space="preserve"> = Concreto estrutura da caixa d'água
</t>
  </si>
  <si>
    <t xml:space="preserve"> = Armação cortina da estrutura da caixa d'água
</t>
  </si>
  <si>
    <t xml:space="preserve"> = Forma para as paredes da caixa d´água
</t>
  </si>
  <si>
    <t xml:space="preserve"> = Área da laje a ser reforçada = 55,54m²</t>
  </si>
  <si>
    <t xml:space="preserve"> = 120m x 0,617kg/m = 74,04kg</t>
  </si>
  <si>
    <t xml:space="preserve"> = Área da laje x espessura do reparo = 55,54 x 0,03 = 1,67m³</t>
  </si>
  <si>
    <t xml:space="preserve"> = Rampa Entrada Pro Saúde =  8,80m² 
Rampa Pro Saúde =  28,08m² 
Rampa Ipasc =  4,95m²
Floreira Ipasc = 3,6m²
Total = 45,43m²</t>
  </si>
  <si>
    <t xml:space="preserve"> = Lajes da Cobertura = 109m²
Nova Laje criada = 50m²
Laje Odontologia = 2,10m²
Total = 161.10m²</t>
  </si>
  <si>
    <t xml:space="preserve"> = Amarração das platibandas:
Fundo = 31,35m
Caixa d'água = 31,30
Frente = 28,36
Total = 91,01m</t>
  </si>
  <si>
    <t xml:space="preserve"> = Volume escavado - Volume de concreto + Volume do aterro lateral
2,52 - 0,72 = 1,8 m³ + 40 = 41,8m³</t>
  </si>
  <si>
    <t xml:space="preserve"> = Perímetro de 20m x 1m de largura x 2m de altura = 40m³</t>
  </si>
  <si>
    <t xml:space="preserve"> = Ipasc Frente: 32,45m²
Pro saúde frente: 32,45m²
Total = 64,90m²</t>
  </si>
  <si>
    <t xml:space="preserve"> = Área de demolição do reboco danificado
Copa: 10,4 x 3,5 = 36,4m²
Administração: 3,5 x 3,08 = 10,78m²
Faturamento: 3,7 x 3,5 = 12,95m²
Cadastro: 2,15 x 3,5 = 7,53m²
CPD: 2,04 x 3,5 = 7,14m²
Escada: 2,11 x 3,5 = 7,38m²
Total = 82,18m²</t>
  </si>
  <si>
    <t xml:space="preserve"> = Demolição de alvenaria conforme planta de demolição
Comprimento Linear das alvenarias x Altura das Alvenarias
Administração = 2,65 x 1 = 2,65m²
Cobogós = 40,10m²
Superintendência = 2 x 3,00 x 1,9 = 10,4m²
Muro = 30m²
Total = 83,15m² x 0,15m de espessura = 12,5m³</t>
  </si>
  <si>
    <t xml:space="preserve"> = Fachada Lateral = 180,4m²</t>
  </si>
  <si>
    <t xml:space="preserve"> = Tapume de proteção do terraço = 25,5m²
Tapume de isolamento do fosso = 3 x 1,5 x 1,1 = 4,95
Total = 30,45m²</t>
  </si>
  <si>
    <t xml:space="preserve"> = Quantidade de meses previstos de obra = 5 meses</t>
  </si>
  <si>
    <t>MEMÓRIA DE CÁLCULO - FUNDAÇÕES</t>
  </si>
  <si>
    <t>MEMÓRIA DE CÁLCULO - ESTRUTURA</t>
  </si>
  <si>
    <t>MIN</t>
  </si>
  <si>
    <t>MED</t>
  </si>
  <si>
    <t>MAX</t>
  </si>
  <si>
    <t>Grau de Sigilo</t>
  </si>
  <si>
    <t>Construção e Reforma de Edifícios</t>
  </si>
  <si>
    <t>AC</t>
  </si>
  <si>
    <t>#PUBLICO</t>
  </si>
  <si>
    <t>SG</t>
  </si>
  <si>
    <t>R</t>
  </si>
  <si>
    <t>Nº TC/CR</t>
  </si>
  <si>
    <t>PROPONENTE / TOMADOR</t>
  </si>
  <si>
    <t>DF</t>
  </si>
  <si>
    <t>L</t>
  </si>
  <si>
    <t>BDI PAD</t>
  </si>
  <si>
    <t>OBJETO</t>
  </si>
  <si>
    <t>Construção de Praças Urbanas, Rodovias, Ferrovias e recapeamento e pavimentação de vias urbanas</t>
  </si>
  <si>
    <t>TIPO DE OBRA DO EMPREENDIMENTO</t>
  </si>
  <si>
    <t>DESONERAÇÃO</t>
  </si>
  <si>
    <t>Conforme legislação tributária municipal, definir estimativa de percentual da base de cálculo para o ISS:</t>
  </si>
  <si>
    <t>Construção de Redes de Abastecimento de Água, Coleta de Esgoto</t>
  </si>
  <si>
    <t>Sobre a base de cálculo, definir a respectiva alíquota do ISS (entre 2% e 5%):</t>
  </si>
  <si>
    <t>Itens</t>
  </si>
  <si>
    <t>Siglas</t>
  </si>
  <si>
    <t>% Adotado</t>
  </si>
  <si>
    <t>Situação</t>
  </si>
  <si>
    <t>Intervalo de admissibilidade</t>
  </si>
  <si>
    <t>1º Quartil</t>
  </si>
  <si>
    <t>Médio</t>
  </si>
  <si>
    <t>3º Quartil</t>
  </si>
  <si>
    <t>-</t>
  </si>
  <si>
    <t>Construção e Manutenção de Estações e Redes de Distribuição de Energia Elétrica</t>
  </si>
  <si>
    <t>Tributos (impostos COFINS 3%, e  PIS 0,65%)</t>
  </si>
  <si>
    <t>CP</t>
  </si>
  <si>
    <t>Tributos (ISS, variável de acordo com o município)</t>
  </si>
  <si>
    <t>ISS</t>
  </si>
  <si>
    <t>Tributos (Contribuição Previdenciária - 0% ou 4,5%, conforme Lei 12.844/2013 - Desoneração)</t>
  </si>
  <si>
    <t>CPRB</t>
  </si>
  <si>
    <t>BDI SEM desoneração
(Fórmula Acórdão TCU)</t>
  </si>
  <si>
    <t>Obras Portuárias, Marítimas e Fluviais</t>
  </si>
  <si>
    <t>BDI COM desoneração</t>
  </si>
  <si>
    <t>BDI DES</t>
  </si>
  <si>
    <t>Os valores de BDI foram calculados com o emprego da fórmula:</t>
  </si>
  <si>
    <t xml:space="preserve"> - 1</t>
  </si>
  <si>
    <t>Observações:</t>
  </si>
  <si>
    <t>Fornecimento de Materiais e Equipamentos</t>
  </si>
  <si>
    <t>Local:</t>
  </si>
  <si>
    <t>Data:</t>
  </si>
  <si>
    <t>Responsável Técnico</t>
  </si>
  <si>
    <t>Responsável Tomador</t>
  </si>
  <si>
    <t>Nome:</t>
  </si>
  <si>
    <t>Estudos e Projetos, Planos e Gerenciamento e outros correlatos</t>
  </si>
  <si>
    <t>K1</t>
  </si>
  <si>
    <t>Título:</t>
  </si>
  <si>
    <t>Cargo:</t>
  </si>
  <si>
    <t>K2</t>
  </si>
  <si>
    <t>K3</t>
  </si>
  <si>
    <t>RETOMADA DA CONSTRUÇÃO E ADEQUAÇÃO DA NOVA SEDE DO IPASC E PRÓ-SAÚDE</t>
  </si>
  <si>
    <t>ESQUADRIA DE ALUMÍNIO - J15</t>
  </si>
  <si>
    <t xml:space="preserve"> 180102 </t>
  </si>
  <si>
    <t>ESQUADRIA DE ALUMÍNIO - J14</t>
  </si>
  <si>
    <t>ESQUADRIA DE ALUMÍNIO - J13</t>
  </si>
  <si>
    <t>ESQUADRIA DE ALUMÍNIO - J12</t>
  </si>
  <si>
    <t>ESQUADRIA DE ALUMÍNIO - J11</t>
  </si>
  <si>
    <t>ESQUADRIA DE ALUMÍNIO - J10</t>
  </si>
  <si>
    <t>ESQUADRIA DE ALUMÍNIO - J9</t>
  </si>
  <si>
    <t>ESQUADRIA DE ALUMÍNIO - J8</t>
  </si>
  <si>
    <t>ESQUADRIA DE ALUMÍNIO - J7</t>
  </si>
  <si>
    <t>ESQUADRIA DE ALUMÍNIO - J6</t>
  </si>
  <si>
    <t>ESQUADRIA DE ALUMÍNIO - J5</t>
  </si>
  <si>
    <t>ESQUADRIA DE ALUMÍNIO - J4</t>
  </si>
  <si>
    <t>ESQUADRIA DE ALUMÍNIO - J3</t>
  </si>
  <si>
    <t>ESQUADRIA DE ALUMÍNIO - J2</t>
  </si>
  <si>
    <t>ESQUADRIA DE ALUMÍNIO - J1</t>
  </si>
  <si>
    <t xml:space="preserve"> 10.13 </t>
  </si>
  <si>
    <t>PISO EM GRANILITE, MARMORITE OU GRANITINA ESPESSURA 8 MM, INCLUSO JUNTAS DE DILATACAO PLASTICAS</t>
  </si>
  <si>
    <t xml:space="preserve"> 84191 </t>
  </si>
  <si>
    <t>CONTRAPISO EM ARGAMASSA TRAÇO 1:4 (CIMENTO E AREIA), PREPARO MANUAL, APLICADO EM ÁREAS SECAS SOBRE LAJE, ADERIDO, ACABAMENTO NÃO REFORÇADO, ESPESSURA 3CM. AF_07/2021</t>
  </si>
  <si>
    <t xml:space="preserve"> 87632 </t>
  </si>
  <si>
    <t xml:space="preserve"> 4.5.11 </t>
  </si>
  <si>
    <t xml:space="preserve"> 4.5.10 </t>
  </si>
  <si>
    <t xml:space="preserve"> 4.5.9 </t>
  </si>
  <si>
    <t>PATCH PANEL PADRÃO 19" CAT. 6, COM 24 PORTAS</t>
  </si>
  <si>
    <t xml:space="preserve"> 071887 </t>
  </si>
  <si>
    <t xml:space="preserve"> 4.5.8 </t>
  </si>
  <si>
    <t>PATCH PANEL 48 PORTAS, CATEGORIA 6 - FORNECIMENTO E INSTALAÇÃO. AF_11/2019</t>
  </si>
  <si>
    <t xml:space="preserve"> 98304 </t>
  </si>
  <si>
    <t xml:space="preserve"> 4.5.7 </t>
  </si>
  <si>
    <t xml:space="preserve"> 4.5.6 </t>
  </si>
  <si>
    <t xml:space="preserve"> 4.5.5 </t>
  </si>
  <si>
    <t xml:space="preserve"> 4.5.4 </t>
  </si>
  <si>
    <t>CONECTOR RJ-45 CAT. 6</t>
  </si>
  <si>
    <t xml:space="preserve"> 071026 </t>
  </si>
  <si>
    <t xml:space="preserve"> 4.5.3 </t>
  </si>
  <si>
    <t>TOMADA LOGICA RJ-45 TIPO KEYSTONE JACK, CAT. 6</t>
  </si>
  <si>
    <t xml:space="preserve"> 072556 </t>
  </si>
  <si>
    <t xml:space="preserve"> 4.5.2 </t>
  </si>
  <si>
    <t>CABO UTP-4P, CAT. 6 , 24 AWG</t>
  </si>
  <si>
    <t xml:space="preserve"> 070626 </t>
  </si>
  <si>
    <t xml:space="preserve"> 4.5.1 </t>
  </si>
  <si>
    <t>CABEAMENTO ESTRUTURADO</t>
  </si>
  <si>
    <t xml:space="preserve"> 4.5 </t>
  </si>
  <si>
    <t xml:space="preserve"> = Conforme projeto de reparos da casa do Sr. Wanderley</t>
  </si>
  <si>
    <t xml:space="preserve"> = Piso em Granitina = 560,16m²
Piso Cerâmico = 56,36m²
Piso Cerâmico antiderrapante: 132,0m²
Total = 748,52m²</t>
  </si>
  <si>
    <t xml:space="preserve"> 748,52</t>
  </si>
  <si>
    <t xml:space="preserve"> = 12 horas por dia
30 dias por mês
5 meses de obra
12 x 30 x 5 = 1.800h</t>
  </si>
  <si>
    <t xml:space="preserve"> 1.800,0</t>
  </si>
  <si>
    <t xml:space="preserve"> = 40 horas por semana
4 semanas por mês
5 meses de obra
40 x 4 x 5 = 800h</t>
  </si>
  <si>
    <t xml:space="preserve"> 800,0</t>
  </si>
  <si>
    <t xml:space="preserve"> 99,78</t>
  </si>
  <si>
    <t xml:space="preserve"> 99,74</t>
  </si>
  <si>
    <t xml:space="preserve"> 99,69</t>
  </si>
  <si>
    <t xml:space="preserve"> 99,54</t>
  </si>
  <si>
    <t xml:space="preserve"> 99,47</t>
  </si>
  <si>
    <t xml:space="preserve"> 99,45</t>
  </si>
  <si>
    <t xml:space="preserve"> 99,36</t>
  </si>
  <si>
    <t xml:space="preserve"> 99,28</t>
  </si>
  <si>
    <t>INES - INSTALAÇÕES ESPECIAIS</t>
  </si>
  <si>
    <t>Quadros de Distribuição de Telefone</t>
  </si>
  <si>
    <t xml:space="preserve"> 0,19</t>
  </si>
  <si>
    <t xml:space="preserve"> 0,20</t>
  </si>
  <si>
    <t xml:space="preserve"> 0,26</t>
  </si>
  <si>
    <t xml:space="preserve"> 0,35</t>
  </si>
  <si>
    <t xml:space="preserve"> 0,47</t>
  </si>
  <si>
    <t xml:space="preserve"> 0,48</t>
  </si>
  <si>
    <t xml:space="preserve"> 0,50</t>
  </si>
  <si>
    <t xml:space="preserve"> 0,59</t>
  </si>
  <si>
    <t xml:space="preserve"> 0,66</t>
  </si>
  <si>
    <t xml:space="preserve"> 1,09</t>
  </si>
  <si>
    <t xml:space="preserve"> 34.096,00</t>
  </si>
  <si>
    <t xml:space="preserve"> 762 </t>
  </si>
  <si>
    <t>Fornecimento e instalação de eletrocalha perfurada 100 x   50 x 3000 mm (ref. mopa ou similar)</t>
  </si>
  <si>
    <t xml:space="preserve"> 072325 </t>
  </si>
  <si>
    <t>SAIDA HORIZONTAL PARA ELETRODUTO D=3/4"</t>
  </si>
  <si>
    <t xml:space="preserve"> 071872 </t>
  </si>
  <si>
    <t>PARAFUSO SEXTAVADO  CABEÇA LENTILHA D = 1/4" X 5/8"</t>
  </si>
  <si>
    <t xml:space="preserve"> 071981 </t>
  </si>
  <si>
    <t>PORCA SEXTAVADA DIAMETRO 1/4"</t>
  </si>
  <si>
    <t xml:space="preserve"> 070251 </t>
  </si>
  <si>
    <t>ARRUELA LISA D=1/4"</t>
  </si>
  <si>
    <t xml:space="preserve"> 7877 </t>
  </si>
  <si>
    <t>Curva horizontal 100 x 50 mm para eletrocalha metálica, com ângulo 90° (ref.: mopa ou similar)</t>
  </si>
  <si>
    <t xml:space="preserve"> 071115 </t>
  </si>
  <si>
    <t>CURVA DE INVERSAO PARA ELETROCALHA 100 X 50 MM</t>
  </si>
  <si>
    <t xml:space="preserve"> 063583 </t>
  </si>
  <si>
    <t>SUPORTE SUSPENSAO VERTICAL PARA ELETROCALHA 100 x 50 mm</t>
  </si>
  <si>
    <t xml:space="preserve"> 4.5.12 </t>
  </si>
  <si>
    <t xml:space="preserve"> 4.5.13 </t>
  </si>
  <si>
    <t xml:space="preserve"> 4.5.14 </t>
  </si>
  <si>
    <t xml:space="preserve"> 4.5.15 </t>
  </si>
  <si>
    <t xml:space="preserve"> 7867 </t>
  </si>
  <si>
    <t>Switch 24 portas 10/100 Mbps - fornecimento</t>
  </si>
  <si>
    <t xml:space="preserve"> 4.5.16 </t>
  </si>
  <si>
    <t xml:space="preserve"> 071885 </t>
  </si>
  <si>
    <t>PATCH CORD COMPRIMENTO DE 1,50 M - CAT.6</t>
  </si>
  <si>
    <t xml:space="preserve"> 4.5.17 </t>
  </si>
  <si>
    <t xml:space="preserve"> 071796 </t>
  </si>
  <si>
    <t>ORGANIZADOR DE CABOS (GUIA)</t>
  </si>
  <si>
    <t xml:space="preserve"> 1.957,3</t>
  </si>
  <si>
    <t xml:space="preserve"> 103,0</t>
  </si>
  <si>
    <t xml:space="preserve"> 332,62</t>
  </si>
  <si>
    <t>Pontos de Suprimento de Lógica</t>
  </si>
  <si>
    <t xml:space="preserve"> 658,06</t>
  </si>
  <si>
    <t xml:space="preserve"> 1.316,12</t>
  </si>
  <si>
    <t xml:space="preserve"> 206,0</t>
  </si>
  <si>
    <t xml:space="preserve"> 98,75</t>
  </si>
  <si>
    <t xml:space="preserve"> 98,86</t>
  </si>
  <si>
    <t xml:space="preserve"> 98,93</t>
  </si>
  <si>
    <t xml:space="preserve"> 98,96</t>
  </si>
  <si>
    <t xml:space="preserve"> 99,06</t>
  </si>
  <si>
    <t xml:space="preserve"> 99,09</t>
  </si>
  <si>
    <t xml:space="preserve"> 99,12</t>
  </si>
  <si>
    <t xml:space="preserve"> 99,17</t>
  </si>
  <si>
    <t xml:space="preserve"> 99,20</t>
  </si>
  <si>
    <t xml:space="preserve"> 99,23</t>
  </si>
  <si>
    <t xml:space="preserve"> 99,31</t>
  </si>
  <si>
    <t xml:space="preserve"> 99,58</t>
  </si>
  <si>
    <t xml:space="preserve"> 99,60</t>
  </si>
  <si>
    <t xml:space="preserve"> 44,0</t>
  </si>
  <si>
    <t xml:space="preserve"> 99,62</t>
  </si>
  <si>
    <t xml:space="preserve"> 99,77</t>
  </si>
  <si>
    <t>Pontos de Suprimento de Energia para Computador</t>
  </si>
  <si>
    <t xml:space="preserve"> 0,43</t>
  </si>
  <si>
    <t xml:space="preserve"> 5,15</t>
  </si>
  <si>
    <t xml:space="preserve"> = Conforme Projeto de Cabeamento Estruturado</t>
  </si>
  <si>
    <t xml:space="preserve"> 167,62</t>
  </si>
  <si>
    <t xml:space="preserve"> 47,89</t>
  </si>
  <si>
    <t xml:space="preserve"> 0,38</t>
  </si>
  <si>
    <t xml:space="preserve"> 51,91</t>
  </si>
  <si>
    <t xml:space="preserve"> 2.883,08</t>
  </si>
  <si>
    <t xml:space="preserve"> 15,38</t>
  </si>
  <si>
    <t xml:space="preserve"> 71,74</t>
  </si>
  <si>
    <t xml:space="preserve"> 1.793,50</t>
  </si>
  <si>
    <t xml:space="preserve"> 29,08</t>
  </si>
  <si>
    <t xml:space="preserve"> 1.599,40</t>
  </si>
  <si>
    <t xml:space="preserve"> 107,68</t>
  </si>
  <si>
    <t xml:space="preserve"> 89,91</t>
  </si>
  <si>
    <t xml:space="preserve"> 71.928,00</t>
  </si>
  <si>
    <t xml:space="preserve"> 1,74</t>
  </si>
  <si>
    <t xml:space="preserve"> 1,58</t>
  </si>
  <si>
    <t xml:space="preserve"> 1,51</t>
  </si>
  <si>
    <t xml:space="preserve"> 1,44</t>
  </si>
  <si>
    <t xml:space="preserve"> 1,24</t>
  </si>
  <si>
    <t xml:space="preserve"> 1,05</t>
  </si>
  <si>
    <t xml:space="preserve"> 15,12</t>
  </si>
  <si>
    <t xml:space="preserve"> 0,98</t>
  </si>
  <si>
    <t xml:space="preserve"> 0,89</t>
  </si>
  <si>
    <t xml:space="preserve"> 0,88</t>
  </si>
  <si>
    <t xml:space="preserve"> 0,86</t>
  </si>
  <si>
    <t xml:space="preserve"> 0,82</t>
  </si>
  <si>
    <t xml:space="preserve"> 78,39</t>
  </si>
  <si>
    <t xml:space="preserve"> 0,69</t>
  </si>
  <si>
    <t xml:space="preserve"> 1.088,72</t>
  </si>
  <si>
    <t xml:space="preserve"> 9.798,48</t>
  </si>
  <si>
    <t xml:space="preserve"> 0,64</t>
  </si>
  <si>
    <t xml:space="preserve"> 0,60</t>
  </si>
  <si>
    <t xml:space="preserve"> 0,56</t>
  </si>
  <si>
    <t xml:space="preserve"> 17,59</t>
  </si>
  <si>
    <t xml:space="preserve"> 7.915,50</t>
  </si>
  <si>
    <t xml:space="preserve"> 0,42</t>
  </si>
  <si>
    <t xml:space="preserve"> 82,78</t>
  </si>
  <si>
    <t xml:space="preserve"> 619,85</t>
  </si>
  <si>
    <t xml:space="preserve"> 5.070,37</t>
  </si>
  <si>
    <t xml:space="preserve"> 0,34</t>
  </si>
  <si>
    <t xml:space="preserve"> 84,92</t>
  </si>
  <si>
    <t xml:space="preserve"> 85,25</t>
  </si>
  <si>
    <t xml:space="preserve"> 0,31</t>
  </si>
  <si>
    <t xml:space="preserve"> 85,89</t>
  </si>
  <si>
    <t xml:space="preserve"> 86,19</t>
  </si>
  <si>
    <t xml:space="preserve"> 86,49</t>
  </si>
  <si>
    <t xml:space="preserve"> 86,79</t>
  </si>
  <si>
    <t xml:space="preserve"> 87,09</t>
  </si>
  <si>
    <t xml:space="preserve"> 87,37</t>
  </si>
  <si>
    <t xml:space="preserve"> 87,66</t>
  </si>
  <si>
    <t xml:space="preserve"> 87,94</t>
  </si>
  <si>
    <t xml:space="preserve"> 88,21</t>
  </si>
  <si>
    <t xml:space="preserve"> 88,47</t>
  </si>
  <si>
    <t xml:space="preserve"> 88,73</t>
  </si>
  <si>
    <t xml:space="preserve"> 88,98</t>
  </si>
  <si>
    <t xml:space="preserve"> 181,75</t>
  </si>
  <si>
    <t xml:space="preserve"> 3.635,00</t>
  </si>
  <si>
    <t xml:space="preserve"> 0,24</t>
  </si>
  <si>
    <t xml:space="preserve"> 9,69</t>
  </si>
  <si>
    <t xml:space="preserve"> 91,59</t>
  </si>
  <si>
    <t xml:space="preserve"> 946,77</t>
  </si>
  <si>
    <t xml:space="preserve"> 2.840,31</t>
  </si>
  <si>
    <t xml:space="preserve"> 0,17</t>
  </si>
  <si>
    <t xml:space="preserve"> 1.018,56</t>
  </si>
  <si>
    <t xml:space="preserve"> 2.037,12</t>
  </si>
  <si>
    <t xml:space="preserve"> 49,05</t>
  </si>
  <si>
    <t xml:space="preserve"> 1.962,00</t>
  </si>
  <si>
    <t xml:space="preserve"> 37,00</t>
  </si>
  <si>
    <t xml:space="preserve"> 1.276,50</t>
  </si>
  <si>
    <t xml:space="preserve"> 97,38</t>
  </si>
  <si>
    <t xml:space="preserve"> 97,45</t>
  </si>
  <si>
    <t xml:space="preserve"> 97,52</t>
  </si>
  <si>
    <t xml:space="preserve"> 97,65</t>
  </si>
  <si>
    <t xml:space="preserve"> 22,84</t>
  </si>
  <si>
    <t xml:space="preserve"> 954,71</t>
  </si>
  <si>
    <t xml:space="preserve"> 97,78</t>
  </si>
  <si>
    <t xml:space="preserve"> 97,84</t>
  </si>
  <si>
    <t xml:space="preserve"> 97,90</t>
  </si>
  <si>
    <t xml:space="preserve"> 98,09</t>
  </si>
  <si>
    <t xml:space="preserve"> 98,20</t>
  </si>
  <si>
    <t xml:space="preserve"> 98,31</t>
  </si>
  <si>
    <t xml:space="preserve"> 30,90</t>
  </si>
  <si>
    <t xml:space="preserve"> 803,40</t>
  </si>
  <si>
    <t xml:space="preserve"> 17,79</t>
  </si>
  <si>
    <t xml:space="preserve"> 98,61</t>
  </si>
  <si>
    <t xml:space="preserve"> 98,66</t>
  </si>
  <si>
    <t xml:space="preserve"> 147,96</t>
  </si>
  <si>
    <t xml:space="preserve"> 591,84</t>
  </si>
  <si>
    <t xml:space="preserve"> 483,48</t>
  </si>
  <si>
    <t xml:space="preserve"> 98,99</t>
  </si>
  <si>
    <t xml:space="preserve"> 14,50</t>
  </si>
  <si>
    <t xml:space="preserve"> 478,50</t>
  </si>
  <si>
    <t xml:space="preserve"> 593,25</t>
  </si>
  <si>
    <t xml:space="preserve"> 99,33</t>
  </si>
  <si>
    <t xml:space="preserve"> 99,40</t>
  </si>
  <si>
    <t xml:space="preserve"> 99,49</t>
  </si>
  <si>
    <t xml:space="preserve"> 99,51</t>
  </si>
  <si>
    <t xml:space="preserve"> 99,65</t>
  </si>
  <si>
    <t xml:space="preserve"> 124,55</t>
  </si>
  <si>
    <t xml:space="preserve"> 249,10</t>
  </si>
  <si>
    <t xml:space="preserve"> 99,67</t>
  </si>
  <si>
    <t xml:space="preserve"> 99,70</t>
  </si>
  <si>
    <t xml:space="preserve"> 99,73</t>
  </si>
  <si>
    <t xml:space="preserve"> 154,50</t>
  </si>
  <si>
    <t xml:space="preserve"> 69,65</t>
  </si>
  <si>
    <t xml:space="preserve"> 139,30</t>
  </si>
  <si>
    <t xml:space="preserve"> 98,02</t>
  </si>
  <si>
    <t xml:space="preserve"> 34,48</t>
  </si>
  <si>
    <t xml:space="preserve"> 58,32</t>
  </si>
  <si>
    <t xml:space="preserve"> 0,46</t>
  </si>
  <si>
    <t xml:space="preserve"> 47,38</t>
  </si>
  <si>
    <t xml:space="preserve"> 0,44</t>
  </si>
  <si>
    <t xml:space="preserve"> 13,55</t>
  </si>
  <si>
    <t xml:space="preserve"> 40,65</t>
  </si>
  <si>
    <t xml:space="preserve"> 9,59</t>
  </si>
  <si>
    <t xml:space="preserve"> 28,77</t>
  </si>
  <si>
    <t xml:space="preserve"> 2,16</t>
  </si>
  <si>
    <t xml:space="preserve"> 10,99</t>
  </si>
  <si>
    <t xml:space="preserve">_______________________________________________________________
</t>
  </si>
  <si>
    <t>Preço Total =&gt;</t>
  </si>
  <si>
    <t>Quant. =&gt;</t>
  </si>
  <si>
    <t>Valor com BDI =&gt;</t>
  </si>
  <si>
    <t>Valor do BDI =&gt;</t>
  </si>
  <si>
    <t>MO com LS =&gt;</t>
  </si>
  <si>
    <t>LS =&gt;</t>
  </si>
  <si>
    <t>MO sem LS =&gt;</t>
  </si>
  <si>
    <t>Insumo</t>
  </si>
  <si>
    <t>Mão de Obra</t>
  </si>
  <si>
    <t>Composição</t>
  </si>
  <si>
    <t>LETRA CX.CHAPA GALV.PINT.COLOCADA (ALT.LETRAXNUMERO LETRAS)</t>
  </si>
  <si>
    <t xml:space="preserve"> 2671 </t>
  </si>
  <si>
    <t>h</t>
  </si>
  <si>
    <t>PEDREIRO</t>
  </si>
  <si>
    <t xml:space="preserve"> 0004 </t>
  </si>
  <si>
    <t>PLACA DE INAUGURACAO ACO ESCOV.80X60CM</t>
  </si>
  <si>
    <t xml:space="preserve"> 2413 </t>
  </si>
  <si>
    <t>BUCHA FISCHER COM PARAFUSO - S6</t>
  </si>
  <si>
    <t xml:space="preserve"> 1174 </t>
  </si>
  <si>
    <t>SERVENTE</t>
  </si>
  <si>
    <t xml:space="preserve"> 0005 </t>
  </si>
  <si>
    <t>SABAO EM PO</t>
  </si>
  <si>
    <t xml:space="preserve"> 1971 </t>
  </si>
  <si>
    <t>AMÔNIA ( D = 0,771 KG/DM3)</t>
  </si>
  <si>
    <t xml:space="preserve"> 2840 </t>
  </si>
  <si>
    <t>l</t>
  </si>
  <si>
    <t>ACIDO MURIATICO (D=1,2 KG/L)</t>
  </si>
  <si>
    <t xml:space="preserve"> 0110 </t>
  </si>
  <si>
    <t>SERVENTE DE OBRAS</t>
  </si>
  <si>
    <t xml:space="preserve"> 00006111 </t>
  </si>
  <si>
    <t xml:space="preserve"> 00004750 </t>
  </si>
  <si>
    <t>Prateleira em granito cinza andorinha esp= 2cm</t>
  </si>
  <si>
    <t xml:space="preserve"> 10090 </t>
  </si>
  <si>
    <t>Provisórios</t>
  </si>
  <si>
    <t>Encargos Complementares - Pedreiro</t>
  </si>
  <si>
    <t xml:space="preserve"> 10550 </t>
  </si>
  <si>
    <t>Composição Auxiliar</t>
  </si>
  <si>
    <t>Encargos Complementares - Servente</t>
  </si>
  <si>
    <t xml:space="preserve"> 10549 </t>
  </si>
  <si>
    <t>Argamassas</t>
  </si>
  <si>
    <t>Argamassa cimento e areia traço t-1 (1:3) - 1 saco cimento 50kg / 3 padiolas areia dim. 0.35 x 0.45 x 0.23 m - Confecção mecânica e transporte</t>
  </si>
  <si>
    <t xml:space="preserve"> 1903 </t>
  </si>
  <si>
    <t>GRANITO POLIDO P/BANCADA 2 CM</t>
  </si>
  <si>
    <t xml:space="preserve"> 1421 </t>
  </si>
  <si>
    <t>CIMENTO PORTLAND C.P. 32</t>
  </si>
  <si>
    <t xml:space="preserve"> 1215 </t>
  </si>
  <si>
    <t xml:space="preserve">AREIA MEDIA </t>
  </si>
  <si>
    <t xml:space="preserve"> 0104 </t>
  </si>
  <si>
    <t>MUDA DE PALMEIRA, ARECA, H= *1,50* CM</t>
  </si>
  <si>
    <t xml:space="preserve"> 00038641 </t>
  </si>
  <si>
    <t>SEDI - SERVIÇOS DIVERSOS</t>
  </si>
  <si>
    <t>JARDINEIRO COM ENCARGOS COMPLEMENTARES</t>
  </si>
  <si>
    <t xml:space="preserve"> 88441 </t>
  </si>
  <si>
    <t>SERVENTE COM ENCARGOS COMPLEMENTARES</t>
  </si>
  <si>
    <t xml:space="preserve"> 88316 </t>
  </si>
  <si>
    <t>CHI</t>
  </si>
  <si>
    <t>CHOR - CUSTOS HORÁRIOS DE MÁQUINAS E EQUIPAMENTOS</t>
  </si>
  <si>
    <t>GUINDAUTO HIDRÁULICO, CAPACIDADE MÁXIMA DE CARGA 6500 KG, MOMENTO MÁXIMO DE CARGA 5,8 TM, ALCANCE MÁXIMO HORIZONTAL 7,60 M, INCLUSIVE CAMINHÃO TOCO PBT 9.700 KG, POTÊNCIA DE 160 CV - CHI DIURNO. AF_08/2015</t>
  </si>
  <si>
    <t xml:space="preserve"> 91635 </t>
  </si>
  <si>
    <t>CHP</t>
  </si>
  <si>
    <t>GUINDAUTO HIDRÁULICO, CAPACIDADE MÁXIMA DE CARGA 6500 KG, MOMENTO MÁXIMO DE CARGA 5,8 TM, ALCANCE MÁXIMO HORIZONTAL 7,60 M, INCLUSIVE CAMINHÃO TOCO PBT 9.700 KG, POTÊNCIA DE 160 CV - CHP DIURNO. AF_08/2015</t>
  </si>
  <si>
    <t xml:space="preserve"> 91634 </t>
  </si>
  <si>
    <t>TINTA ESMALTE SINTETICO PREMIUM ACETINADO</t>
  </si>
  <si>
    <t xml:space="preserve"> 00007311 </t>
  </si>
  <si>
    <t>DILUENTE AGUARRAS</t>
  </si>
  <si>
    <t xml:space="preserve"> 00005318 </t>
  </si>
  <si>
    <t>PINTOR COM ENCARGOS COMPLEMENTARES</t>
  </si>
  <si>
    <t xml:space="preserve"> 88310 </t>
  </si>
  <si>
    <t>TUBO ACO GALVANIZADO COM COSTURA, CLASSE LEVE, DN 40 MM ( 1 1/2"),  E = 3,00 MM,  *3,48* KG/M (NBR 5580)</t>
  </si>
  <si>
    <t xml:space="preserve"> 00021012 </t>
  </si>
  <si>
    <t>TUBO ACO GALVANIZADO COM COSTURA, CLASSE LEVE, DN 32 MM ( 1 1/4"),  E = 2,65 MM,  *2,71* KG/M (NBR 5580)</t>
  </si>
  <si>
    <t xml:space="preserve"> 00021011 </t>
  </si>
  <si>
    <t>TUBO ACO GALVANIZADO COM COSTURA, CLASSE LEVE, DN 25 MM ( 1"),  E = 2,65 MM,  *2,11* KG/M (NBR 5580)</t>
  </si>
  <si>
    <t xml:space="preserve"> 00021010 </t>
  </si>
  <si>
    <t>TUBO ACO GALVANIZADO COM COSTURA, CLASSE LEVE, DN 20 MM ( 3/4"),  E = 2,25 MM,  *1,3* KG/M (NBR 5580)</t>
  </si>
  <si>
    <t xml:space="preserve"> 00021009 </t>
  </si>
  <si>
    <t>PARAFUSO DE ACO TIPO CHUMBADOR PARABOLT, DIAMETRO 3/8", COMPRIMENTO 75 MM</t>
  </si>
  <si>
    <t xml:space="preserve"> 00011964 </t>
  </si>
  <si>
    <t>ELETRODO REVESTIDO AWS - E6013, DIAMETRO IGUAL A 2,50 MM</t>
  </si>
  <si>
    <t xml:space="preserve"> 00011002 </t>
  </si>
  <si>
    <t>CHAPA DE ACO GROSSA, ASTM A36, E = 3/8 " (9,53 MM) 74,69 KG/M2</t>
  </si>
  <si>
    <t xml:space="preserve"> 00001332 </t>
  </si>
  <si>
    <t>SERRALHEIRO COM ENCARGOS COMPLEMENTARES</t>
  </si>
  <si>
    <t xml:space="preserve"> 88315 </t>
  </si>
  <si>
    <t>AUXILIAR DE SERRALHEIRO COM ENCARGOS COMPLEMENTARES</t>
  </si>
  <si>
    <t xml:space="preserve"> 88251 </t>
  </si>
  <si>
    <t>ELETRODO REVESTIDO AWS - E7018, DIAMETRO IGUAL A 4,00 MM</t>
  </si>
  <si>
    <t xml:space="preserve"> 00010997 </t>
  </si>
  <si>
    <t>SOLDADOR</t>
  </si>
  <si>
    <t xml:space="preserve"> 00006160 </t>
  </si>
  <si>
    <t>SERRALHEIRO</t>
  </si>
  <si>
    <t xml:space="preserve"> 00006110 </t>
  </si>
  <si>
    <t>Encargos Complementares - Soldador</t>
  </si>
  <si>
    <t xml:space="preserve"> 10603 </t>
  </si>
  <si>
    <t>Encargos Complementares - Serralheiro ou Operador de Equipamento Leve</t>
  </si>
  <si>
    <t xml:space="preserve"> 10594 </t>
  </si>
  <si>
    <t>OFICIAL "B"</t>
  </si>
  <si>
    <t xml:space="preserve"> 0025 </t>
  </si>
  <si>
    <t>AJUDANTE</t>
  </si>
  <si>
    <t xml:space="preserve"> 0008 </t>
  </si>
  <si>
    <t>TUBO INDUSTRIAL 40X40 CH.13</t>
  </si>
  <si>
    <t xml:space="preserve"> 2377 </t>
  </si>
  <si>
    <t xml:space="preserve">TUBO INDUSTRIAL 2" CHAPA 13 </t>
  </si>
  <si>
    <t xml:space="preserve"> 2376 </t>
  </si>
  <si>
    <t xml:space="preserve">TUBO INDUSTRIAL D=25 MM CHAPA 13 </t>
  </si>
  <si>
    <t xml:space="preserve"> 2504 </t>
  </si>
  <si>
    <t xml:space="preserve">TUBO INDUSTRIAL 1.1/2" CHAPA 13 </t>
  </si>
  <si>
    <t xml:space="preserve"> 2421 </t>
  </si>
  <si>
    <t>MASSA PLASTICA</t>
  </si>
  <si>
    <t xml:space="preserve"> 2417 </t>
  </si>
  <si>
    <t>LIXA PARA FERRO ( NÚMERO 100 )</t>
  </si>
  <si>
    <t xml:space="preserve"> 1672 </t>
  </si>
  <si>
    <t>CHAPA PERFILADA 3/16"</t>
  </si>
  <si>
    <t xml:space="preserve"> 2719 </t>
  </si>
  <si>
    <t>ELETRODO 2.5 OK</t>
  </si>
  <si>
    <t xml:space="preserve"> 2246 </t>
  </si>
  <si>
    <t>CHAPA DE FERRO DOBRADA No.13</t>
  </si>
  <si>
    <t xml:space="preserve"> 2150 </t>
  </si>
  <si>
    <t>DISCO DE DESBASTE 7/8" P/ CONC./FERRO (1/4" X 7")</t>
  </si>
  <si>
    <t xml:space="preserve"> 1264 </t>
  </si>
  <si>
    <t>FABRICAÇÃO / MONTAGEM</t>
  </si>
  <si>
    <t xml:space="preserve"> 2902 </t>
  </si>
  <si>
    <t>DISCO DE CORTE DIAM. 5/8"- 10"</t>
  </si>
  <si>
    <t xml:space="preserve"> 1334 </t>
  </si>
  <si>
    <t>ACO CA-25 - 6,3 MM (1/4") - BARRA LISA A-36</t>
  </si>
  <si>
    <t xml:space="preserve"> 2436 </t>
  </si>
  <si>
    <t>REGISTRO DE PRESSAO C/CANOPLA DIAM. 3/4"</t>
  </si>
  <si>
    <t xml:space="preserve"> H209 </t>
  </si>
  <si>
    <t>ENCANADOR</t>
  </si>
  <si>
    <t xml:space="preserve"> 0011 </t>
  </si>
  <si>
    <t>FITA VEDAROSCA 18 MM</t>
  </si>
  <si>
    <t xml:space="preserve"> H689 </t>
  </si>
  <si>
    <t>TUBO SOLDAVEL PVC MARROM DIAM. 25 MM</t>
  </si>
  <si>
    <t xml:space="preserve"> H248 </t>
  </si>
  <si>
    <t xml:space="preserve">TORNEIRA DE PAREDE PARA PIA OU BEBEDOURO DIÂMETRO 1/2" E 3/4" </t>
  </si>
  <si>
    <t xml:space="preserve"> H238 </t>
  </si>
  <si>
    <t>FITA 3M DUPLA FACE VHB 12mmx20m PARA POLICARBONATO</t>
  </si>
  <si>
    <t xml:space="preserve"> 070105 </t>
  </si>
  <si>
    <t>CHAPA POLICARBONATO ALVEOLAR 10mm CHAPA 2,10x6,0m</t>
  </si>
  <si>
    <t xml:space="preserve"> 070113 </t>
  </si>
  <si>
    <t>VIDRACEIRO COM ENCARGOS COMPLEMENTARES</t>
  </si>
  <si>
    <t xml:space="preserve"> 88325 </t>
  </si>
  <si>
    <t>AJUDANTE ESPECIALIZADO COM ENCARGOS COMPLEMENTARES</t>
  </si>
  <si>
    <t xml:space="preserve"> 88243 </t>
  </si>
  <si>
    <t xml:space="preserve"> 036425 </t>
  </si>
  <si>
    <t>PINTOR</t>
  </si>
  <si>
    <t xml:space="preserve"> 0018 </t>
  </si>
  <si>
    <t>TINTA LATEX ACRILICA - SEMI BRILHO</t>
  </si>
  <si>
    <t xml:space="preserve"> 2051 </t>
  </si>
  <si>
    <t>SELADOR ACRILICO</t>
  </si>
  <si>
    <t xml:space="preserve"> 2294 </t>
  </si>
  <si>
    <t>LIXA PARA PAREDE ( NÚMERO 100 )</t>
  </si>
  <si>
    <t xml:space="preserve"> 1674 </t>
  </si>
  <si>
    <t>MASSA CORRIDA ACRILICA</t>
  </si>
  <si>
    <t xml:space="preserve"> 1707 </t>
  </si>
  <si>
    <t>CAL HIDRATADA</t>
  </si>
  <si>
    <t xml:space="preserve"> 1221 </t>
  </si>
  <si>
    <t>AREIA FINA</t>
  </si>
  <si>
    <t xml:space="preserve"> 2502 </t>
  </si>
  <si>
    <t>TIJOLO COMUM MACIÇO (4,5x9x19cm)</t>
  </si>
  <si>
    <t xml:space="preserve"> 2033 </t>
  </si>
  <si>
    <t>TABICA PARA FORRO DE GESSO COLOCADA</t>
  </si>
  <si>
    <t xml:space="preserve"> 1438 </t>
  </si>
  <si>
    <t>MONTADOR DE ESTRUT. METALICA</t>
  </si>
  <si>
    <t xml:space="preserve"> 0015 </t>
  </si>
  <si>
    <t>PARAFUSO DRYWALL 25MM, CABEÇA TROMBETA E PONTA AGULHA (TA)</t>
  </si>
  <si>
    <t xml:space="preserve"> 2969 </t>
  </si>
  <si>
    <t>MASSA DE REJUNTE EM PÓ PARA DRYWALL (C/ ADIÇÃO DE ÁGUA)</t>
  </si>
  <si>
    <t xml:space="preserve"> 2968 </t>
  </si>
  <si>
    <t>PENDURAL REGULADOR, EM AÇO GALVANIZADO, PARA PERFIL CANALETA MODELO F530</t>
  </si>
  <si>
    <t xml:space="preserve"> 2966 </t>
  </si>
  <si>
    <t>PARAFUSO DRYWALL 4,2 X 13MM, ZINCADO, CABEÇA LENTILHA E PONTA BROCA (LB)</t>
  </si>
  <si>
    <t xml:space="preserve"> 2970 </t>
  </si>
  <si>
    <t>PERFIL CANALETA, FORMATO C (MODELO F530), EM AÇO ZINCADO, E=0,5MM, 46 X 18 (L X H)</t>
  </si>
  <si>
    <t xml:space="preserve"> 2965 </t>
  </si>
  <si>
    <t xml:space="preserve">PARAFUSO AUTO BROCANTE 4,2 X 19MM </t>
  </si>
  <si>
    <t xml:space="preserve"> 2770 </t>
  </si>
  <si>
    <t>FITA DE PAPEL REFORÇADA COM LAMINA DE METAL PARA CANTOS DE DRYWALL</t>
  </si>
  <si>
    <t xml:space="preserve"> 2967 </t>
  </si>
  <si>
    <t>CHAPA DE GESSO ACARTONADO, E=12,5MM, 1200X2400 MM</t>
  </si>
  <si>
    <t xml:space="preserve"> 2875 </t>
  </si>
  <si>
    <t>ARAME GALVANIZADO No. 10</t>
  </si>
  <si>
    <t xml:space="preserve"> 2702 </t>
  </si>
  <si>
    <t>CANTONEIRA ACO ABAS IGUAIS (QUALQUER BITOLA), ESPESSURA ENTRE 1/8" E 1/4"</t>
  </si>
  <si>
    <t xml:space="preserve"> 00004777 </t>
  </si>
  <si>
    <t>BARRA DE FERRO CHATO, RETANGULAR, 25,4 MM X 4,76 MM (L X E), 1,73 KG/M</t>
  </si>
  <si>
    <t xml:space="preserve"> 00000565 </t>
  </si>
  <si>
    <t>ARGAMASSA TRAÇO 1:3 (EM VOLUME DE CIMENTO E AREIA MÉDIA ÚMIDA), PREPARO MANUAL. AF_08/2019</t>
  </si>
  <si>
    <t xml:space="preserve"> 88629 </t>
  </si>
  <si>
    <t>VIDRO TEMPERADO 10 MM S/METAIS - CORTADO E COLOCADO</t>
  </si>
  <si>
    <t xml:space="preserve"> 2143 </t>
  </si>
  <si>
    <t>JANELA FIXA, EM ALUMINIO PERFIL 20, 60  X 80 CM (A X L), BATENTE/REQUADRO DE 3 A 14 CM, COM VIDRO 4 MM, SEM GUARNICAO/ALIZAR, ACABAMENTO ALUM BRANCO OU BRILHANTE</t>
  </si>
  <si>
    <t xml:space="preserve"> 00000599 </t>
  </si>
  <si>
    <t>PEDREIRO COM ENCARGOS COMPLEMENTARES</t>
  </si>
  <si>
    <t xml:space="preserve"> 88309 </t>
  </si>
  <si>
    <t>ARGAMASSA TRAÇO 1:0,5:4,5 (EM VOLUME DE CIMENTO, CAL E AREIA MÉDIA ÚMIDA) PARA ASSENTAMENTO DE ALVENARIA, PREPARO MANUAL. AF_08/2019</t>
  </si>
  <si>
    <t xml:space="preserve"> 88627 </t>
  </si>
  <si>
    <t>PEITORIL EM MARMORE, POLIDO, BRANCO COMUM, L= *15* CM, E=  *2,0* CM, COM PINGADEIRA</t>
  </si>
  <si>
    <t xml:space="preserve"> 00034747 </t>
  </si>
  <si>
    <t>MARMORISTA/GRANITEIRO COM ENCARGOS COMPLEMENTARES</t>
  </si>
  <si>
    <t xml:space="preserve"> 88274 </t>
  </si>
  <si>
    <t>ARGAMASSA TRAÇO 1:6 (EM VOLUME DE CIMENTO E AREIA MÉDIA ÚMIDA) COM ADIÇÃO DE PLASTIFICANTE PARA EMBOÇO/MASSA ÚNICA/ASSENTAMENTO DE ALVENARIA DE VEDAÇÃO, PREPARO MECÂNICO COM BETONEIRA 400 L. AF_08/2019</t>
  </si>
  <si>
    <t xml:space="preserve"> 87283 </t>
  </si>
  <si>
    <t>SERRA CIRCULAR DE BANCADA COM MOTOR ELÉTRICO POTÊNCIA DE 5HP, COM COIFA PARA DISCO 10" - CHI DIURNO. AF_08/2015</t>
  </si>
  <si>
    <t xml:space="preserve"> 91693 </t>
  </si>
  <si>
    <t>SERRA CIRCULAR DE BANCADA COM MOTOR ELÉTRICO POTÊNCIA DE 5HP, COM COIFA PARA DISCO 10" - CHP DIURNO. AF_08/2015</t>
  </si>
  <si>
    <t xml:space="preserve"> 91692 </t>
  </si>
  <si>
    <t>CARPINTEIRO</t>
  </si>
  <si>
    <t xml:space="preserve"> 0010 </t>
  </si>
  <si>
    <t>OPERADOR DE BETONEIRA</t>
  </si>
  <si>
    <t xml:space="preserve"> 0032 </t>
  </si>
  <si>
    <t>ARMADOR</t>
  </si>
  <si>
    <t xml:space="preserve"> 0006 </t>
  </si>
  <si>
    <t>PREGO 18x24</t>
  </si>
  <si>
    <t xml:space="preserve"> 1861 </t>
  </si>
  <si>
    <t>TABUA PARA FORMA(30CM)</t>
  </si>
  <si>
    <t xml:space="preserve"> 2023 </t>
  </si>
  <si>
    <t>AREIA GROSSA</t>
  </si>
  <si>
    <t xml:space="preserve"> 2804 </t>
  </si>
  <si>
    <t>BRITA No. 01</t>
  </si>
  <si>
    <t xml:space="preserve"> 2386 </t>
  </si>
  <si>
    <t>ARAME RECOZIDO 18</t>
  </si>
  <si>
    <t xml:space="preserve"> 0102 </t>
  </si>
  <si>
    <t>BRITA No.02</t>
  </si>
  <si>
    <t xml:space="preserve"> 2497 </t>
  </si>
  <si>
    <t>ACO CA-50 - 6,3 MM (1/4")</t>
  </si>
  <si>
    <t xml:space="preserve"> 2437 </t>
  </si>
  <si>
    <t>ARAME GALVANIZADO No. 12 BWG</t>
  </si>
  <si>
    <t xml:space="preserve"> 2426 </t>
  </si>
  <si>
    <t>ACO CA-60 B - 5,0 MM</t>
  </si>
  <si>
    <t xml:space="preserve"> 2448 </t>
  </si>
  <si>
    <t>VIDRO TEMPERADO INCOLOR E = 6 MM, SEM COLOCACAO</t>
  </si>
  <si>
    <t xml:space="preserve"> 00010505 </t>
  </si>
  <si>
    <t>MASSA PARA VIDRO</t>
  </si>
  <si>
    <t xml:space="preserve"> 00010498 </t>
  </si>
  <si>
    <t>ESQUADRIA ALUMINIO NATURAL 03 FOLHAS (01 VIDRO E 02 VENEZIANA)</t>
  </si>
  <si>
    <t xml:space="preserve"> 1321 </t>
  </si>
  <si>
    <t>TRILHO PANTOGRAFICO CONCAVO, TIPO U, EM ALUMINIO, COM DIMENSOES DE APROX *35 X 35* MM, PARA ROLDANA DE PORTA DE CORRER</t>
  </si>
  <si>
    <t xml:space="preserve"> 00011581 </t>
  </si>
  <si>
    <t>CARPINTEIRO DE ESQUADRIA COM ENCARGOS COMPLEMENTARES</t>
  </si>
  <si>
    <t xml:space="preserve"> 88261 </t>
  </si>
  <si>
    <t>AJUDANTE DE CARPINTEIRO COM ENCARGOS COMPLEMENTARES</t>
  </si>
  <si>
    <t xml:space="preserve"> 88239 </t>
  </si>
  <si>
    <t>FECHADURA TIPO ALAVANCA 6236 B LA FONTE/8766 B-19 IMAB</t>
  </si>
  <si>
    <t xml:space="preserve"> 1381 </t>
  </si>
  <si>
    <t>DOBRADIÇA CROMADA 3 1/2 x 3"</t>
  </si>
  <si>
    <t xml:space="preserve"> 1266 </t>
  </si>
  <si>
    <t>PORTA DE ABRIR ALUMÍNIO ANODIZADO EM VENEZIANA</t>
  </si>
  <si>
    <t xml:space="preserve"> 2406 </t>
  </si>
  <si>
    <t>PORTA DE  ABRIR EM ALUMÍNIO NATURAL / VIDRO</t>
  </si>
  <si>
    <t xml:space="preserve"> 1322 </t>
  </si>
  <si>
    <t>PORTA LISA 80/DURADOR/COSTELO/FUCK</t>
  </si>
  <si>
    <t xml:space="preserve"> 1876 </t>
  </si>
  <si>
    <t>FORMICA LISA (3,08 X 1,25 )</t>
  </si>
  <si>
    <t xml:space="preserve"> 1391 </t>
  </si>
  <si>
    <t>COLA FORMICA ( 1L = 0,83KG)</t>
  </si>
  <si>
    <t xml:space="preserve"> 1243 </t>
  </si>
  <si>
    <t>PORTA LISA 90x210/DURADOR/COSTELO/FUCK</t>
  </si>
  <si>
    <t xml:space="preserve"> 1885 </t>
  </si>
  <si>
    <t>PORTA LISA 100 X 210 CM DURADOR / COSTELO/FUCK</t>
  </si>
  <si>
    <t xml:space="preserve"> 2456 </t>
  </si>
  <si>
    <t>TINTA EPOXI BASE AGUA PREMIUM, BRANCA</t>
  </si>
  <si>
    <t xml:space="preserve"> 00007304 </t>
  </si>
  <si>
    <t>PRIMER EPOXI / EPOXIDICO</t>
  </si>
  <si>
    <t xml:space="preserve"> 00044072 </t>
  </si>
  <si>
    <t>FITA CREPE ROLO DE 25 MM X 50 M</t>
  </si>
  <si>
    <t xml:space="preserve"> 00012815 </t>
  </si>
  <si>
    <t>DILUENTE EPOXI</t>
  </si>
  <si>
    <t xml:space="preserve"> 00005330 </t>
  </si>
  <si>
    <t>JARDINEIRO</t>
  </si>
  <si>
    <t xml:space="preserve"> 0019 </t>
  </si>
  <si>
    <t>GRAMA BATATAIS EM PLAQUETAS</t>
  </si>
  <si>
    <t xml:space="preserve"> 1433 </t>
  </si>
  <si>
    <t>TERRA VEGETAL</t>
  </si>
  <si>
    <t xml:space="preserve"> 2057 </t>
  </si>
  <si>
    <t>ADUBO MINERAL NPK (4/14/8)</t>
  </si>
  <si>
    <t xml:space="preserve"> 1440 </t>
  </si>
  <si>
    <t>AZULEJISTA</t>
  </si>
  <si>
    <t xml:space="preserve"> 0028 </t>
  </si>
  <si>
    <t>TINTA EPOXI C/CATALIZADOR</t>
  </si>
  <si>
    <t xml:space="preserve"> 1273 </t>
  </si>
  <si>
    <t>ARGAMASSA DE REJUNTAMENTO</t>
  </si>
  <si>
    <t xml:space="preserve"> 2690 </t>
  </si>
  <si>
    <t xml:space="preserve">PISO DE BORRACHA COLORIDO MODELO TÁTIL ( ALERTA OU DIRECIONAL) </t>
  </si>
  <si>
    <t xml:space="preserve"> 2796 </t>
  </si>
  <si>
    <t>GASOLINA</t>
  </si>
  <si>
    <t xml:space="preserve"> 2782 </t>
  </si>
  <si>
    <t>PAVIMENTO INTERTRAVADO ESPESSURA DE 6CM,FCK=35MPA (PAVER)</t>
  </si>
  <si>
    <t xml:space="preserve"> 2784 </t>
  </si>
  <si>
    <t>COMPACTADOR DE PLACA VIBRATÓRIA A GASOLINA POTÊNCIA 3HP (MANUTENÇÃO EDEPRECIAÇÃO DO EQUIPAMENTO) - PREÇO DO EQUIPAMENTO NOVO DIVIDIDO POR 1.000</t>
  </si>
  <si>
    <t xml:space="preserve"> 2779 </t>
  </si>
  <si>
    <t>SARRAFO NAO APARELHADO *2,5 X 10* CM, EM MACARANDUBA, ANGELIM OU EQUIVALENTE DA REGIAO -  BRUTA</t>
  </si>
  <si>
    <t xml:space="preserve"> 00004460 </t>
  </si>
  <si>
    <t>SARRAFO *2,5 X 7,5* CM EM PINUS, MISTA OU EQUIVALENTE DA REGIAO - BRUTA</t>
  </si>
  <si>
    <t xml:space="preserve"> 00004517 </t>
  </si>
  <si>
    <t>LONA PLASTICA PESADA PRETA, E = 150 MICRA</t>
  </si>
  <si>
    <t xml:space="preserve"> 00003777 </t>
  </si>
  <si>
    <t>CONCRETO USINADO BOMBEAVEL, CLASSE DE RESISTENCIA C20, COM BRITA 0 E 1, SLUMP = 100 +/- 20 MM, EXCLUI SERVICO DE BOMBEAMENTO (NBR 8953)</t>
  </si>
  <si>
    <t xml:space="preserve"> 00034492 </t>
  </si>
  <si>
    <t>CARPINTEIRO DE FORMAS COM ENCARGOS COMPLEMENTARES</t>
  </si>
  <si>
    <t xml:space="preserve"> 88262 </t>
  </si>
  <si>
    <t>RIPAO DE MADEIRA 15 CM</t>
  </si>
  <si>
    <t xml:space="preserve"> 1967 </t>
  </si>
  <si>
    <t>BRITA No. 0</t>
  </si>
  <si>
    <t xml:space="preserve"> 2387 </t>
  </si>
  <si>
    <t>CERÂMICA ANTIDERRAPANTE 45X45 (DIMENSÃO APROXIMADA) PISO PEI MAIOR OU IGUALA 4</t>
  </si>
  <si>
    <t xml:space="preserve"> 1232 </t>
  </si>
  <si>
    <t>ARGAMASSA DE CIMENTO COLANTE</t>
  </si>
  <si>
    <t xml:space="preserve"> 2390 </t>
  </si>
  <si>
    <t>CERAMICA 45x45 (DIMENSÃO APROXIMADA)-PISO PEI MAIOR OU IGUAL A 4</t>
  </si>
  <si>
    <t xml:space="preserve"> 1231 </t>
  </si>
  <si>
    <t>RODAPE FUNDIDO DE GRANITINA 7 CM</t>
  </si>
  <si>
    <t xml:space="preserve"> 2224 </t>
  </si>
  <si>
    <t>PISO EM GRANILITE, MARMORITE OU GRANITINA, AGREGADO COR PRETO, CINZA, PALHA OU BRANCO, E=  *8* MM (INCLUSO EXECUCAO)</t>
  </si>
  <si>
    <t xml:space="preserve"> 00004786 </t>
  </si>
  <si>
    <t>JUNTA PLASTICA DE DILATACAO PARA PISOS, COR CINZA, 17 X 3 MM (ALTURA X ESPESSURA)</t>
  </si>
  <si>
    <t xml:space="preserve"> 00003671 </t>
  </si>
  <si>
    <t>ARGAMASSA TRAÇO 1:4 (EM VOLUME DE CIMENTO E AREIA MÉDIA ÚMIDA) PARA CONTRAPISO, PREPARO MANUAL. AF_08/2019</t>
  </si>
  <si>
    <t xml:space="preserve"> 87373 </t>
  </si>
  <si>
    <t>CIMENTO PORTLAND COMPOSTO CP II-32</t>
  </si>
  <si>
    <t xml:space="preserve"> 00001379 </t>
  </si>
  <si>
    <t>ADITIVO ADESIVO LIQUIDO PARA ARGAMASSAS DE REVESTIMENTOS CIMENTICIOS</t>
  </si>
  <si>
    <t xml:space="preserve"> 00007334 </t>
  </si>
  <si>
    <t>PREGO 19x27</t>
  </si>
  <si>
    <t xml:space="preserve"> 1862 </t>
  </si>
  <si>
    <t>CHAPA GALVANIZADA 40 CM (26)</t>
  </si>
  <si>
    <t xml:space="preserve"> 2379 </t>
  </si>
  <si>
    <t>CALHEIRO</t>
  </si>
  <si>
    <t xml:space="preserve"> 0020 </t>
  </si>
  <si>
    <t>CHAPA GALVANIZADA 60 CM (26)</t>
  </si>
  <si>
    <t xml:space="preserve"> 1234 </t>
  </si>
  <si>
    <t>TELHA GALVALUME COM ISOLAMENTO TERMOACUSTICO EM ESPUMA RIGIDA DE POLIURETANO (PU) INJETADO, ESPESSURA DE 30 MM, DENSIDADE DE 35 KG/M3, COM DUAS FACES TRAPEZOIDAIS, ACABAMENTO NATURAL (NAO INCLUI ACESSORIOS DE FIXACAO)</t>
  </si>
  <si>
    <t xml:space="preserve"> 00040740 </t>
  </si>
  <si>
    <t>CJ</t>
  </si>
  <si>
    <t>HASTE RETA PARA GANCHO DE FERRO GALVANIZADO, COM ROSCA 1/4 " X 30 CM PARA FIXACAO DE TELHA METALICA, INCLUI PORCA E ARRUELAS DE VEDACAO</t>
  </si>
  <si>
    <t xml:space="preserve"> 00011029 </t>
  </si>
  <si>
    <t>TELHADISTA COM ENCARGOS COMPLEMENTARES</t>
  </si>
  <si>
    <t xml:space="preserve"> 88323 </t>
  </si>
  <si>
    <t>GUINCHO ELÉTRICO DE COLUNA, CAPACIDADE 400 KG, COM MOTO FREIO, MOTOR TRIFÁSICO DE 1,25 CV - CHI DIURNO. AF_03/2016</t>
  </si>
  <si>
    <t xml:space="preserve"> 93282 </t>
  </si>
  <si>
    <t>GUINCHO ELÉTRICO DE COLUNA, CAPACIDADE 400 KG, COM MOTO FREIO, MOTOR TRIFÁSICO DE 1,25 CV - CHP DIURNO. AF_03/2016</t>
  </si>
  <si>
    <t xml:space="preserve"> 93281 </t>
  </si>
  <si>
    <t>PERFIL "U" ENRIJECIDO DE ACO GALVANIZADO, DOBRADO, 150 X 60 X 20 MM, E = 3,00 MM OU 200 X 75 X 25 MM, E = 3,75 MM</t>
  </si>
  <si>
    <t xml:space="preserve"> 00043083 </t>
  </si>
  <si>
    <t>CENTO</t>
  </si>
  <si>
    <t>PARAFUSO, COMUM, ASTM A307, SEXTAVADO, DIAMETRO 1/2" (12,7 MM), COMPRIMENTO 1" (25,4 MM)</t>
  </si>
  <si>
    <t xml:space="preserve"> 00040549 </t>
  </si>
  <si>
    <t>MONTADOR DE ESTRUTURA METÁLICA COM ENCARGOS COMPLEMENTARES</t>
  </si>
  <si>
    <t xml:space="preserve"> 88278 </t>
  </si>
  <si>
    <t>IMPERMEAB.CAIXA DAGUA -K11 KZ OU EQUIVALENTE</t>
  </si>
  <si>
    <t xml:space="preserve"> 1538 </t>
  </si>
  <si>
    <t>SIKA 1 / VEDACIT (D=1,00) OU EQUIVALENTE</t>
  </si>
  <si>
    <t xml:space="preserve"> 1973 </t>
  </si>
  <si>
    <t>ISOL 2/IGOL 2 OU EQUIVALENTE</t>
  </si>
  <si>
    <t xml:space="preserve"> 1540 </t>
  </si>
  <si>
    <t>GÁS DE COZINHA - GLP</t>
  </si>
  <si>
    <t xml:space="preserve"> 2975 </t>
  </si>
  <si>
    <t>MANTA ASFALTICA  TIPO III - B 4MM</t>
  </si>
  <si>
    <t xml:space="preserve"> 1542 </t>
  </si>
  <si>
    <t>PRIMER PARA MANTA ASFÁLTICA</t>
  </si>
  <si>
    <t xml:space="preserve"> 2974 </t>
  </si>
  <si>
    <t>ADITIVO IMPERMEABILIZANTE DE PEGA NORMAL PARA ARGAMASSAS E CONCRETOS SEM ARMACAO, LIQUIDO E ISENTO DE CLORETOS</t>
  </si>
  <si>
    <t xml:space="preserve"> 00000123 </t>
  </si>
  <si>
    <t>ARGAMASSA TRAÇO 1:3 (EM VOLUME DE CIMENTO E AREIA MÉDIA ÚMIDA) PARA CONTRAPISO, PREPARO MECÂNICO COM BETONEIRA 400 L. AF_08/2019</t>
  </si>
  <si>
    <t xml:space="preserve"> 87298 </t>
  </si>
  <si>
    <t>TINTA TEXTURIZADA</t>
  </si>
  <si>
    <t xml:space="preserve"> 2048 </t>
  </si>
  <si>
    <t>Cerâmica 60 x 60 cm, porcelanato, natural, retificado, Portobello, linha pietra di firenze, grigio ou similar</t>
  </si>
  <si>
    <t xml:space="preserve"> 12659 </t>
  </si>
  <si>
    <t>kg</t>
  </si>
  <si>
    <t>Rejunte colorido flexivel  para revestimentos cerâmicos</t>
  </si>
  <si>
    <t xml:space="preserve"> 2540 </t>
  </si>
  <si>
    <t>Argamassa industrializada AC-III, Votomassa ou similar</t>
  </si>
  <si>
    <t xml:space="preserve"> 4303 </t>
  </si>
  <si>
    <t>TINTA PVA LATEX</t>
  </si>
  <si>
    <t xml:space="preserve"> 2052 </t>
  </si>
  <si>
    <t>MASSA CORRIDA P.V.A.</t>
  </si>
  <si>
    <t xml:space="preserve"> 1706 </t>
  </si>
  <si>
    <t>CERÂMICA 30X40 (DIMENSÃO APROXIMADA) - REVESTIMENTO DE PAREDE</t>
  </si>
  <si>
    <t xml:space="preserve"> 2787 </t>
  </si>
  <si>
    <t>ESTRUTURA METALICA MR250 / ASTM A36  - COTAÇÃO</t>
  </si>
  <si>
    <t xml:space="preserve"> 1326 </t>
  </si>
  <si>
    <t>TINTA ACRILICA PREMIUM, COR BRANCO FOSCO</t>
  </si>
  <si>
    <t xml:space="preserve"> 00007356 </t>
  </si>
  <si>
    <t>ELEMENTO VAZADO DE CONCRETO - TIPO COPINHO</t>
  </si>
  <si>
    <t xml:space="preserve"> 1327 </t>
  </si>
  <si>
    <t>PONTALETE 3x3"</t>
  </si>
  <si>
    <t xml:space="preserve"> 1858 </t>
  </si>
  <si>
    <t>TIJOLO FURADO 19x19x9</t>
  </si>
  <si>
    <t xml:space="preserve"> 2034 </t>
  </si>
  <si>
    <t>ACO CA-50 - 8,0 MM (5/16")</t>
  </si>
  <si>
    <t xml:space="preserve"> 2438 </t>
  </si>
  <si>
    <t>PARAFUSO DRY WALL, EM ACO ZINCADO, CABECA LENTILHA E PONTA BROCA (LB), LARGURA 4,2 MM, COMPRIMENTO 13 MM</t>
  </si>
  <si>
    <t xml:space="preserve"> 00039443 </t>
  </si>
  <si>
    <t>PLACA / CHAPA DE GESSO ACARTONADO, STANDARD (ST), COR BRANCA, E = 12,5 MM, 1200 X 2400 MM (L X C)</t>
  </si>
  <si>
    <t xml:space="preserve"> 00039413 </t>
  </si>
  <si>
    <t>PERFIL GUIA, FORMATO U, EM ACO ZINCADO, PARA ESTRUTURA PAREDE DRYWALL, E = 0,5 MM, 70 X 3000 MM (L X C)</t>
  </si>
  <si>
    <t xml:space="preserve"> 00039419 </t>
  </si>
  <si>
    <t>PINO DE ACO COM ARRUELA CONICA, DIAMETRO ARRUELA = *23* MM E COMP HASTE = *27* MM (ACAO INDIRETA)</t>
  </si>
  <si>
    <t xml:space="preserve"> 00037586 </t>
  </si>
  <si>
    <t>PARAFUSO DRY WALL, EM ACO FOSFATIZADO, CABECA TROMBETA E PONTA AGULHA (TA), COMPRIMENTO 25 MM</t>
  </si>
  <si>
    <t xml:space="preserve"> 00039435 </t>
  </si>
  <si>
    <t>PERFIL MONTANTE, FORMATO C, EM ACO ZINCADO, PARA ESTRUTURA PAREDE DRYWALL, E = 0,5 MM, 70 X 3000 MM (L X C)</t>
  </si>
  <si>
    <t xml:space="preserve"> 00039422 </t>
  </si>
  <si>
    <t>MASSA DE REJUNTE EM PO PARA DRYWALL, A BASE DE GESSO, SECAGEM RAPIDA, PARA TRATAMENTO DE JUNTAS DE CHAPA DE GESSO (NECESSITA ADICAO DE AGUA)</t>
  </si>
  <si>
    <t xml:space="preserve"> 00039434 </t>
  </si>
  <si>
    <t>FITA DE PAPEL MICROPERFURADO, 50 X 150 MM, PARA TRATAMENTO DE JUNTAS DE CHAPA DE GESSO PARA DRYWALL</t>
  </si>
  <si>
    <t xml:space="preserve"> 00039431 </t>
  </si>
  <si>
    <t>FITA DE PAPEL REFORCADA COM LAMINA DE METAL PARA REFORCO DE CANTOS DE CHAPA DE GESSO PARA DRYWALL</t>
  </si>
  <si>
    <t xml:space="preserve"> 00039432 </t>
  </si>
  <si>
    <t xml:space="preserve">TIJOLO FURADO 14X29X9 6 FUROS </t>
  </si>
  <si>
    <t xml:space="preserve"> 2710 </t>
  </si>
  <si>
    <t>CIMENTO PORTLAND CP III 32RS NBR 11578 (quilo)</t>
  </si>
  <si>
    <t xml:space="preserve"> 000050 </t>
  </si>
  <si>
    <t>AREIA GROSSA LAVADA</t>
  </si>
  <si>
    <t xml:space="preserve"> 000100 </t>
  </si>
  <si>
    <t>TUBO SOLDAVEL PVC MARROM DIAM. 20 MM</t>
  </si>
  <si>
    <t xml:space="preserve"> H269 </t>
  </si>
  <si>
    <t>JOELHO DE REDUCAO 90 GRAUS SOLD.C/BUCHA LATAO 25X1/2"</t>
  </si>
  <si>
    <t xml:space="preserve"> H173 </t>
  </si>
  <si>
    <t>HIDROMETRO 3 M3, DIAM. RAMAL = 25 MM</t>
  </si>
  <si>
    <t xml:space="preserve"> H424 </t>
  </si>
  <si>
    <t>KIT CAVALETE (D=25MM P/HIDRÔM. 1,5; 3 E 5M3) +  CAIXA PADRÃO "A" DA SANEAGO</t>
  </si>
  <si>
    <t xml:space="preserve"> H665 </t>
  </si>
  <si>
    <t>SOLVENTE</t>
  </si>
  <si>
    <t xml:space="preserve"> 1970 </t>
  </si>
  <si>
    <t>TINTA GRAFITE</t>
  </si>
  <si>
    <t xml:space="preserve"> 2054 </t>
  </si>
  <si>
    <t>MANGUEIRA (MANUTENÇÃO E DEPRECIAÇÃO DO EQUIPAMENTO) - PREÇO DOEQUIPAMENTO NOVO DIVIDIDO POR 1.000</t>
  </si>
  <si>
    <t xml:space="preserve"> 2788 </t>
  </si>
  <si>
    <t>TORNEIRA DE JARDIM DIAMETRO 1/2 E 3/4" C/BICO</t>
  </si>
  <si>
    <t xml:space="preserve"> H484 </t>
  </si>
  <si>
    <t>REGISTRO DE ESFERA DIAMETRO 2" (METAL)</t>
  </si>
  <si>
    <t xml:space="preserve"> H564 </t>
  </si>
  <si>
    <t>ADAPTADOR SOLD. LONGO FLANGES LIV.CX.DAGUA 32X1"</t>
  </si>
  <si>
    <t xml:space="preserve"> H108 </t>
  </si>
  <si>
    <t>TORNEIRA BOIA DIAMETRO 1.1/4"  (32 MM)</t>
  </si>
  <si>
    <t xml:space="preserve"> H475 </t>
  </si>
  <si>
    <t>TE DE REDUCAO 90 GRAUS SOLDAVEL 32 X 25 MM</t>
  </si>
  <si>
    <t xml:space="preserve"> H229 </t>
  </si>
  <si>
    <t>JOELHO 90 GRAUS SOLDAVEL DIAMETRO 32 MM</t>
  </si>
  <si>
    <t xml:space="preserve"> H165 </t>
  </si>
  <si>
    <t>TUBO SOLDAVEL PVC MARROM DIAM. 32 MM</t>
  </si>
  <si>
    <t xml:space="preserve"> H249 </t>
  </si>
  <si>
    <t>CRUZETA SOLDAVEL 50 MM</t>
  </si>
  <si>
    <t xml:space="preserve"> H323 </t>
  </si>
  <si>
    <t>LUVA SOLDAVEL 50 mm</t>
  </si>
  <si>
    <t xml:space="preserve"> H318 </t>
  </si>
  <si>
    <t xml:space="preserve"> H164 </t>
  </si>
  <si>
    <t>TE DE REDUCAO 90 GRAUS SOLDAVEL 50 X 25 MM</t>
  </si>
  <si>
    <t xml:space="preserve"> H231 </t>
  </si>
  <si>
    <t>TE 90 GRAUS SOLDAVEL DIAMETRO 50 MM</t>
  </si>
  <si>
    <t xml:space="preserve"> H224 </t>
  </si>
  <si>
    <t>TUBO SOLDAVEL PVC MARROM DIAM. 50 MM</t>
  </si>
  <si>
    <t xml:space="preserve"> H244 </t>
  </si>
  <si>
    <t>EXTINTOR PÓ ABC (6 KG) -  CAP.EXTINTORA 3A 20 BC C/PRES./SETA E SUPORTE</t>
  </si>
  <si>
    <t xml:space="preserve"> 3948 </t>
  </si>
  <si>
    <t>PARAFUSO COM BUCHA S-8</t>
  </si>
  <si>
    <t xml:space="preserve"> 2221 </t>
  </si>
  <si>
    <t>PLACA DE SINALIZAÇÃO EM ALUMÍNIO 35 X 25 CM - "PERIGO - GÁS INFLAMÁVEL - PROIBIDO FUMAR"</t>
  </si>
  <si>
    <t xml:space="preserve"> H725 </t>
  </si>
  <si>
    <t>GRELHA QUADRADA ACO INOX SIMPLES DIAM.100 mm (ESGOTO)</t>
  </si>
  <si>
    <t xml:space="preserve"> H365 </t>
  </si>
  <si>
    <t xml:space="preserve">CAIXA DE GORDURA E INSPEÇÃO 19 LITROS EM PVC/ABS COM TAMPA E PORTA TAMPA ECESTO DE LIMPEZA REMOVÍVEL </t>
  </si>
  <si>
    <t xml:space="preserve"> H670 </t>
  </si>
  <si>
    <t>JOELHO 45 GRAUS DIAMETRO 100 mm  - (ESGOTO)</t>
  </si>
  <si>
    <t xml:space="preserve"> H379 </t>
  </si>
  <si>
    <t>JUNCAO SIMPLES DIAMETRO 100 X 100 mm (ESGOTO)</t>
  </si>
  <si>
    <t xml:space="preserve"> H384 </t>
  </si>
  <si>
    <t>REDUCAO EXCENTRICA DIAMETRO 75 X 50 mm - (ESGOTO)</t>
  </si>
  <si>
    <t xml:space="preserve"> H395 </t>
  </si>
  <si>
    <t>LUVA SIMPLES DIAMETRO 100 mm - (ESGOTO)</t>
  </si>
  <si>
    <t xml:space="preserve"> H392 </t>
  </si>
  <si>
    <t>JOELHO 90 GRAUS DIAMETRO 100 mm (ESGOTO)</t>
  </si>
  <si>
    <t xml:space="preserve"> H377 </t>
  </si>
  <si>
    <t>JOELHO 90 GR.C/ANEL 50 mm</t>
  </si>
  <si>
    <t xml:space="preserve"> H443 </t>
  </si>
  <si>
    <t>REDUCAO EXCENTRICA DIAMETRO 100 X 50 mm - (ESGOTO)</t>
  </si>
  <si>
    <t xml:space="preserve"> H396 </t>
  </si>
  <si>
    <t>CORPO CAIXA SIFONADA 100 X 100 X 50</t>
  </si>
  <si>
    <t xml:space="preserve"> H334 </t>
  </si>
  <si>
    <t>JOELHO 45 GRAUS DIAMETRO 50 mm (ESGOTO)</t>
  </si>
  <si>
    <t xml:space="preserve"> H381 </t>
  </si>
  <si>
    <t>LUVA SIMPLES DIAMETRO 50 mm (ESGOTO)</t>
  </si>
  <si>
    <t xml:space="preserve"> H390 </t>
  </si>
  <si>
    <t>TUBO SOLDAVEL P/ESGOTO DIAMETRO 50 mm</t>
  </si>
  <si>
    <t xml:space="preserve"> H286 </t>
  </si>
  <si>
    <t>JOELHO 45 GRAUS DIAMETRO 40 mm - (ESGOTO)</t>
  </si>
  <si>
    <t xml:space="preserve"> H394 </t>
  </si>
  <si>
    <t>TUBO SOLDAVEL P/ESGOTO DIAMETRO 40 mm</t>
  </si>
  <si>
    <t xml:space="preserve"> H285 </t>
  </si>
  <si>
    <t>GRELHA FOFO SIMPLES COM REQUADRO, CARGA MAXIMA  12,5 T, *300 X 1000* MM, E= *15* MM, AREA ESTACIONAMENTO CARRO PASSEIO</t>
  </si>
  <si>
    <t xml:space="preserve"> 00011245 </t>
  </si>
  <si>
    <t>Custo Total dos Tempos Fixos =&gt;</t>
  </si>
  <si>
    <t>t</t>
  </si>
  <si>
    <t>Carga, manobra e descarga de agregados ou solos em caminhão basculante de 10 m³ - carga com carregadeira de 3,40 m³(exclusa) e descarga livre</t>
  </si>
  <si>
    <t>M0082</t>
  </si>
  <si>
    <t>Tempo Fixo</t>
  </si>
  <si>
    <t>Carga, manobra e descarga de materiais diversos em caminhão carroceria de 15 t - carga e descarga manuais</t>
  </si>
  <si>
    <t>Custo Horário</t>
  </si>
  <si>
    <t>Preço Unitário</t>
  </si>
  <si>
    <t>Unidade</t>
  </si>
  <si>
    <t>Quantidade</t>
  </si>
  <si>
    <t>Tempos Fixos</t>
  </si>
  <si>
    <t>E</t>
  </si>
  <si>
    <t>Custo Total das Atividades =&gt;</t>
  </si>
  <si>
    <t>Confecção de canaleta meia cana D = 0,30 m - areia e brita comerciais</t>
  </si>
  <si>
    <t>Atividade Auxiliar</t>
  </si>
  <si>
    <t>Argamassa de cimento e areia 1:3 - confecção em betoneira e lançamento manual - areia comercial</t>
  </si>
  <si>
    <t>Atividades Auxiliares</t>
  </si>
  <si>
    <t>D</t>
  </si>
  <si>
    <t>Custo Total do Material =&gt;</t>
  </si>
  <si>
    <t>Areia média lavada</t>
  </si>
  <si>
    <t>C</t>
  </si>
  <si>
    <t>Custo Unitário de Execução =&gt;</t>
  </si>
  <si>
    <t>Produção de Equipe =&gt;</t>
  </si>
  <si>
    <t>Custo do FIC =&gt;</t>
  </si>
  <si>
    <t>Fator de Influencia da Chuva - FIC =&gt;</t>
  </si>
  <si>
    <t>Custo Horário de Execução =&gt;</t>
  </si>
  <si>
    <t>Adc.M.O. - Ferramentas ( 0,0%) =&gt;</t>
  </si>
  <si>
    <t>Custo Horário da Mão de Obra =&gt;</t>
  </si>
  <si>
    <t>Servente</t>
  </si>
  <si>
    <t>P9824</t>
  </si>
  <si>
    <t>Pedreiro</t>
  </si>
  <si>
    <t>P9821</t>
  </si>
  <si>
    <t>Salário Hora</t>
  </si>
  <si>
    <t>B</t>
  </si>
  <si>
    <t>CORPO RALO SINFONADO CILINDRICO 100 X 40</t>
  </si>
  <si>
    <t xml:space="preserve"> H352 </t>
  </si>
  <si>
    <t>RALO ABACAXI SEMIESFERICO FERRO FUNDIDO 100mm</t>
  </si>
  <si>
    <t xml:space="preserve"> 003694 </t>
  </si>
  <si>
    <t>AUXILIAR DE ENCANADOR OU BOMBEIRO HIDRÁULICO COM ENCARGOS COMPLEMENTARES</t>
  </si>
  <si>
    <t xml:space="preserve"> 88248 </t>
  </si>
  <si>
    <t>ENCANADOR OU BOMBEIRO HIDRÁULICO COM ENCARGOS COMPLEMENTARES</t>
  </si>
  <si>
    <t xml:space="preserve"> 88267 </t>
  </si>
  <si>
    <t>FERRO CANTONEIRA 1/8" X 7/8"</t>
  </si>
  <si>
    <t xml:space="preserve"> 2470 </t>
  </si>
  <si>
    <t>FERRO CANTONEIRA 1/8" X 3/4"</t>
  </si>
  <si>
    <t xml:space="preserve"> 2423 </t>
  </si>
  <si>
    <t xml:space="preserve"> 2883 </t>
  </si>
  <si>
    <t>CHAPA DE FERRO DOBRADA No.11</t>
  </si>
  <si>
    <t xml:space="preserve"> 2217 </t>
  </si>
  <si>
    <t>COMPENSADO RESINADO COLA FENÓLICA 12 MM 2,2X1,1</t>
  </si>
  <si>
    <t xml:space="preserve"> 1696 </t>
  </si>
  <si>
    <t>PEDRA BRITADA N. 1 (9,5 a 19 MM) POSTO PEDREIRA/FORNECEDOR, SEM FRETE</t>
  </si>
  <si>
    <t xml:space="preserve"> 00004721 </t>
  </si>
  <si>
    <t>GEOTEXTIL NAO TECIDO AGULHADO DE FILAMENTOS CONTINUOS 100% POLIESTER, RESITENCIA A TRACAO = 16 KN/M</t>
  </si>
  <si>
    <t xml:space="preserve"> 00004019 </t>
  </si>
  <si>
    <t>AREIA GROSSA - POSTO JAZIDA/FORNECEDOR (RETIRADO NA JAZIDA, SEM TRANSPORTE)</t>
  </si>
  <si>
    <t xml:space="preserve"> 00000367 </t>
  </si>
  <si>
    <t>Tubo pead flexivel corrugado perfurado d = 4" (Kanadreno ou similar)</t>
  </si>
  <si>
    <t xml:space="preserve"> 2321 </t>
  </si>
  <si>
    <t>Encarregado de turma - Fonte DNIT -  Mês de ref.: 10/20</t>
  </si>
  <si>
    <t xml:space="preserve"> 54 </t>
  </si>
  <si>
    <t>TUBO LEVE PVC RIGIDO DIAM. 150 MM</t>
  </si>
  <si>
    <t xml:space="preserve"> H422 </t>
  </si>
  <si>
    <t>TUBO SOLDAVEL P/ESGOTO DIAMETRO 100 mm</t>
  </si>
  <si>
    <t xml:space="preserve"> H284 </t>
  </si>
  <si>
    <t>TUBO SOLDAVEL P/ESGOTO DIAMETRO 75 mm</t>
  </si>
  <si>
    <t xml:space="preserve"> H283 </t>
  </si>
  <si>
    <t>TUBO DE CONCRETO ARMADO PARA AGUAS PLUVIAIS, CLASSE PA-2, COM ENCAIXE PONTA E BOLSA, DIAMETRO NOMINAL DE 2000 MM</t>
  </si>
  <si>
    <t xml:space="preserve"> 00007727 </t>
  </si>
  <si>
    <t xml:space="preserve">PREPARO COM BETONEIRA E TRANSPORTE MANUAL DE CONCRETO FCK=25 MPA </t>
  </si>
  <si>
    <t xml:space="preserve"> 051030 </t>
  </si>
  <si>
    <t xml:space="preserve">FORMA- CH.COMPENSADA 12 MM UTILIZAÇÃO 3 VEZES - (OBRAS CIVIS) </t>
  </si>
  <si>
    <t xml:space="preserve"> 060203 </t>
  </si>
  <si>
    <t xml:space="preserve">GEOTEXTIL - BIDIM RT-16 OU EQUIVALENTE </t>
  </si>
  <si>
    <t>AGETOP RODOVIARIA</t>
  </si>
  <si>
    <t xml:space="preserve"> 45575 </t>
  </si>
  <si>
    <t>SIFAO METALICO P/PIA 1.1/2X2"</t>
  </si>
  <si>
    <t xml:space="preserve"> H212 </t>
  </si>
  <si>
    <t>SIFAO P/LAVATORIO DIAMETRO 1 X 1.1/2" METALICO</t>
  </si>
  <si>
    <t xml:space="preserve"> H213 </t>
  </si>
  <si>
    <t>LIGACAO FLEXIVEL METÁLICO DIAMETRO 1/2" (ENGATE)</t>
  </si>
  <si>
    <t xml:space="preserve"> H179 </t>
  </si>
  <si>
    <t>TORNEIRA DE PAREDE COM AREJADOR P/TANQUE DIAM. 1/2" E 3/4"</t>
  </si>
  <si>
    <t xml:space="preserve"> H236 </t>
  </si>
  <si>
    <t>TORNEIRA DE MESA PARA PIA DIAMETRO 1/2 - BICA MÓVEL</t>
  </si>
  <si>
    <t xml:space="preserve"> H696 </t>
  </si>
  <si>
    <t>TORNEIRA DE MESA P/LAVATORIO DIAMETRO 1/2"</t>
  </si>
  <si>
    <t xml:space="preserve"> H237 </t>
  </si>
  <si>
    <t>TORNEIRA DE MESA COM FECHAMENTO AUTOMÁTICO TEMPORIZADO PARA LAVATÓRIODIÂMETRO DE 1/2"</t>
  </si>
  <si>
    <t xml:space="preserve"> H709 </t>
  </si>
  <si>
    <t>TORNEIRA DE MESA PARA P.N.E. COM FECHAMENTO AUTOMÁTICO TEMPORIZADO PARALAVATÓRIO DIÂMETRO DE 1/2"</t>
  </si>
  <si>
    <t xml:space="preserve"> H713 </t>
  </si>
  <si>
    <t>BARRA DE APOIO EM AÇO INOX - 40 CM COM PARAFUSOS E BUCHAS PARA FIXAÇÃO</t>
  </si>
  <si>
    <t xml:space="preserve"> H705 </t>
  </si>
  <si>
    <t>BARRA DE APOIO EM AÇO INOX - 80 CM COM PARAFUSOS E BUCHAS PARA FIXAÇÃO</t>
  </si>
  <si>
    <t xml:space="preserve"> H706 </t>
  </si>
  <si>
    <t>ELETRICISTA</t>
  </si>
  <si>
    <t xml:space="preserve"> 0012 </t>
  </si>
  <si>
    <t>BRAÇO METÁLICO PARA CHUVEIRO</t>
  </si>
  <si>
    <t xml:space="preserve"> H117 </t>
  </si>
  <si>
    <t>CHUVEIRO ELETRICO EM PVC</t>
  </si>
  <si>
    <t xml:space="preserve"> H145 </t>
  </si>
  <si>
    <t>PIA MARMORE/GRANITO SINTÉTICO 2,00 X 0,54 M (DIMENSÕES APROXIMADAS)</t>
  </si>
  <si>
    <t xml:space="preserve"> H478 </t>
  </si>
  <si>
    <t>TANQUE DE LOUCA C/COLUNA TAMANHO MÉDIO</t>
  </si>
  <si>
    <t xml:space="preserve"> H428 </t>
  </si>
  <si>
    <t>CONJUNTO DE FIXACAO P/TANQUE</t>
  </si>
  <si>
    <t xml:space="preserve"> H429 </t>
  </si>
  <si>
    <t>ASSENTO EM POLIPROPILENO E INJETADO DE ALTA DURABILIDADE COM SISTEMA DEFECHAMENTO SUAVE (TIPO SLOW CLOSE OU EQUIVALENTE) PARA VASO SANITÁRIO</t>
  </si>
  <si>
    <t xml:space="preserve"> H586 </t>
  </si>
  <si>
    <t xml:space="preserve">VASO SANITARIO COM CAIXA ACOPLADA COM DUPLO ACIONAMENTO </t>
  </si>
  <si>
    <t xml:space="preserve"> H513 </t>
  </si>
  <si>
    <t>ANEL DE VEDAÇÃO PARA VASO SANITÁRIO</t>
  </si>
  <si>
    <t xml:space="preserve"> H181 </t>
  </si>
  <si>
    <t>CONJ.FIXACAO C/BUCHA PLAST. 10MM P/V.SANITARIO</t>
  </si>
  <si>
    <t xml:space="preserve"> H147 </t>
  </si>
  <si>
    <t>VASO SANITÁRIO PARA P.N.E. COM CAIXA ACOPLADA COM DUPLO ACIONAMENTO</t>
  </si>
  <si>
    <t xml:space="preserve"> H712 </t>
  </si>
  <si>
    <t>VALVULA METAL CROMADO 3.1/2" x 1.1/2" PARA CUBA FORUSI</t>
  </si>
  <si>
    <t xml:space="preserve"> 033132 </t>
  </si>
  <si>
    <t>RABICHO FLEXIVEL 40cm PVC 1/2" COM CANOPLAS</t>
  </si>
  <si>
    <t xml:space="preserve"> 003818 </t>
  </si>
  <si>
    <t>FITA TEFLON VEDA ROSCA 18mm x 25m</t>
  </si>
  <si>
    <t xml:space="preserve"> 004636 </t>
  </si>
  <si>
    <t>CUBA DE APOIO QUADRADA 405X405X155 L-73.17 DECA</t>
  </si>
  <si>
    <t xml:space="preserve"> 028213 </t>
  </si>
  <si>
    <t>CIMENTO DIRECIONAL BRANCO (SACO 1 QUILOGRAMA)</t>
  </si>
  <si>
    <t xml:space="preserve"> 001100 </t>
  </si>
  <si>
    <t xml:space="preserve"> H149 </t>
  </si>
  <si>
    <t xml:space="preserve">CUBA DE LOUÇA DE EMBUTIR OVAL MÉDIA </t>
  </si>
  <si>
    <t xml:space="preserve"> H148 </t>
  </si>
  <si>
    <t xml:space="preserve"> 3909 </t>
  </si>
  <si>
    <t xml:space="preserve">PATCH CORD COMPRIMENTO DE 1,5 m - CAT.6 </t>
  </si>
  <si>
    <t xml:space="preserve"> 4045 </t>
  </si>
  <si>
    <t>Switch 24 portas 10/100 Mbps</t>
  </si>
  <si>
    <t xml:space="preserve"> 7615 </t>
  </si>
  <si>
    <t>PATCH PANEL, 48 PORTAS, CATEGORIA 6, COM RACKS DE 19" E 2 U DE ALTURA</t>
  </si>
  <si>
    <t xml:space="preserve"> 00039597 </t>
  </si>
  <si>
    <t>ELETRICISTA COM ENCARGOS COMPLEMENTARES</t>
  </si>
  <si>
    <t xml:space="preserve"> 88264 </t>
  </si>
  <si>
    <t>AUXILIAR DE ELETRICISTA COM ENCARGOS COMPLEMENTARES</t>
  </si>
  <si>
    <t xml:space="preserve"> 88247 </t>
  </si>
  <si>
    <t>PATCH PANEL PADRAO 19" CAT. 6, C/24 PORTAS</t>
  </si>
  <si>
    <t xml:space="preserve"> 3911 </t>
  </si>
  <si>
    <t xml:space="preserve"> 3913 </t>
  </si>
  <si>
    <t>CONECTOR RJ 45 CAT.6</t>
  </si>
  <si>
    <t xml:space="preserve"> 3905 </t>
  </si>
  <si>
    <t>CABO UTP-4P, CAT.6, 24 AWG</t>
  </si>
  <si>
    <t xml:space="preserve"> 3903 </t>
  </si>
  <si>
    <t>ELETROCALHA - SUPORTE SUSPENSAOSIMPLES TIPO "B" 100x50 mm</t>
  </si>
  <si>
    <t xml:space="preserve"> 007803 </t>
  </si>
  <si>
    <t>CURVA DE INVERSÃO P/ELETROCALHA 50 X 50 MM</t>
  </si>
  <si>
    <t xml:space="preserve"> 3798 </t>
  </si>
  <si>
    <t>ELETRODUTO PVC FLEXÍVEL (MANGUEIRA CORRUGADA LEVE) DIAM. 32MM</t>
  </si>
  <si>
    <t xml:space="preserve"> 3924 </t>
  </si>
  <si>
    <t xml:space="preserve"> 00002436 </t>
  </si>
  <si>
    <t xml:space="preserve"> 3997 </t>
  </si>
  <si>
    <t>Encargos Complementares - Eletricista</t>
  </si>
  <si>
    <t xml:space="preserve"> 10552 </t>
  </si>
  <si>
    <t>ARRUELA LISA D = 1/4"</t>
  </si>
  <si>
    <t xml:space="preserve"> 3813 </t>
  </si>
  <si>
    <t>PORCA SEXTAVADA D = 1/4"</t>
  </si>
  <si>
    <t xml:space="preserve"> 3816 </t>
  </si>
  <si>
    <t>PARAFUSO SEXTAVADO CABEÇA LENTILHA D = 1/4" X 5/8"</t>
  </si>
  <si>
    <t xml:space="preserve"> 3821 </t>
  </si>
  <si>
    <t xml:space="preserve"> 3809 </t>
  </si>
  <si>
    <t>Eletrocalha metálica  perfurada 100 x 50 x 3000 mm (ref. mopa ou similar) Eletrocalha metálica perfurada 100 x 50 x 3000 mm (ref. mopa ou similar)</t>
  </si>
  <si>
    <t xml:space="preserve"> 860 </t>
  </si>
  <si>
    <t xml:space="preserve"> 021034 </t>
  </si>
  <si>
    <t xml:space="preserve"> 3032 </t>
  </si>
  <si>
    <t xml:space="preserve"> 3419 </t>
  </si>
  <si>
    <t>QUADRO DE DISTRIBUICAO DE EMBUTIR EM PVC CB 12E - 80A</t>
  </si>
  <si>
    <t xml:space="preserve"> 3742 </t>
  </si>
  <si>
    <t>QUADRO DE DISTRIBUICAO DE EMBUTIR EM PVC CB 24E - 80A</t>
  </si>
  <si>
    <t xml:space="preserve"> 4024 </t>
  </si>
  <si>
    <t>INTERRUPTOR DIFERENCIAL RESIDUAL (DR) BIPOLAR DE 40A-30mA</t>
  </si>
  <si>
    <t xml:space="preserve"> 3945 </t>
  </si>
  <si>
    <t>DISPOSITIVO DE PROTEÇÃO CONTRA SURTOS(DPS) 275V DE 8 A 40KA</t>
  </si>
  <si>
    <t xml:space="preserve"> 3939 </t>
  </si>
  <si>
    <t xml:space="preserve"> 3263 </t>
  </si>
  <si>
    <t xml:space="preserve"> 3261 </t>
  </si>
  <si>
    <t xml:space="preserve"> 3262 </t>
  </si>
  <si>
    <t xml:space="preserve"> 3260 </t>
  </si>
  <si>
    <t xml:space="preserve"> 3259 </t>
  </si>
  <si>
    <t>CAIXA METALICA RETANGULAR 4"X2"X2"</t>
  </si>
  <si>
    <t xml:space="preserve"> 3138 </t>
  </si>
  <si>
    <t xml:space="preserve"> 3949 </t>
  </si>
  <si>
    <t xml:space="preserve"> 3475 </t>
  </si>
  <si>
    <t>SENSOR DE PRESENCA BIVOLT DE PAREDE COM FOTOCELULA PARA QUALQUER TIPO DE LAMPADA POTENCIA MAXIMA *1000* W, USO INTERNO</t>
  </si>
  <si>
    <t xml:space="preserve"> 00039392 </t>
  </si>
  <si>
    <t>SENSOR DE PRESENCA BIVOLT DE TETO COM FOTOCELULA PARA QUALQUER TIPO DE LAMPADA POTENCIA MAXIMA *1000* W, USO INTERNO</t>
  </si>
  <si>
    <t xml:space="preserve"> 00039394 </t>
  </si>
  <si>
    <t>SUPORTE PARAFUSADO COM PLACA DE ENCAIXE 4" X 2" MÉDIO (1,30 M DO PISO) PARA PONTO ELÉTRICO - FORNECIMENTO E INSTALAÇÃO. AF_12/2015</t>
  </si>
  <si>
    <t xml:space="preserve"> 91946 </t>
  </si>
  <si>
    <t>INTERRUPTOR PARALELO (1 MÓDULO), 10A/250V, SEM SUPORTE E SEM PLACA - FORNECIMENTO E INSTALAÇÃO. AF_12/2015</t>
  </si>
  <si>
    <t xml:space="preserve"> 91954 </t>
  </si>
  <si>
    <t>INTERRUPTOR SIMPLES (3 MÓDULOS), 10A/250V, SEM SUPORTE E SEM PLACA - FORNECIMENTO E INSTALAÇÃO. AF_12/2015</t>
  </si>
  <si>
    <t xml:space="preserve"> 91966 </t>
  </si>
  <si>
    <t>INTERRUPTOR SIMPLES (2 MÓDULOS), 10A/250V, SEM SUPORTE E SEM PLACA - FORNECIMENTO E INSTALAÇÃO. AF_12/2015</t>
  </si>
  <si>
    <t xml:space="preserve"> 91958 </t>
  </si>
  <si>
    <t>INTERRUPTOR SIMPLES (1 MÓDULO), 10A/250V, SEM SUPORTE E SEM PLACA - FORNECIMENTO E INSTALAÇÃO. AF_12/2015</t>
  </si>
  <si>
    <t xml:space="preserve"> 91952 </t>
  </si>
  <si>
    <t xml:space="preserve"> 10968 </t>
  </si>
  <si>
    <t>Parafuso metal 2 1/2" x 12 p/ bucha s-10</t>
  </si>
  <si>
    <t xml:space="preserve"> 1691 </t>
  </si>
  <si>
    <t xml:space="preserve"> 4013 </t>
  </si>
  <si>
    <t>LUMINARIA DE EMBUTIR/PAINEL LED DEEP QUADRADO STH8904/30 STE</t>
  </si>
  <si>
    <t xml:space="preserve"> 000669 </t>
  </si>
  <si>
    <t>FITA ISOLANTE HIGHLAND ADESIVA 19m x 20mm</t>
  </si>
  <si>
    <t xml:space="preserve"> 003420 </t>
  </si>
  <si>
    <t xml:space="preserve"> 050372 </t>
  </si>
  <si>
    <t>Luminária Painel Led embutir 18w quadrada, 6000k  da G-light ou similar</t>
  </si>
  <si>
    <t xml:space="preserve"> 13685 </t>
  </si>
  <si>
    <t>SOQUETE DE BAQUELITE BASE E27, PARA LAMPADAS</t>
  </si>
  <si>
    <t xml:space="preserve"> 00012295 </t>
  </si>
  <si>
    <t>LAMPADA LED TUBULAR BIVOLT 9/10 W, BASE G13</t>
  </si>
  <si>
    <t xml:space="preserve"> 00039386 </t>
  </si>
  <si>
    <t>CABO SINTENAX 1 KV No. 35 MM2</t>
  </si>
  <si>
    <t xml:space="preserve"> 3120 </t>
  </si>
  <si>
    <t>CABO SINTENAX 1 KV No. 10 MM2</t>
  </si>
  <si>
    <t xml:space="preserve"> 3114 </t>
  </si>
  <si>
    <t>CABO SINTENAX 1 KV No. 4 MM2</t>
  </si>
  <si>
    <t xml:space="preserve"> 3121 </t>
  </si>
  <si>
    <t>CABO ISOLADO, 750 V. PIRASTIC No. 6 MM2</t>
  </si>
  <si>
    <t xml:space="preserve"> 4016 </t>
  </si>
  <si>
    <t>CABO ISOLADO, 750 V. PIRASTIC No. 2,5 MM2</t>
  </si>
  <si>
    <t xml:space="preserve"> 4014 </t>
  </si>
  <si>
    <t xml:space="preserve"> 3831 </t>
  </si>
  <si>
    <t>ELETRODUTO PVC FLEXÍVEL (MANGUEIRA CORRUGADA REFORÇADA) DIAM. 60MM</t>
  </si>
  <si>
    <t xml:space="preserve"> 3927 </t>
  </si>
  <si>
    <t>ELETRODUTO PVC FLEXÍVEL (MANGUEIRA CORRUGADA REFORÇADA) DIAM. 40MM</t>
  </si>
  <si>
    <t xml:space="preserve"> 3925 </t>
  </si>
  <si>
    <t>ELETRODUTO PVC FLEXÍVEL (MANGUEIRA CORRUGADA LEVE) DIAM.25MM</t>
  </si>
  <si>
    <t xml:space="preserve"> 3923 </t>
  </si>
  <si>
    <t>CONCRETO USINADO CONVENCIONAL FCK=30 MPA</t>
  </si>
  <si>
    <t xml:space="preserve"> 2669 </t>
  </si>
  <si>
    <t>ESPACADOR / DISTANCIADOR CIRCULAR COM ENTRADA LATERAL, EM PLASTICO, PARA VERGALHAO *4,2 A 12,5* MM, COBRIMENTO 20 MM</t>
  </si>
  <si>
    <t xml:space="preserve"> 00039017 </t>
  </si>
  <si>
    <t>ARAME RECOZIDO 16 BWG, D = 1,65 MM (0,016 KG/M) OU 18 BWG, D = 1,25 MM (0,01 KG/M)</t>
  </si>
  <si>
    <t xml:space="preserve"> 00043132 </t>
  </si>
  <si>
    <t>ARMADOR COM ENCARGOS COMPLEMENTARES</t>
  </si>
  <si>
    <t xml:space="preserve"> 88245 </t>
  </si>
  <si>
    <t>CORTE E DOBRA DE AÇO CA-50, DIÂMETRO DE 10,0 MM, UTILIZADO EM ESTRUTURAS DIVERSAS, EXCETO LAJES. AF_12/2015</t>
  </si>
  <si>
    <t xml:space="preserve"> 92794 </t>
  </si>
  <si>
    <t>DESMOLDANTE PARA CONCRETO</t>
  </si>
  <si>
    <t xml:space="preserve"> 1263 </t>
  </si>
  <si>
    <t>COMPENSADO RESINADO COLA FENÓLICA 6 MM 2,2X1,1</t>
  </si>
  <si>
    <t xml:space="preserve"> 1695 </t>
  </si>
  <si>
    <t>ESMERILHADEIRA ANGULAR DEWALT 402 (400H/V)</t>
  </si>
  <si>
    <t xml:space="preserve"> 005142 </t>
  </si>
  <si>
    <t>AJUDANTE DE ARMADOR COM ENCARGOS COMPLEMENTARES</t>
  </si>
  <si>
    <t xml:space="preserve"> 88238 </t>
  </si>
  <si>
    <t>CORTE E DOBRA DE AÇO CA-50, DIÂMETRO DE 10,0 MM, UTILIZADO EM LAJE. AF_12/2015</t>
  </si>
  <si>
    <t xml:space="preserve"> 92803 </t>
  </si>
  <si>
    <t>AREIA MEDIA - POSTO JAZIDA/FORNECEDOR (RETIRADO NA JAZIDA, SEM TRANSPORTE)</t>
  </si>
  <si>
    <t xml:space="preserve"> 00000370 </t>
  </si>
  <si>
    <t>OPERADOR DE BETONEIRA ESTACIONÁRIA/MISTURADOR COM ENCARGOS COMPLEMENTARES</t>
  </si>
  <si>
    <t xml:space="preserve"> 88377 </t>
  </si>
  <si>
    <t>BETONEIRA CAPACIDADE NOMINAL DE 600 L, CAPACIDADE DE MISTURA 360 L, MOTOR ELÉTRICO TRIFÁSICO POTÊNCIA DE 4 CV, SEM CARREGADOR - CHI DIURNO. AF_11/2014</t>
  </si>
  <si>
    <t xml:space="preserve"> 89226 </t>
  </si>
  <si>
    <t>BETONEIRA CAPACIDADE NOMINAL DE 600 L, CAPACIDADE DE MISTURA 360 L, MOTOR ELÉTRICO TRIFÁSICO POTÊNCIA DE 4 CV, SEM CARREGADOR - CHP DIURNO. AF_11/2014</t>
  </si>
  <si>
    <t xml:space="preserve"> 89225 </t>
  </si>
  <si>
    <t>VIGOTA DE MADEIRA 6x12</t>
  </si>
  <si>
    <t xml:space="preserve"> 2133 </t>
  </si>
  <si>
    <t>PREGO 18x30</t>
  </si>
  <si>
    <t xml:space="preserve"> 1863 </t>
  </si>
  <si>
    <t>RIPA DE MADEIRA 5x1</t>
  </si>
  <si>
    <t xml:space="preserve"> 1964 </t>
  </si>
  <si>
    <t>CANALETA DE CONCRETO 14 X 19 X 19 (NBR 6136)</t>
  </si>
  <si>
    <t xml:space="preserve"> 2420 </t>
  </si>
  <si>
    <t>ESCORA ROLIÇA (TIPO EUCALIPTO)</t>
  </si>
  <si>
    <t xml:space="preserve"> 2380 </t>
  </si>
  <si>
    <t>CAIBRO 5x6</t>
  </si>
  <si>
    <t xml:space="preserve"> 1218 </t>
  </si>
  <si>
    <t>ARAME GALVANIZADO No. 14</t>
  </si>
  <si>
    <t xml:space="preserve"> 0105 </t>
  </si>
  <si>
    <t>ACO CA-50 12,5 MM (1/2")</t>
  </si>
  <si>
    <t xml:space="preserve"> 2440 </t>
  </si>
  <si>
    <t>ACO CA-50 10,0 MM (3/8")</t>
  </si>
  <si>
    <t xml:space="preserve"> 2439 </t>
  </si>
  <si>
    <t>SARRAFO DE MADEIRA 10 CM</t>
  </si>
  <si>
    <t xml:space="preserve"> 1968 </t>
  </si>
  <si>
    <t xml:space="preserve">LAJE VOLT.(CONVENCIONAL) PRE-MOLDADA COM EPS PARA FORRO  </t>
  </si>
  <si>
    <t xml:space="preserve"> 1673 </t>
  </si>
  <si>
    <t>DESMOLDANTE PROTETOR PARA FORMAS DE MADEIRA, DE BASE OLEOSA EMULSIONADA EM AGUA</t>
  </si>
  <si>
    <t xml:space="preserve"> 00002692 </t>
  </si>
  <si>
    <t>CONCRETO FCK = 20MPA, TRAÇO 1:2,7:3 (EM MASSA SECA DE CIMENTO/ AREIA MÉDIA/ BRITA 1) - PREPARO MECÂNICO COM BETONEIRA 600 L. AF_05/2021</t>
  </si>
  <si>
    <t xml:space="preserve"> 94970 </t>
  </si>
  <si>
    <t>CORTE E DOBRA DE AÇO CA-50, DIÂMETRO DE 8,0 MM, UTILIZADO EM ESTRUTURAS DIVERSAS, EXCETO LAJES. AF_12/2015</t>
  </si>
  <si>
    <t xml:space="preserve"> 92793 </t>
  </si>
  <si>
    <t>FABRICAÇÃO DE FÔRMA PARA VIGAS, COM MADEIRA SERRADA, E = 25 MM. AF_09/2020</t>
  </si>
  <si>
    <t xml:space="preserve"> 92270 </t>
  </si>
  <si>
    <t>VIBRADOR 2 HP COM MANGOTE 32MM E MANGUEIRA DE 5M ( MANUTENÇÃO EDEPRECIAÇÃO DO EQUIPAMENTO) - PREÇO DO EQUIPAMENTO NOVO DIVIDIDO POR 1.000</t>
  </si>
  <si>
    <t xml:space="preserve"> 2149 </t>
  </si>
  <si>
    <t>CONCRETO USINADO BOMBEAVEL FCK=30 MPA</t>
  </si>
  <si>
    <t xml:space="preserve"> 2667 </t>
  </si>
  <si>
    <t>ACO CA-50 - 20,0 MM (3/4")</t>
  </si>
  <si>
    <t xml:space="preserve"> 2442 </t>
  </si>
  <si>
    <t>ACO CA 50 A - 16,0 MM (5/8")</t>
  </si>
  <si>
    <t xml:space="preserve"> 2441 </t>
  </si>
  <si>
    <t>COMPENSADO PLAST.12 MM 2,2X1,1</t>
  </si>
  <si>
    <t xml:space="preserve"> 1703 </t>
  </si>
  <si>
    <t>CAMINHÃO PIPA 10.000 L TRUCADO, PESO BRUTO TOTAL 23.000 KG, CARGA ÚTIL MÁXIMA 15.935 KG, DISTÂNCIA ENTRE EIXOS 4,8 M, POTÊNCIA 230 CV, INCLUSIVE TANQUE DE AÇO PARA TRANSPORTE DE ÁGUA - CHI DIURNO. AF_06/2014</t>
  </si>
  <si>
    <t xml:space="preserve"> 5903 </t>
  </si>
  <si>
    <t>MOTONIVELADORA POTÊNCIA BÁSICA LÍQUIDA (PRIMEIRA MARCHA) 125 HP, PESO BRUTO 13032 KG, LARGURA DA LÂMINA DE 3,7 M - CHI DIURNO. AF_06/2014</t>
  </si>
  <si>
    <t xml:space="preserve"> 5934 </t>
  </si>
  <si>
    <t>ROLO COMPACTADOR VIBRATÓRIO PÉ DE CARNEIRO PARA SOLOS, POTÊNCIA 80 HP, PESO OPERACIONAL SEM/COM LASTRO 7,4 / 8,8 T, LARGURA DE TRABALHO 1,68 M - CHI DIURNO. AF_02/2016</t>
  </si>
  <si>
    <t xml:space="preserve"> 93244 </t>
  </si>
  <si>
    <t>ROLO COMPACTADOR VIBRATÓRIO PÉ DE CARNEIRO PARA SOLOS, POTÊNCIA 80 HP, PESO OPERACIONAL SEM/COM LASTRO 7,4 / 8,8 T, LARGURA DE TRABALHO 1,68 M - CHP DIURNO. AF_02/2016</t>
  </si>
  <si>
    <t xml:space="preserve"> 73436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</si>
  <si>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</si>
  <si>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5901 </t>
  </si>
  <si>
    <t>MOTONIVELADORA POTÊNCIA BÁSICA LÍQUIDA (PRIMEIRA MARCHA) 125 HP, PESO BRUTO 13032 KG, LARGURA DA LÂMINA DE 3,7 M - CHP DIURNO. AF_06/2014</t>
  </si>
  <si>
    <t xml:space="preserve"> 5932 </t>
  </si>
  <si>
    <t>CONCRETO USINADO BOMBEAVEL FCK=25 MPA</t>
  </si>
  <si>
    <t xml:space="preserve"> 2666 </t>
  </si>
  <si>
    <t>ESCAVACAO MECANICA (O. RODOV.)</t>
  </si>
  <si>
    <t xml:space="preserve"> 2453 </t>
  </si>
  <si>
    <t>VIGIA DE OBRA NOTURNO (SALÁRIO X 1,1773)</t>
  </si>
  <si>
    <t xml:space="preserve"> 0036 </t>
  </si>
  <si>
    <t>MESTRE DE OBRAS (ENCARREG.X1,85)</t>
  </si>
  <si>
    <t xml:space="preserve"> 0003 </t>
  </si>
  <si>
    <t>ENGENHEIRO</t>
  </si>
  <si>
    <t xml:space="preserve"> 0001 </t>
  </si>
  <si>
    <t>CAMINHAO BASCULANTE 6 M3 - POR HORA ( O. RODOV.) (0,3HP+0,7HI)</t>
  </si>
  <si>
    <t xml:space="preserve"> 1220 </t>
  </si>
  <si>
    <t>VIGOTA DE MADEIRA 6x16</t>
  </si>
  <si>
    <t xml:space="preserve"> 2132 </t>
  </si>
  <si>
    <t>PORCA P/PARAFUSO 3/8"</t>
  </si>
  <si>
    <t xml:space="preserve"> 2492 </t>
  </si>
  <si>
    <t>PREGO 15x15</t>
  </si>
  <si>
    <t xml:space="preserve"> 1860 </t>
  </si>
  <si>
    <t>PARAFUSO DIAM.3/8" - 10 CM</t>
  </si>
  <si>
    <t xml:space="preserve"> 2491 </t>
  </si>
  <si>
    <t>CORRENTE DIAMETRO 4 MM</t>
  </si>
  <si>
    <t xml:space="preserve"> 2516 </t>
  </si>
  <si>
    <t>DOBRADIÇA TIPO FERRADURA NÚMERO 2</t>
  </si>
  <si>
    <t xml:space="preserve"> 2818 </t>
  </si>
  <si>
    <t>CADEADO PAPAIZ/PADO No. 30</t>
  </si>
  <si>
    <t xml:space="preserve"> 2256 </t>
  </si>
  <si>
    <t>ARRUELA P/PARAFUSO 3/8"</t>
  </si>
  <si>
    <t xml:space="preserve"> 2493 </t>
  </si>
  <si>
    <t>TOMADA HEXAGONAL 2P + T - 20A - 250V</t>
  </si>
  <si>
    <t xml:space="preserve"> 3477 </t>
  </si>
  <si>
    <t>TAMPA TIPO DZ ATE 63A</t>
  </si>
  <si>
    <t xml:space="preserve"> 3459 </t>
  </si>
  <si>
    <t>LAMPADA COMPACTA ELETRÔNICA COM REATOR INTEGRADO 26 W</t>
  </si>
  <si>
    <t xml:space="preserve"> 3853 </t>
  </si>
  <si>
    <t>RELE DE SOBRECORRENTE 16 - 36A</t>
  </si>
  <si>
    <t xml:space="preserve"> 3764 </t>
  </si>
  <si>
    <t>INTERRUPTOR SIMPLES (1 SECAO)</t>
  </si>
  <si>
    <t xml:space="preserve"> 3337 </t>
  </si>
  <si>
    <t>ISOLADOR ROLDANA PVC GRANDE (103)</t>
  </si>
  <si>
    <t xml:space="preserve"> 3349 </t>
  </si>
  <si>
    <t>SOQUETE INDUSTRIAL 1570 P/USO AO TEMPO</t>
  </si>
  <si>
    <t xml:space="preserve"> 3604 </t>
  </si>
  <si>
    <t>RELE DE FALTA DE FASE 380 V - 60 HZ</t>
  </si>
  <si>
    <t xml:space="preserve"> 3751 </t>
  </si>
  <si>
    <t>PARAFUSO DE AJUSTE TIPO DZ ATE 63A</t>
  </si>
  <si>
    <t xml:space="preserve"> 3389 </t>
  </si>
  <si>
    <t>HASTE COPPERWELD  5/8" X 2,40 M C/CONECTOR</t>
  </si>
  <si>
    <t xml:space="preserve"> 3329 </t>
  </si>
  <si>
    <t>INTERRUPTOR P/QUADRO DE COMANDO</t>
  </si>
  <si>
    <t xml:space="preserve"> 3752 </t>
  </si>
  <si>
    <t>FUSIVEL DZ RETARDADO DE 35A A 63A</t>
  </si>
  <si>
    <t xml:space="preserve"> 3323 </t>
  </si>
  <si>
    <t>CAIXA DE PASSAGEM METALICA DE EMBUTIR 40X40X15 CM</t>
  </si>
  <si>
    <t xml:space="preserve"> 3131 </t>
  </si>
  <si>
    <t>FITA DE AUTO FUSAO, ROLO DE 10,00 M</t>
  </si>
  <si>
    <t xml:space="preserve"> 3318 </t>
  </si>
  <si>
    <t>FIO ISOLADO 750 V, PIRASTIC No. 10 MM2</t>
  </si>
  <si>
    <t xml:space="preserve"> 3313 </t>
  </si>
  <si>
    <t>FITA ISOLANTE, ROLO DE 20,00 M</t>
  </si>
  <si>
    <t xml:space="preserve"> 3320 </t>
  </si>
  <si>
    <t>DISJUNTOR TRIPOLAR DE 60 A 100-A</t>
  </si>
  <si>
    <t xml:space="preserve"> 3269 </t>
  </si>
  <si>
    <t>CABO ISOLADO, 750 V, PIRASTIC No. 16 MM2</t>
  </si>
  <si>
    <t xml:space="preserve"> 3106 </t>
  </si>
  <si>
    <t>FIO ISOLADO 750 V, PIRASTIC No. 2,5 MM2</t>
  </si>
  <si>
    <t xml:space="preserve"> 3314 </t>
  </si>
  <si>
    <t>CONTATOR 3TF43 - 22</t>
  </si>
  <si>
    <t xml:space="preserve"> 3755 </t>
  </si>
  <si>
    <t>BOTOEIRA "LIGA-DESLIGA" PARA INSTALACAO EM PORTA DE QUADRO</t>
  </si>
  <si>
    <t xml:space="preserve"> 3042 </t>
  </si>
  <si>
    <t>CHAVE TRIPOLAR TIPO PACCO 63-A</t>
  </si>
  <si>
    <t xml:space="preserve"> 3174 </t>
  </si>
  <si>
    <t>BASE DZ DE 25A A 63A</t>
  </si>
  <si>
    <t xml:space="preserve"> 3022 </t>
  </si>
  <si>
    <t>PARAFUSO 12,5 X 130 C/PORCA E ARRUELA</t>
  </si>
  <si>
    <t xml:space="preserve"> 2425 </t>
  </si>
  <si>
    <t>CADEADO PAPAIZ/PADO No. 20</t>
  </si>
  <si>
    <t xml:space="preserve"> 2255 </t>
  </si>
  <si>
    <t>LUVA SOLDAVEL 32 mm</t>
  </si>
  <si>
    <t xml:space="preserve"> H320 </t>
  </si>
  <si>
    <t>ADESIVO PLASTICO - FRASCO 850 G</t>
  </si>
  <si>
    <t xml:space="preserve"> H112 </t>
  </si>
  <si>
    <t>LUVA SOLDAVEL 25 mm</t>
  </si>
  <si>
    <t xml:space="preserve"> H319 </t>
  </si>
  <si>
    <t>SOLUCAO LIMPADORA 1000 CM3 (FRASCO PLASTICO)</t>
  </si>
  <si>
    <t xml:space="preserve"> H214 </t>
  </si>
  <si>
    <t>JOELHO DE REDUÇÃO 90º SOLDAVEL 32 mm X 25 mm</t>
  </si>
  <si>
    <t xml:space="preserve"> H444 </t>
  </si>
  <si>
    <t>JOELHO 90 GRAUS SOLD.C/BUCHA LATAO DIAM. 25 X 3/4"</t>
  </si>
  <si>
    <t xml:space="preserve"> H158 </t>
  </si>
  <si>
    <t>ADAPTADOR SOLD.CURTO C/BOLSA E ROSCA P/REG.32X1"</t>
  </si>
  <si>
    <t xml:space="preserve"> H102 </t>
  </si>
  <si>
    <t>REGISTRO DE ESFERA DIAM. 1" (METAL)</t>
  </si>
  <si>
    <t xml:space="preserve"> H559 </t>
  </si>
  <si>
    <t>TINTA LATEX ACRÍLICA 2ª LINHA/ECONÔMICA</t>
  </si>
  <si>
    <t xml:space="preserve"> 2842 </t>
  </si>
  <si>
    <t>TABUA  NAO  APARELHADA  *2,5 X 20* CM, EM MACARANDUBA, ANGELIM OU EQUIVALENTE DA REGIAO - BRUTA</t>
  </si>
  <si>
    <t xml:space="preserve"> 00006193 </t>
  </si>
  <si>
    <t>EXTINTOR DE INCENDIO PORTATIL COM CARGA DE AGUA PRESSURIZADA DE 10 L, CLASSE A</t>
  </si>
  <si>
    <t xml:space="preserve"> 00010886 </t>
  </si>
  <si>
    <t>FERROLHO COM FECHO / TRINCO REDONDO, EM ACO GALVANIZADO / ZINCADO, DE SOBREPOR, COM COMPRIMENTO DE 8" E ESPESSURA MINIMA DA CHAPA DE 1,50 MM</t>
  </si>
  <si>
    <t xml:space="preserve"> 00011455 </t>
  </si>
  <si>
    <t>FORRO DE PVC LISO, BRANCO, REGUA DE 10 CM, ESPESSURA DE 8 MM A 10 MM (COM COLOCACAO / SEM ESTRUTURA METALICA)</t>
  </si>
  <si>
    <t xml:space="preserve"> 00011587 </t>
  </si>
  <si>
    <t>EXTINTOR DE INCENDIO PORTATIL COM CARGA DE PO QUIMICO SECO (PQS) DE 4 KG, CLASSE BC</t>
  </si>
  <si>
    <t xml:space="preserve"> 00010891 </t>
  </si>
  <si>
    <t>CAIBRO 5 X 5 CM EM PINUS, MISTA OU EQUIVALENTE DA REGIAO - BRUTA</t>
  </si>
  <si>
    <t xml:space="preserve"> 00004513 </t>
  </si>
  <si>
    <t>REATERRO MANUAL APILOADO COM SOQUETE. AF_10/2017</t>
  </si>
  <si>
    <t xml:space="preserve"> 96995 </t>
  </si>
  <si>
    <t>ESCAVAÇÃO MANUAL DE VALA COM PROFUNDIDADE MENOR OU IGUAL A 1,30 M. AF_02/2021</t>
  </si>
  <si>
    <t xml:space="preserve"> 93358 </t>
  </si>
  <si>
    <t>FIXAÇÃO DE TUBOS VERTICAIS DE PPR DIÂMETROS MENORES OU IGUAIS A 40 MM COM ABRAÇADEIRA METÁLICA RÍGIDA TIPO D 1/2", FIXADA EM PERFILADO EM ALVENARIA. AF_05/2015</t>
  </si>
  <si>
    <t xml:space="preserve"> 91173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</si>
  <si>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</si>
  <si>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91170 </t>
  </si>
  <si>
    <t>LÂMPADA COMPACTA FLUORESCENTE DE 15 W, BASE E27 - FORNECIMENTO E INSTALAÇÃO. AF_02/2020</t>
  </si>
  <si>
    <t xml:space="preserve"> 97611 </t>
  </si>
  <si>
    <t>LUMINÁRIA TIPO SPOT, DE SOBREPOR, COM 1 LÂMPADA FLUORESCENTE DE 15 W, SEM REATOR - FORNECIMENTO E INSTALAÇÃO. AF_02/2020</t>
  </si>
  <si>
    <t xml:space="preserve"> 97593 </t>
  </si>
  <si>
    <t>LUMINÁRIA TIPO CALHA, DE SOBREPOR, COM 2 LÂMPADAS TUBULARES FLUORESCENTES DE 36 W, COM REATOR DE PARTIDA RÁPIDA - FORNECIMENTO E INSTALAÇÃO. AF_02/2020</t>
  </si>
  <si>
    <t xml:space="preserve"> 97586 </t>
  </si>
  <si>
    <t>INTERRUPTOR SIMPLES (1 MÓDULO) COM 2 TOMADAS DE EMBUTIR 2P+T 10 A,  INCLUINDO SUPORTE E PLACA - FORNECIMENTO E INSTALAÇÃO. AF_12/2015</t>
  </si>
  <si>
    <t xml:space="preserve"> 92025 </t>
  </si>
  <si>
    <t>TOMADA BAIXA DE EMBUTIR (1 MÓDULO), 2P+T 10 A, INCLUINDO SUPORTE E PLACA - FORNECIMENTO E INSTALAÇÃO. AF_12/2015</t>
  </si>
  <si>
    <t xml:space="preserve"> 92000 </t>
  </si>
  <si>
    <t>CABO DE COBRE FLEXÍVEL ISOLADO, 1,5 MM², ANTI-CHAMA 450/750 V, PARA CIRCUITOS TERMINAIS - FORNECIMENTO E INSTALAÇÃO. AF_12/2015</t>
  </si>
  <si>
    <t xml:space="preserve"> 91924 </t>
  </si>
  <si>
    <t>CABO DE COBRE FLEXÍVEL ISOLADO, 2,5 MM², ANTI-CHAMA 450/750 V, PARA CIRCUITOS TERMINAIS - FORNECIMENTO E INSTALAÇÃO. AF_12/2015</t>
  </si>
  <si>
    <t xml:space="preserve"> 91926 </t>
  </si>
  <si>
    <t>CONDULETE DE PVC, TIPO B, PARA ELETRODUTO DE PVC SOLDÁVEL DN 25 MM (3/4''), APARENTE - FORNECIMENTO E INSTALAÇÃO. AF_11/2016</t>
  </si>
  <si>
    <t xml:space="preserve"> 95805 </t>
  </si>
  <si>
    <t>QUADRO DE DISTRIBUIÇÃO DE ENERGIA EM PVC, DE EMBUTIR, SEM BARRAMENTO, PARA 6 DISJUNTORES - FORNECIMENTO E INSTALAÇÃO. AF_10/2020</t>
  </si>
  <si>
    <t xml:space="preserve"> 101876 </t>
  </si>
  <si>
    <t>DISJUNTOR MONOPOLAR TIPO NEMA, CORRENTE NOMINAL DE 35 ATÉ 50A - FORNECIMENTO E INSTALAÇÃO. AF_10/2020</t>
  </si>
  <si>
    <t xml:space="preserve"> 101891 </t>
  </si>
  <si>
    <t>CAIXA OCTOGONAL 3" X 3", PVC, INSTALADA EM LAJE - FORNECIMENTO E INSTALAÇÃO. AF_12/2015</t>
  </si>
  <si>
    <t xml:space="preserve"> 91937 </t>
  </si>
  <si>
    <t>CONDULETE DE PVC, TIPO LB, PARA ELETRODUTO DE PVC SOLDÁVEL DN 25 MM (3/4''), APARENTE - FORNECIMENTO E INSTALAÇÃO. AF_11/2016</t>
  </si>
  <si>
    <t xml:space="preserve"> 95811 </t>
  </si>
  <si>
    <t>CURVA 90 GRAUS PARA ELETRODUTO, PVC, ROSCÁVEL, DN 20 MM (1/2"), PARA CIRCUITOS TERMINAIS, INSTALADA EM PAREDE - FORNECIMENTO E INSTALAÇÃO. AF_12/2015</t>
  </si>
  <si>
    <t xml:space="preserve"> 91911 </t>
  </si>
  <si>
    <t>ELETRODUTO RÍGIDO ROSCÁVEL, PVC, DN 20 MM (1/2"), PARA CIRCUITOS TERMINAIS, INSTALADO EM PAREDE - FORNECIMENTO E INSTALAÇÃO. AF_12/2015</t>
  </si>
  <si>
    <t xml:space="preserve"> 91870 </t>
  </si>
  <si>
    <t>ELETRODUTO RÍGIDO ROSCÁVEL, PVC, DN 20 MM (1/2"), PARA CIRCUITOS TERMINAIS, INSTALADO EM FORRO - FORNECIMENTO E INSTALAÇÃO. AF_12/2015</t>
  </si>
  <si>
    <t xml:space="preserve"> 91862 </t>
  </si>
  <si>
    <t>ALVENARIA DE EMBASAMENTO COM BLOCO ESTRUTURAL DE CONCRETO, DE 14X19X29CM E ARGAMASSA DE ASSENTAMENTO COM PREPARO EM BETONEIRA. AF_05/2020</t>
  </si>
  <si>
    <t xml:space="preserve"> 101165 </t>
  </si>
  <si>
    <t>LASTRO DE CONCRETO MAGRO, APLICADO EM PISOS, LAJES SOBRE SOLO OU RADIERS, ESPESSURA DE 3 CM. AF_07/2016</t>
  </si>
  <si>
    <t xml:space="preserve"> 95240 </t>
  </si>
  <si>
    <t>LASTRO DE CONCRETO MAGRO, APLICADO EM PISOS, LAJES SOBRE SOLO OU RADIERS, ESPESSURA DE 5 CM. AF_07/2016</t>
  </si>
  <si>
    <t xml:space="preserve"> 95241 </t>
  </si>
  <si>
    <t>JANELA DE AÇO TIPO BASCULANTE PARA VIDROS, COM BATENTE, FERRAGENS E PINTURA ANTICORROSIVA. EXCLUSIVE VIDROS, ACABAMENTO, ALIZAR E CONTRAMARCO. FORNECIMENTO E INSTALAÇÃO. AF_12/2019</t>
  </si>
  <si>
    <t xml:space="preserve"> 94559 </t>
  </si>
  <si>
    <t>PORTA EM ALUMÍNIO DE ABRIR TIPO VENEZIANA COM GUARNIÇÃO, FIXAÇÃO COM PARAFUSOS - FORNECIMENTO E INSTALAÇÃO. AF_12/2019</t>
  </si>
  <si>
    <t xml:space="preserve"> 91341 </t>
  </si>
  <si>
    <t>TELHAMENTO COM TELHA ONDULADA DE FIBROCIMENTO E = 6 MM, COM RECOBRIMENTO LATERAL DE 1 1/4 DE ONDA PARA TELHADO COM INCLINAÇÃO MÁXIMA DE 10°, COM ATÉ 2 ÁGUAS, INCLUSO IÇAMENTO. AF_07/2019</t>
  </si>
  <si>
    <t xml:space="preserve"> 94210 </t>
  </si>
  <si>
    <t>TRAMA DE MADEIRA COMPOSTA POR TERÇAS PARA TELHADOS DE ATÉ 2 ÁGUAS PARA TELHA ONDULADA DE FIBROCIMENTO, METÁLICA, PLÁSTICA OU TERMOACÚSTICA, INCLUSO TRANSPORTE VERTICAL. AF_07/2019</t>
  </si>
  <si>
    <t xml:space="preserve"> 92543 </t>
  </si>
  <si>
    <t>PAREDE DE MADEIRA COMPENSADA PARA CONSTRUÇÃO TEMPORÁRIA EM CHAPA SIMPLES, INTERNA, COM ÁREA LÍQUIDA MAIOR OU IGUAL A 6 M², SEM VÃO. AF_05/2018</t>
  </si>
  <si>
    <t xml:space="preserve"> 98443 </t>
  </si>
  <si>
    <t>PAREDE DE MADEIRA COMPENSADA PARA CONSTRUÇÃO TEMPORÁRIA EM CHAPA SIMPLES, EXTERNA, COM ÁREA LÍQUIDA MAIOR OU IGUAL A 6 M², COM VÃO. AF_05/2018</t>
  </si>
  <si>
    <t xml:space="preserve"> 98445 </t>
  </si>
  <si>
    <t>PAREDE DE MADEIRA COMPENSADA PARA CONSTRUÇÃO TEMPORÁRIA EM CHAPA SIMPLES, INTERNA, COM ÁREA LÍQUIDA MENOR QUE 6 M², SEM VÃO. AF_05/2018</t>
  </si>
  <si>
    <t xml:space="preserve"> 98444 </t>
  </si>
  <si>
    <t>PAREDE DE MADEIRA COMPENSADA PARA CONSTRUÇÃO TEMPORÁRIA EM CHAPA SIMPLES, EXTERNA, COM ÁREA LÍQUIDA MENOR QUE 6 M², SEM VÃO. AF_05/2018</t>
  </si>
  <si>
    <t xml:space="preserve"> 98442 </t>
  </si>
  <si>
    <t>PAREDE DE MADEIRA COMPENSADA PARA CONSTRUÇÃO TEMPORÁRIA EM CHAPA SIMPLES, EXTERNA, COM ÁREA LÍQUIDA MENOR QUE 6 M², COM VÃO. AF_05/2018</t>
  </si>
  <si>
    <t xml:space="preserve"> 98446 </t>
  </si>
  <si>
    <t>PAREDE DE MADEIRA COMPENSADA PARA CONSTRUÇÃO TEMPORÁRIA EM CHAPA SIMPLES, EXTERNA, COM ÁREA LÍQUIDA MAIOR OU IGUAL A 6 M², SEM VÃO. AF_05/2018</t>
  </si>
  <si>
    <t xml:space="preserve"> 98441 </t>
  </si>
  <si>
    <t>PAREDE DE MADEIRA COMPENSADA PARA CONSTRUÇÃO TEMPORÁRIA EM CHAPA SIMPLES, INTERNA, COM ÁREA LÍQUIDA MAIOR OU IGUAL A 6 M², COM VÃO. AF_05/2018</t>
  </si>
  <si>
    <t xml:space="preserve"> 98447 </t>
  </si>
  <si>
    <t>PAREDE DE MADEIRA COMPENSADA PARA CONSTRUÇÃO TEMPORÁRIA EM CHAPA SIMPLES, INTERNA, COM ÁREA LÍQUIDA MENOR QUE 6 M², COM VÃO. AF_05/2018</t>
  </si>
  <si>
    <t xml:space="preserve"> 98448 </t>
  </si>
  <si>
    <t xml:space="preserve">PLACA DE OBRA PLOTADA NA CHAPA 26 </t>
  </si>
  <si>
    <t xml:space="preserve"> 1890 </t>
  </si>
  <si>
    <t>PARAFUSO 8x110 MM</t>
  </si>
  <si>
    <t xml:space="preserve"> 1893 </t>
  </si>
  <si>
    <t>FERRAGEM PARA TELHADO</t>
  </si>
  <si>
    <t xml:space="preserve"> 1374 </t>
  </si>
  <si>
    <t>Planilha Orçamentária Analítica</t>
  </si>
  <si>
    <t xml:space="preserve"> IPASC 02 </t>
  </si>
  <si>
    <t xml:space="preserve"> IPASC 03 </t>
  </si>
  <si>
    <t xml:space="preserve">SINAPI - 03/2022 - Goiás
SBC - 04/2022 - Goiás
SICRO3 - 01/2022 - Goiás
ORSE - 02/2022 - Sergipe
AGETOP CIVIL - 04/2022 - Goiás
</t>
  </si>
  <si>
    <t xml:space="preserve"> 2066 </t>
  </si>
  <si>
    <t>TABUA DE 30 CM APARELHADA</t>
  </si>
  <si>
    <t xml:space="preserve"> 2260 </t>
  </si>
  <si>
    <t>TELA ARTISTICA # 3 CM FIO 14</t>
  </si>
  <si>
    <t xml:space="preserve"> 0023 </t>
  </si>
  <si>
    <t>APLICADOR DE EPOXI</t>
  </si>
  <si>
    <t xml:space="preserve"> 2430 </t>
  </si>
  <si>
    <t>FITA CREPE 19MM</t>
  </si>
  <si>
    <t xml:space="preserve"> 00000156 </t>
  </si>
  <si>
    <t>ADESIVO ESTRUTURAL A BASE DE RESINA EPOXI, BICOMPONENTE, FLUIDO</t>
  </si>
  <si>
    <t xml:space="preserve"> 100,00%
 166.049,59</t>
  </si>
  <si>
    <t xml:space="preserve"> 40,00%
 66.419,84</t>
  </si>
  <si>
    <t xml:space="preserve"> 15,00%
 24.907,44</t>
  </si>
  <si>
    <t xml:space="preserve"> 100,00%
 13.661,19</t>
  </si>
  <si>
    <t xml:space="preserve"> 100,00%
 111.318,41</t>
  </si>
  <si>
    <t xml:space="preserve"> 40,00%
 44.527,36</t>
  </si>
  <si>
    <t xml:space="preserve"> 60,00%
 66.791,05</t>
  </si>
  <si>
    <t xml:space="preserve"> 100,00%
 112.087,00</t>
  </si>
  <si>
    <t xml:space="preserve"> 25,00%
 28.021,75</t>
  </si>
  <si>
    <t xml:space="preserve"> 100,00%
 114.853,63</t>
  </si>
  <si>
    <t xml:space="preserve"> 25,00%
 28.713,41</t>
  </si>
  <si>
    <t xml:space="preserve"> 100,00%
 54.755,26</t>
  </si>
  <si>
    <t xml:space="preserve"> 20,00%
 10.951,05</t>
  </si>
  <si>
    <t xml:space="preserve"> 40,00%
 21.902,10</t>
  </si>
  <si>
    <t xml:space="preserve"> 100,00%
 100.715,48</t>
  </si>
  <si>
    <t xml:space="preserve"> 20,00%
 20.143,10</t>
  </si>
  <si>
    <t xml:space="preserve"> 40,00%
 40.286,19</t>
  </si>
  <si>
    <t xml:space="preserve"> 100,00%
 13.853,43</t>
  </si>
  <si>
    <t xml:space="preserve"> 50,00%
 6.926,72</t>
  </si>
  <si>
    <t xml:space="preserve"> 100,00%
 108.654,55</t>
  </si>
  <si>
    <t xml:space="preserve"> 40,00%
 43.461,82</t>
  </si>
  <si>
    <t xml:space="preserve"> 30,00%
 32.596,37</t>
  </si>
  <si>
    <t xml:space="preserve"> 100,00%
 178.410,59</t>
  </si>
  <si>
    <t xml:space="preserve"> 20,00%
 35.682,12</t>
  </si>
  <si>
    <t xml:space="preserve"> 30,00%
 53.523,18</t>
  </si>
  <si>
    <t xml:space="preserve"> 100,00%
 325.379,65</t>
  </si>
  <si>
    <t xml:space="preserve"> 30,00%
 97.613,90</t>
  </si>
  <si>
    <t xml:space="preserve"> 40,00%
 130.151,86</t>
  </si>
  <si>
    <t xml:space="preserve"> 100,00%
 58.302,35</t>
  </si>
  <si>
    <t xml:space="preserve"> 50,00%
 29.151,18</t>
  </si>
  <si>
    <t xml:space="preserve"> 100,00%
 1.942,82</t>
  </si>
  <si>
    <t xml:space="preserve"> 100,00%
 139.174,66</t>
  </si>
  <si>
    <t xml:space="preserve"> 40,00%
 55.669,86</t>
  </si>
  <si>
    <t xml:space="preserve"> 30,00%
 41.752,40</t>
  </si>
  <si>
    <t xml:space="preserve"> 9,04%</t>
  </si>
  <si>
    <t xml:space="preserve"> 15,09%</t>
  </si>
  <si>
    <t xml:space="preserve"> 26,75%</t>
  </si>
  <si>
    <t xml:space="preserve"> 25,58%</t>
  </si>
  <si>
    <t xml:space="preserve"> 23,54%</t>
  </si>
  <si>
    <t xml:space="preserve"> 135.559,44</t>
  </si>
  <si>
    <t xml:space="preserve"> 226.160,96</t>
  </si>
  <si>
    <t xml:space="preserve"> 401.026,36</t>
  </si>
  <si>
    <t xml:space="preserve"> 383.492,51</t>
  </si>
  <si>
    <t xml:space="preserve"> 352.919,33</t>
  </si>
  <si>
    <t xml:space="preserve"> 24,13%</t>
  </si>
  <si>
    <t xml:space="preserve"> 50,88%</t>
  </si>
  <si>
    <t xml:space="preserve"> 76,46%</t>
  </si>
  <si>
    <t xml:space="preserve"> 361.720,40</t>
  </si>
  <si>
    <t xml:space="preserve"> 1.146.239,27</t>
  </si>
  <si>
    <t xml:space="preserve"> 1.499.158,61</t>
  </si>
  <si>
    <t xml:space="preserve"> 1.199,57</t>
  </si>
  <si>
    <t xml:space="preserve"> 88.588,24</t>
  </si>
  <si>
    <t xml:space="preserve"> 5,91</t>
  </si>
  <si>
    <t xml:space="preserve"> 141,10</t>
  </si>
  <si>
    <t xml:space="preserve"> 79.038,58</t>
  </si>
  <si>
    <t xml:space="preserve"> 5,27</t>
  </si>
  <si>
    <t xml:space="preserve"> 11,18</t>
  </si>
  <si>
    <t xml:space="preserve"> 4,80</t>
  </si>
  <si>
    <t xml:space="preserve"> 15,98</t>
  </si>
  <si>
    <t xml:space="preserve"> 229,95</t>
  </si>
  <si>
    <t xml:space="preserve"> 54.935,06</t>
  </si>
  <si>
    <t xml:space="preserve"> 3,66</t>
  </si>
  <si>
    <t xml:space="preserve"> 19,64</t>
  </si>
  <si>
    <t xml:space="preserve"> 340,81</t>
  </si>
  <si>
    <t xml:space="preserve"> 52.944,83</t>
  </si>
  <si>
    <t xml:space="preserve"> 3,53</t>
  </si>
  <si>
    <t xml:space="preserve"> 23,18</t>
  </si>
  <si>
    <t xml:space="preserve"> 1.402,33</t>
  </si>
  <si>
    <t xml:space="preserve"> 51.774,02</t>
  </si>
  <si>
    <t xml:space="preserve"> 26,63</t>
  </si>
  <si>
    <t xml:space="preserve"> 823,56</t>
  </si>
  <si>
    <t xml:space="preserve"> 44.653,42</t>
  </si>
  <si>
    <t xml:space="preserve"> 2,98</t>
  </si>
  <si>
    <t xml:space="preserve"> 29,61</t>
  </si>
  <si>
    <t xml:space="preserve"> 74,94</t>
  </si>
  <si>
    <t xml:space="preserve"> 42.614,63</t>
  </si>
  <si>
    <t xml:space="preserve"> 2,84</t>
  </si>
  <si>
    <t xml:space="preserve"> 32,45</t>
  </si>
  <si>
    <t xml:space="preserve"> 767,41</t>
  </si>
  <si>
    <t xml:space="preserve"> 39.329,76</t>
  </si>
  <si>
    <t xml:space="preserve"> 2,62</t>
  </si>
  <si>
    <t xml:space="preserve"> 35,07</t>
  </si>
  <si>
    <t xml:space="preserve"> 47,94</t>
  </si>
  <si>
    <t xml:space="preserve"> 35.884,05</t>
  </si>
  <si>
    <t xml:space="preserve"> 2,39</t>
  </si>
  <si>
    <t xml:space="preserve"> 37,47</t>
  </si>
  <si>
    <t xml:space="preserve"> 2,27</t>
  </si>
  <si>
    <t xml:space="preserve"> 39,74</t>
  </si>
  <si>
    <t xml:space="preserve"> 4,42</t>
  </si>
  <si>
    <t xml:space="preserve"> 29.614,00</t>
  </si>
  <si>
    <t xml:space="preserve"> 1,98</t>
  </si>
  <si>
    <t xml:space="preserve"> 41,72</t>
  </si>
  <si>
    <t xml:space="preserve"> 577,23</t>
  </si>
  <si>
    <t xml:space="preserve"> 27.891,75</t>
  </si>
  <si>
    <t xml:space="preserve"> 1,86</t>
  </si>
  <si>
    <t xml:space="preserve"> 43,58</t>
  </si>
  <si>
    <t xml:space="preserve"> 328,52</t>
  </si>
  <si>
    <t xml:space="preserve"> 26.255,32</t>
  </si>
  <si>
    <t xml:space="preserve"> 1,75</t>
  </si>
  <si>
    <t xml:space="preserve"> 45,33</t>
  </si>
  <si>
    <t xml:space="preserve"> 17,27</t>
  </si>
  <si>
    <t xml:space="preserve"> 26.082,02</t>
  </si>
  <si>
    <t xml:space="preserve"> 47,07</t>
  </si>
  <si>
    <t xml:space="preserve"> 12.516,83</t>
  </si>
  <si>
    <t xml:space="preserve"> 25.033,66</t>
  </si>
  <si>
    <t xml:space="preserve"> 48,74</t>
  </si>
  <si>
    <t xml:space="preserve"> 248,77</t>
  </si>
  <si>
    <t xml:space="preserve"> 23.672,95</t>
  </si>
  <si>
    <t xml:space="preserve"> 50,32</t>
  </si>
  <si>
    <t xml:space="preserve"> 140,17</t>
  </si>
  <si>
    <t xml:space="preserve"> 22.581,39</t>
  </si>
  <si>
    <t xml:space="preserve"> 51,82</t>
  </si>
  <si>
    <t xml:space="preserve"> 488,60</t>
  </si>
  <si>
    <t xml:space="preserve"> 22.197,10</t>
  </si>
  <si>
    <t xml:space="preserve"> 1,48</t>
  </si>
  <si>
    <t xml:space="preserve"> 53,30</t>
  </si>
  <si>
    <t xml:space="preserve"> 54,74</t>
  </si>
  <si>
    <t xml:space="preserve"> 11,76</t>
  </si>
  <si>
    <t xml:space="preserve"> 21.168,00</t>
  </si>
  <si>
    <t xml:space="preserve"> 1,41</t>
  </si>
  <si>
    <t xml:space="preserve"> 56,15</t>
  </si>
  <si>
    <t xml:space="preserve"> 726,47</t>
  </si>
  <si>
    <t xml:space="preserve"> 18.524,99</t>
  </si>
  <si>
    <t xml:space="preserve"> 57,39</t>
  </si>
  <si>
    <t xml:space="preserve"> 292,08</t>
  </si>
  <si>
    <t xml:space="preserve"> 18.006,73</t>
  </si>
  <si>
    <t xml:space="preserve"> 1,20</t>
  </si>
  <si>
    <t xml:space="preserve"> 58,59</t>
  </si>
  <si>
    <t xml:space="preserve"> 16.279,01</t>
  </si>
  <si>
    <t xml:space="preserve"> 59,68</t>
  </si>
  <si>
    <t xml:space="preserve"> 115,60</t>
  </si>
  <si>
    <t xml:space="preserve"> 16.086,90</t>
  </si>
  <si>
    <t xml:space="preserve"> 1,07</t>
  </si>
  <si>
    <t xml:space="preserve"> 60,75</t>
  </si>
  <si>
    <t xml:space="preserve"> 23,63</t>
  </si>
  <si>
    <t xml:space="preserve"> 15.687,72</t>
  </si>
  <si>
    <t xml:space="preserve"> 61,80</t>
  </si>
  <si>
    <t xml:space="preserve"> 3.356,45</t>
  </si>
  <si>
    <t xml:space="preserve"> 15.506,80</t>
  </si>
  <si>
    <t xml:space="preserve"> 1,03</t>
  </si>
  <si>
    <t xml:space="preserve"> 62,83</t>
  </si>
  <si>
    <t xml:space="preserve"> 15,14</t>
  </si>
  <si>
    <t xml:space="preserve"> 14.673,99</t>
  </si>
  <si>
    <t xml:space="preserve"> 63,81</t>
  </si>
  <si>
    <t xml:space="preserve"> 951,12</t>
  </si>
  <si>
    <t xml:space="preserve"> 13.315,68</t>
  </si>
  <si>
    <t xml:space="preserve"> 64,70</t>
  </si>
  <si>
    <t xml:space="preserve"> 7,37</t>
  </si>
  <si>
    <t xml:space="preserve"> 13.242,42</t>
  </si>
  <si>
    <t xml:space="preserve"> 65,58</t>
  </si>
  <si>
    <t xml:space="preserve"> 55,91</t>
  </si>
  <si>
    <t xml:space="preserve"> 12.967,21</t>
  </si>
  <si>
    <t xml:space="preserve"> 66,44</t>
  </si>
  <si>
    <t xml:space="preserve"> 642,18</t>
  </si>
  <si>
    <t xml:space="preserve"> 12.843,60</t>
  </si>
  <si>
    <t xml:space="preserve"> 67,30</t>
  </si>
  <si>
    <t xml:space="preserve"> 83,51</t>
  </si>
  <si>
    <t xml:space="preserve"> 12.275,97</t>
  </si>
  <si>
    <t xml:space="preserve"> 68,12</t>
  </si>
  <si>
    <t xml:space="preserve"> 27,65</t>
  </si>
  <si>
    <t xml:space="preserve"> 11.720,01</t>
  </si>
  <si>
    <t xml:space="preserve"> 68,90</t>
  </si>
  <si>
    <t xml:space="preserve"> 71,58</t>
  </si>
  <si>
    <t xml:space="preserve"> 11.119,95</t>
  </si>
  <si>
    <t xml:space="preserve"> 141,33</t>
  </si>
  <si>
    <t xml:space="preserve"> 10.611,06</t>
  </si>
  <si>
    <t xml:space="preserve"> 70,35</t>
  </si>
  <si>
    <t xml:space="preserve"> 170,83</t>
  </si>
  <si>
    <t xml:space="preserve"> 10.565,84</t>
  </si>
  <si>
    <t xml:space="preserve"> 71,06</t>
  </si>
  <si>
    <t xml:space="preserve"> 131,59</t>
  </si>
  <si>
    <t xml:space="preserve"> 10.502,20</t>
  </si>
  <si>
    <t xml:space="preserve"> 71,76</t>
  </si>
  <si>
    <t xml:space="preserve"> 78,46</t>
  </si>
  <si>
    <t xml:space="preserve"> 10.356,72</t>
  </si>
  <si>
    <t xml:space="preserve"> 72,45</t>
  </si>
  <si>
    <t xml:space="preserve"> 49,46</t>
  </si>
  <si>
    <t xml:space="preserve"> 10.028,02</t>
  </si>
  <si>
    <t xml:space="preserve"> 73,12</t>
  </si>
  <si>
    <t xml:space="preserve"> 1.008,21</t>
  </si>
  <si>
    <t xml:space="preserve"> 9.890,54</t>
  </si>
  <si>
    <t xml:space="preserve"> 73,78</t>
  </si>
  <si>
    <t xml:space="preserve"> 0,65</t>
  </si>
  <si>
    <t xml:space="preserve"> 74,43</t>
  </si>
  <si>
    <t xml:space="preserve"> 69,30</t>
  </si>
  <si>
    <t xml:space="preserve"> 9.549,54</t>
  </si>
  <si>
    <t xml:space="preserve"> 75,07</t>
  </si>
  <si>
    <t xml:space="preserve"> 4,63</t>
  </si>
  <si>
    <t xml:space="preserve"> 9.062,30</t>
  </si>
  <si>
    <t xml:space="preserve"> 75,67</t>
  </si>
  <si>
    <t xml:space="preserve"> 49,99</t>
  </si>
  <si>
    <t xml:space="preserve"> 9.018,20</t>
  </si>
  <si>
    <t xml:space="preserve"> 76,27</t>
  </si>
  <si>
    <t xml:space="preserve"> 1.100,52</t>
  </si>
  <si>
    <t xml:space="preserve"> 8.804,16</t>
  </si>
  <si>
    <t xml:space="preserve"> 76,86</t>
  </si>
  <si>
    <t xml:space="preserve"> 429,98</t>
  </si>
  <si>
    <t xml:space="preserve"> 8.599,60</t>
  </si>
  <si>
    <t xml:space="preserve"> 0,57</t>
  </si>
  <si>
    <t xml:space="preserve"> 77,43</t>
  </si>
  <si>
    <t xml:space="preserve"> 231,75</t>
  </si>
  <si>
    <t xml:space="preserve"> 8.343,00</t>
  </si>
  <si>
    <t xml:space="preserve"> 77,99</t>
  </si>
  <si>
    <t xml:space="preserve"> 78,52</t>
  </si>
  <si>
    <t xml:space="preserve"> 67,68</t>
  </si>
  <si>
    <t xml:space="preserve"> 7.528,05</t>
  </si>
  <si>
    <t xml:space="preserve"> 79,02</t>
  </si>
  <si>
    <t xml:space="preserve"> 7,47</t>
  </si>
  <si>
    <t xml:space="preserve"> 7.395,30</t>
  </si>
  <si>
    <t xml:space="preserve"> 79,51</t>
  </si>
  <si>
    <t xml:space="preserve"> 107,20</t>
  </si>
  <si>
    <t xml:space="preserve"> 7.211,34</t>
  </si>
  <si>
    <t xml:space="preserve"> 79,99</t>
  </si>
  <si>
    <t xml:space="preserve"> 104,15</t>
  </si>
  <si>
    <t xml:space="preserve"> 7.057,20</t>
  </si>
  <si>
    <t xml:space="preserve"> 80,47</t>
  </si>
  <si>
    <t xml:space="preserve"> 77,42</t>
  </si>
  <si>
    <t xml:space="preserve"> 7.045,99</t>
  </si>
  <si>
    <t xml:space="preserve"> 80,94</t>
  </si>
  <si>
    <t xml:space="preserve"> 69,86</t>
  </si>
  <si>
    <t xml:space="preserve"> 6.986,00</t>
  </si>
  <si>
    <t xml:space="preserve"> 81,40</t>
  </si>
  <si>
    <t xml:space="preserve"> 1.123,65</t>
  </si>
  <si>
    <t xml:space="preserve"> 6.741,90</t>
  </si>
  <si>
    <t xml:space="preserve"> 81,85</t>
  </si>
  <si>
    <t xml:space="preserve"> 136,72</t>
  </si>
  <si>
    <t xml:space="preserve"> 6.656,90</t>
  </si>
  <si>
    <t xml:space="preserve"> 82,30</t>
  </si>
  <si>
    <t xml:space="preserve"> 690,75</t>
  </si>
  <si>
    <t xml:space="preserve"> 6.493,05</t>
  </si>
  <si>
    <t xml:space="preserve"> 82,73</t>
  </si>
  <si>
    <t xml:space="preserve"> 369,20</t>
  </si>
  <si>
    <t xml:space="preserve"> 6.276,40</t>
  </si>
  <si>
    <t xml:space="preserve"> 83,15</t>
  </si>
  <si>
    <t xml:space="preserve"> 5.744,71</t>
  </si>
  <si>
    <t xml:space="preserve"> 83,53</t>
  </si>
  <si>
    <t xml:space="preserve"> 133,36</t>
  </si>
  <si>
    <t xml:space="preserve"> 5.347,74</t>
  </si>
  <si>
    <t xml:space="preserve"> 83,89</t>
  </si>
  <si>
    <t xml:space="preserve"> 42,37</t>
  </si>
  <si>
    <t xml:space="preserve"> 5.296,25</t>
  </si>
  <si>
    <t xml:space="preserve"> 84,24</t>
  </si>
  <si>
    <t xml:space="preserve"> 13,82</t>
  </si>
  <si>
    <t xml:space="preserve"> 5.177,94</t>
  </si>
  <si>
    <t xml:space="preserve"> 84,59</t>
  </si>
  <si>
    <t xml:space="preserve"> 115,73</t>
  </si>
  <si>
    <t xml:space="preserve"> 4.894,22</t>
  </si>
  <si>
    <t xml:space="preserve"> 977,55</t>
  </si>
  <si>
    <t xml:space="preserve"> 4.887,75</t>
  </si>
  <si>
    <t xml:space="preserve"> 85,58</t>
  </si>
  <si>
    <t xml:space="preserve"> 84,22</t>
  </si>
  <si>
    <t xml:space="preserve"> 4.677,58</t>
  </si>
  <si>
    <t xml:space="preserve"> 16,41</t>
  </si>
  <si>
    <t xml:space="preserve"> 4.578,88</t>
  </si>
  <si>
    <t xml:space="preserve"> 66,05</t>
  </si>
  <si>
    <t xml:space="preserve"> 4.507,91</t>
  </si>
  <si>
    <t xml:space="preserve"> 1.124,06</t>
  </si>
  <si>
    <t xml:space="preserve"> 4.496,24</t>
  </si>
  <si>
    <t xml:space="preserve"> 78,06</t>
  </si>
  <si>
    <t xml:space="preserve"> 4.399,46</t>
  </si>
  <si>
    <t xml:space="preserve"> 52,47</t>
  </si>
  <si>
    <t xml:space="preserve"> 4.287,32</t>
  </si>
  <si>
    <t xml:space="preserve"> 221,82</t>
  </si>
  <si>
    <t xml:space="preserve"> 4.214,58</t>
  </si>
  <si>
    <t xml:space="preserve"> 15,76</t>
  </si>
  <si>
    <t xml:space="preserve"> 4.197,36</t>
  </si>
  <si>
    <t xml:space="preserve"> 40,22</t>
  </si>
  <si>
    <t xml:space="preserve"> 4.142,66</t>
  </si>
  <si>
    <t xml:space="preserve"> 3.882,38</t>
  </si>
  <si>
    <t xml:space="preserve"> 3.881,09</t>
  </si>
  <si>
    <t xml:space="preserve"> 747,43</t>
  </si>
  <si>
    <t xml:space="preserve"> 3.737,15</t>
  </si>
  <si>
    <t xml:space="preserve"> 89,22</t>
  </si>
  <si>
    <t xml:space="preserve"> 3.618,48</t>
  </si>
  <si>
    <t xml:space="preserve"> 89,46</t>
  </si>
  <si>
    <t xml:space="preserve"> 513,73</t>
  </si>
  <si>
    <t xml:space="preserve"> 3.596,11</t>
  </si>
  <si>
    <t xml:space="preserve"> 89,70</t>
  </si>
  <si>
    <t xml:space="preserve"> 178,40</t>
  </si>
  <si>
    <t xml:space="preserve"> 3.568,00</t>
  </si>
  <si>
    <t xml:space="preserve"> 89,94</t>
  </si>
  <si>
    <t xml:space="preserve"> 6,07</t>
  </si>
  <si>
    <t xml:space="preserve"> 3.357,13</t>
  </si>
  <si>
    <t xml:space="preserve"> 90,16</t>
  </si>
  <si>
    <t xml:space="preserve"> 3.223,09</t>
  </si>
  <si>
    <t xml:space="preserve"> 90,38</t>
  </si>
  <si>
    <t xml:space="preserve"> 24,25</t>
  </si>
  <si>
    <t xml:space="preserve"> 3.177,48</t>
  </si>
  <si>
    <t xml:space="preserve"> 90,59</t>
  </si>
  <si>
    <t xml:space="preserve"> 14,11</t>
  </si>
  <si>
    <t xml:space="preserve"> 3.162,05</t>
  </si>
  <si>
    <t xml:space="preserve"> 90,80</t>
  </si>
  <si>
    <t xml:space="preserve"> 3,35</t>
  </si>
  <si>
    <t xml:space="preserve"> 3.038,95</t>
  </si>
  <si>
    <t xml:space="preserve"> 91,00</t>
  </si>
  <si>
    <t xml:space="preserve"> 28,76</t>
  </si>
  <si>
    <t xml:space="preserve"> 2.962,28</t>
  </si>
  <si>
    <t xml:space="preserve"> 91,20</t>
  </si>
  <si>
    <t xml:space="preserve"> 91,39</t>
  </si>
  <si>
    <t xml:space="preserve"> 47,66</t>
  </si>
  <si>
    <t xml:space="preserve"> 2.859,60</t>
  </si>
  <si>
    <t xml:space="preserve"> 237,72</t>
  </si>
  <si>
    <t xml:space="preserve"> 2.852,64</t>
  </si>
  <si>
    <t xml:space="preserve"> 91,78</t>
  </si>
  <si>
    <t xml:space="preserve"> 91,97</t>
  </si>
  <si>
    <t xml:space="preserve"> 185,95</t>
  </si>
  <si>
    <t xml:space="preserve"> 2.789,25</t>
  </si>
  <si>
    <t xml:space="preserve"> 92,15</t>
  </si>
  <si>
    <t xml:space="preserve"> 27,88</t>
  </si>
  <si>
    <t xml:space="preserve"> 2.788,00</t>
  </si>
  <si>
    <t xml:space="preserve"> 92,34</t>
  </si>
  <si>
    <t xml:space="preserve"> 67,58</t>
  </si>
  <si>
    <t xml:space="preserve"> 2.715,36</t>
  </si>
  <si>
    <t xml:space="preserve"> 92,52</t>
  </si>
  <si>
    <t xml:space="preserve"> 673,14</t>
  </si>
  <si>
    <t xml:space="preserve"> 2.692,56</t>
  </si>
  <si>
    <t xml:space="preserve"> 92,70</t>
  </si>
  <si>
    <t xml:space="preserve"> 14,60</t>
  </si>
  <si>
    <t xml:space="preserve"> 2.555,00</t>
  </si>
  <si>
    <t xml:space="preserve"> 92,87</t>
  </si>
  <si>
    <t xml:space="preserve"> 76,99</t>
  </si>
  <si>
    <t xml:space="preserve"> 2.344,35</t>
  </si>
  <si>
    <t xml:space="preserve"> 93,02</t>
  </si>
  <si>
    <t xml:space="preserve"> 611,39</t>
  </si>
  <si>
    <t xml:space="preserve"> 2.201,00</t>
  </si>
  <si>
    <t xml:space="preserve"> 93,17</t>
  </si>
  <si>
    <t xml:space="preserve"> 730,14</t>
  </si>
  <si>
    <t xml:space="preserve"> 2.190,42</t>
  </si>
  <si>
    <t xml:space="preserve"> 93,32</t>
  </si>
  <si>
    <t xml:space="preserve"> 22,97</t>
  </si>
  <si>
    <t xml:space="preserve"> 2.159,18</t>
  </si>
  <si>
    <t xml:space="preserve"> 93,46</t>
  </si>
  <si>
    <t xml:space="preserve"> 48,49</t>
  </si>
  <si>
    <t xml:space="preserve"> 2.158,77</t>
  </si>
  <si>
    <t xml:space="preserve"> 93,61</t>
  </si>
  <si>
    <t xml:space="preserve"> 164,52</t>
  </si>
  <si>
    <t xml:space="preserve"> 2.138,76</t>
  </si>
  <si>
    <t xml:space="preserve"> 93,75</t>
  </si>
  <si>
    <t xml:space="preserve"> 41,91</t>
  </si>
  <si>
    <t xml:space="preserve"> 2.095,50</t>
  </si>
  <si>
    <t xml:space="preserve"> 93,89</t>
  </si>
  <si>
    <t xml:space="preserve"> 520,61</t>
  </si>
  <si>
    <t xml:space="preserve"> 2.082,44</t>
  </si>
  <si>
    <t xml:space="preserve"> 94,03</t>
  </si>
  <si>
    <t xml:space="preserve"> 170,30</t>
  </si>
  <si>
    <t xml:space="preserve"> 2.043,60</t>
  </si>
  <si>
    <t xml:space="preserve"> 94,16</t>
  </si>
  <si>
    <t xml:space="preserve"> 566,20</t>
  </si>
  <si>
    <t xml:space="preserve"> 2.038,32</t>
  </si>
  <si>
    <t xml:space="preserve"> 94,30</t>
  </si>
  <si>
    <t xml:space="preserve"> 94,44</t>
  </si>
  <si>
    <t xml:space="preserve"> 16,89</t>
  </si>
  <si>
    <t xml:space="preserve"> 1.993,02</t>
  </si>
  <si>
    <t xml:space="preserve"> 94,57</t>
  </si>
  <si>
    <t xml:space="preserve"> 94,70</t>
  </si>
  <si>
    <t xml:space="preserve"> 15,48</t>
  </si>
  <si>
    <t xml:space="preserve"> 1.857,60</t>
  </si>
  <si>
    <t xml:space="preserve"> 94,82</t>
  </si>
  <si>
    <t xml:space="preserve"> 258,92</t>
  </si>
  <si>
    <t xml:space="preserve"> 1.812,44</t>
  </si>
  <si>
    <t xml:space="preserve"> 94,94</t>
  </si>
  <si>
    <t xml:space="preserve"> 95,06</t>
  </si>
  <si>
    <t xml:space="preserve"> 14,33</t>
  </si>
  <si>
    <t xml:space="preserve"> 1.789,82</t>
  </si>
  <si>
    <t xml:space="preserve"> 95,18</t>
  </si>
  <si>
    <t xml:space="preserve"> 182,38</t>
  </si>
  <si>
    <t xml:space="preserve"> 1.685,19</t>
  </si>
  <si>
    <t xml:space="preserve"> 95,30</t>
  </si>
  <si>
    <t xml:space="preserve"> 842,57</t>
  </si>
  <si>
    <t xml:space="preserve"> 1.685,14</t>
  </si>
  <si>
    <t xml:space="preserve"> 95,41</t>
  </si>
  <si>
    <t xml:space="preserve"> 157,68</t>
  </si>
  <si>
    <t xml:space="preserve"> 1.616,22</t>
  </si>
  <si>
    <t xml:space="preserve"> 95,52</t>
  </si>
  <si>
    <t xml:space="preserve"> 134,61</t>
  </si>
  <si>
    <t xml:space="preserve"> 1.615,32</t>
  </si>
  <si>
    <t xml:space="preserve"> 95,62</t>
  </si>
  <si>
    <t xml:space="preserve"> 95,73</t>
  </si>
  <si>
    <t xml:space="preserve"> 14,24</t>
  </si>
  <si>
    <t xml:space="preserve"> 1.570,67</t>
  </si>
  <si>
    <t xml:space="preserve"> 95,83</t>
  </si>
  <si>
    <t xml:space="preserve"> 146,48</t>
  </si>
  <si>
    <t xml:space="preserve"> 1.464,80</t>
  </si>
  <si>
    <t xml:space="preserve"> 95,93</t>
  </si>
  <si>
    <t xml:space="preserve"> 17,16</t>
  </si>
  <si>
    <t xml:space="preserve"> 1.376,23</t>
  </si>
  <si>
    <t xml:space="preserve"> 96,02</t>
  </si>
  <si>
    <t xml:space="preserve"> 681,95</t>
  </si>
  <si>
    <t xml:space="preserve"> 1.363,90</t>
  </si>
  <si>
    <t xml:space="preserve"> 96,12</t>
  </si>
  <si>
    <t xml:space="preserve"> 451,96</t>
  </si>
  <si>
    <t xml:space="preserve"> 1.355,88</t>
  </si>
  <si>
    <t xml:space="preserve"> 96,21</t>
  </si>
  <si>
    <t xml:space="preserve"> 33,76</t>
  </si>
  <si>
    <t xml:space="preserve"> 1.350,40</t>
  </si>
  <si>
    <t xml:space="preserve"> 96,30</t>
  </si>
  <si>
    <t xml:space="preserve"> 24,64</t>
  </si>
  <si>
    <t xml:space="preserve"> 1.330,56</t>
  </si>
  <si>
    <t xml:space="preserve"> 96,38</t>
  </si>
  <si>
    <t xml:space="preserve"> 73,40</t>
  </si>
  <si>
    <t xml:space="preserve"> 1.321,20</t>
  </si>
  <si>
    <t xml:space="preserve"> 96,47</t>
  </si>
  <si>
    <t xml:space="preserve"> 7,77</t>
  </si>
  <si>
    <t xml:space="preserve"> 1.320,90</t>
  </si>
  <si>
    <t xml:space="preserve"> 96,56</t>
  </si>
  <si>
    <t xml:space="preserve"> 96,65</t>
  </si>
  <si>
    <t xml:space="preserve"> 26,70</t>
  </si>
  <si>
    <t xml:space="preserve"> 1.281,60</t>
  </si>
  <si>
    <t xml:space="preserve"> 96,73</t>
  </si>
  <si>
    <t xml:space="preserve"> 96,82</t>
  </si>
  <si>
    <t xml:space="preserve"> 63,02</t>
  </si>
  <si>
    <t xml:space="preserve"> 1.260,40</t>
  </si>
  <si>
    <t xml:space="preserve"> 96,90</t>
  </si>
  <si>
    <t xml:space="preserve"> 1.250,93</t>
  </si>
  <si>
    <t xml:space="preserve"> 96,99</t>
  </si>
  <si>
    <t xml:space="preserve"> 1.245,73</t>
  </si>
  <si>
    <t xml:space="preserve"> 97,07</t>
  </si>
  <si>
    <t xml:space="preserve"> 8,81</t>
  </si>
  <si>
    <t xml:space="preserve"> 1.189,35</t>
  </si>
  <si>
    <t xml:space="preserve"> 97,15</t>
  </si>
  <si>
    <t xml:space="preserve"> 233,32</t>
  </si>
  <si>
    <t xml:space="preserve"> 1.166,60</t>
  </si>
  <si>
    <t xml:space="preserve"> 97,23</t>
  </si>
  <si>
    <t xml:space="preserve"> 57,91</t>
  </si>
  <si>
    <t xml:space="preserve"> 1.158,20</t>
  </si>
  <si>
    <t xml:space="preserve"> 97,30</t>
  </si>
  <si>
    <t xml:space="preserve"> 191,56</t>
  </si>
  <si>
    <t xml:space="preserve"> 1.070,82</t>
  </si>
  <si>
    <t xml:space="preserve"> 588,62</t>
  </si>
  <si>
    <t xml:space="preserve"> 1.059,52</t>
  </si>
  <si>
    <t xml:space="preserve"> 34,54</t>
  </si>
  <si>
    <t xml:space="preserve"> 1.036,20</t>
  </si>
  <si>
    <t xml:space="preserve"> 342,81</t>
  </si>
  <si>
    <t xml:space="preserve"> 1.028,43</t>
  </si>
  <si>
    <t xml:space="preserve"> 97,58</t>
  </si>
  <si>
    <t xml:space="preserve"> 45,09</t>
  </si>
  <si>
    <t xml:space="preserve"> 991,98</t>
  </si>
  <si>
    <t xml:space="preserve"> 38,41</t>
  </si>
  <si>
    <t xml:space="preserve"> 960,25</t>
  </si>
  <si>
    <t xml:space="preserve"> 97,71</t>
  </si>
  <si>
    <t xml:space="preserve"> 18,64</t>
  </si>
  <si>
    <t xml:space="preserve"> 946,54</t>
  </si>
  <si>
    <t xml:space="preserve"> 24,45</t>
  </si>
  <si>
    <t xml:space="preserve"> 929,10</t>
  </si>
  <si>
    <t xml:space="preserve"> 548,06</t>
  </si>
  <si>
    <t xml:space="preserve"> 915,26</t>
  </si>
  <si>
    <t xml:space="preserve"> 97,96</t>
  </si>
  <si>
    <t xml:space="preserve"> 14,06</t>
  </si>
  <si>
    <t xml:space="preserve"> 912,49</t>
  </si>
  <si>
    <t xml:space="preserve"> 910,52</t>
  </si>
  <si>
    <t xml:space="preserve"> 13,21</t>
  </si>
  <si>
    <t xml:space="preserve"> 901,58</t>
  </si>
  <si>
    <t xml:space="preserve"> 98,15</t>
  </si>
  <si>
    <t xml:space="preserve"> 83,43</t>
  </si>
  <si>
    <t xml:space="preserve"> 834,30</t>
  </si>
  <si>
    <t xml:space="preserve"> 416,74</t>
  </si>
  <si>
    <t xml:space="preserve"> 833,48</t>
  </si>
  <si>
    <t xml:space="preserve"> 98,26</t>
  </si>
  <si>
    <t xml:space="preserve"> 21,60</t>
  </si>
  <si>
    <t xml:space="preserve"> 820,80</t>
  </si>
  <si>
    <t xml:space="preserve"> 98,37</t>
  </si>
  <si>
    <t xml:space="preserve"> 14,97</t>
  </si>
  <si>
    <t xml:space="preserve"> 778,44</t>
  </si>
  <si>
    <t xml:space="preserve"> 98,42</t>
  </si>
  <si>
    <t xml:space="preserve"> 106,37</t>
  </si>
  <si>
    <t xml:space="preserve"> 744,59</t>
  </si>
  <si>
    <t xml:space="preserve"> 98,47</t>
  </si>
  <si>
    <t xml:space="preserve"> 744,16</t>
  </si>
  <si>
    <t xml:space="preserve"> 98,52</t>
  </si>
  <si>
    <t xml:space="preserve"> 67,19</t>
  </si>
  <si>
    <t xml:space="preserve"> 739,09</t>
  </si>
  <si>
    <t xml:space="preserve"> 98,57</t>
  </si>
  <si>
    <t xml:space="preserve"> 77,82</t>
  </si>
  <si>
    <t xml:space="preserve"> 700,38</t>
  </si>
  <si>
    <t xml:space="preserve"> 16,62</t>
  </si>
  <si>
    <t xml:space="preserve"> 698,04</t>
  </si>
  <si>
    <t xml:space="preserve"> 231,45</t>
  </si>
  <si>
    <t xml:space="preserve"> 694,35</t>
  </si>
  <si>
    <t xml:space="preserve"> 98,71</t>
  </si>
  <si>
    <t xml:space="preserve"> 21,29</t>
  </si>
  <si>
    <t xml:space="preserve"> 638,70</t>
  </si>
  <si>
    <t xml:space="preserve"> 98,79</t>
  </si>
  <si>
    <t xml:space="preserve"> 14,68</t>
  </si>
  <si>
    <t xml:space="preserve"> 587,20</t>
  </si>
  <si>
    <t xml:space="preserve"> 98,83</t>
  </si>
  <si>
    <t xml:space="preserve"> 43,51</t>
  </si>
  <si>
    <t xml:space="preserve"> 536,48</t>
  </si>
  <si>
    <t xml:space="preserve"> 523,13</t>
  </si>
  <si>
    <t xml:space="preserve"> 98,90</t>
  </si>
  <si>
    <t xml:space="preserve"> 38,65</t>
  </si>
  <si>
    <t xml:space="preserve"> 483,13</t>
  </si>
  <si>
    <t xml:space="preserve"> 99,03</t>
  </si>
  <si>
    <t xml:space="preserve"> 113,10</t>
  </si>
  <si>
    <t xml:space="preserve"> 452,40</t>
  </si>
  <si>
    <t xml:space="preserve"> 222,56</t>
  </si>
  <si>
    <t xml:space="preserve"> 445,12</t>
  </si>
  <si>
    <t xml:space="preserve"> 421,21</t>
  </si>
  <si>
    <t xml:space="preserve"> 99,15</t>
  </si>
  <si>
    <t xml:space="preserve"> 419,78</t>
  </si>
  <si>
    <t xml:space="preserve"> 5,02</t>
  </si>
  <si>
    <t xml:space="preserve"> 412,54</t>
  </si>
  <si>
    <t xml:space="preserve"> 407,28</t>
  </si>
  <si>
    <t xml:space="preserve"> 35,48</t>
  </si>
  <si>
    <t xml:space="preserve"> 404,47</t>
  </si>
  <si>
    <t xml:space="preserve"> 99,26</t>
  </si>
  <si>
    <t xml:space="preserve"> 13,91</t>
  </si>
  <si>
    <t xml:space="preserve"> 403,39</t>
  </si>
  <si>
    <t xml:space="preserve"> 49,15</t>
  </si>
  <si>
    <t xml:space="preserve"> 393,20</t>
  </si>
  <si>
    <t xml:space="preserve"> 391,74</t>
  </si>
  <si>
    <t xml:space="preserve"> 349,08</t>
  </si>
  <si>
    <t xml:space="preserve"> 346,07</t>
  </si>
  <si>
    <t xml:space="preserve"> 32,42</t>
  </si>
  <si>
    <t xml:space="preserve"> 340,41</t>
  </si>
  <si>
    <t xml:space="preserve"> 112,05</t>
  </si>
  <si>
    <t xml:space="preserve"> 336,15</t>
  </si>
  <si>
    <t xml:space="preserve"> 20,46</t>
  </si>
  <si>
    <t xml:space="preserve"> 334,11</t>
  </si>
  <si>
    <t xml:space="preserve"> 111,21</t>
  </si>
  <si>
    <t xml:space="preserve"> 333,63</t>
  </si>
  <si>
    <t xml:space="preserve"> 6,62</t>
  </si>
  <si>
    <t xml:space="preserve"> 331,00</t>
  </si>
  <si>
    <t xml:space="preserve"> 13,63</t>
  </si>
  <si>
    <t xml:space="preserve"> 327,12</t>
  </si>
  <si>
    <t xml:space="preserve"> 13,43</t>
  </si>
  <si>
    <t xml:space="preserve"> 324,33</t>
  </si>
  <si>
    <t xml:space="preserve"> 107,78</t>
  </si>
  <si>
    <t xml:space="preserve"> 323,34</t>
  </si>
  <si>
    <t xml:space="preserve"> 305,49</t>
  </si>
  <si>
    <t xml:space="preserve"> 97,41</t>
  </si>
  <si>
    <t xml:space="preserve"> 292,23</t>
  </si>
  <si>
    <t xml:space="preserve"> 16,72</t>
  </si>
  <si>
    <t xml:space="preserve"> 282,57</t>
  </si>
  <si>
    <t xml:space="preserve"> 280,53</t>
  </si>
  <si>
    <t xml:space="preserve"> 99,64</t>
  </si>
  <si>
    <t xml:space="preserve"> 6,33</t>
  </si>
  <si>
    <t xml:space="preserve"> 278,52</t>
  </si>
  <si>
    <t xml:space="preserve"> 30,33</t>
  </si>
  <si>
    <t xml:space="preserve"> 249,31</t>
  </si>
  <si>
    <t xml:space="preserve"> 120,63</t>
  </si>
  <si>
    <t xml:space="preserve"> 241,26</t>
  </si>
  <si>
    <t xml:space="preserve"> 68,00</t>
  </si>
  <si>
    <t xml:space="preserve"> 204,00</t>
  </si>
  <si>
    <t xml:space="preserve"> 199,94</t>
  </si>
  <si>
    <t xml:space="preserve"> 193,30</t>
  </si>
  <si>
    <t xml:space="preserve"> 61,44</t>
  </si>
  <si>
    <t xml:space="preserve"> 184,32</t>
  </si>
  <si>
    <t xml:space="preserve"> 46,84</t>
  </si>
  <si>
    <t xml:space="preserve"> 168,62</t>
  </si>
  <si>
    <t xml:space="preserve"> 38,60</t>
  </si>
  <si>
    <t xml:space="preserve"> 154,40</t>
  </si>
  <si>
    <t xml:space="preserve"> 7,11</t>
  </si>
  <si>
    <t xml:space="preserve"> 142,20</t>
  </si>
  <si>
    <t xml:space="preserve"> 137,92</t>
  </si>
  <si>
    <t xml:space="preserve"> 34,35</t>
  </si>
  <si>
    <t xml:space="preserve"> 137,40</t>
  </si>
  <si>
    <t xml:space="preserve"> 136,81</t>
  </si>
  <si>
    <t xml:space="preserve"> 26,52</t>
  </si>
  <si>
    <t xml:space="preserve"> 132,60</t>
  </si>
  <si>
    <t xml:space="preserve"> 5,72</t>
  </si>
  <si>
    <t xml:space="preserve"> 125,84</t>
  </si>
  <si>
    <t xml:space="preserve"> 10,14</t>
  </si>
  <si>
    <t xml:space="preserve"> 121,68</t>
  </si>
  <si>
    <t xml:space="preserve"> 112,88</t>
  </si>
  <si>
    <t xml:space="preserve"> 52,75</t>
  </si>
  <si>
    <t xml:space="preserve"> 105,50</t>
  </si>
  <si>
    <t xml:space="preserve"> 24,60</t>
  </si>
  <si>
    <t xml:space="preserve"> 98,40</t>
  </si>
  <si>
    <t xml:space="preserve"> 18,05</t>
  </si>
  <si>
    <t xml:space="preserve"> 98,19</t>
  </si>
  <si>
    <t xml:space="preserve"> 16,10</t>
  </si>
  <si>
    <t xml:space="preserve"> 96,60</t>
  </si>
  <si>
    <t xml:space="preserve"> 31,90</t>
  </si>
  <si>
    <t xml:space="preserve"> 95,70</t>
  </si>
  <si>
    <t xml:space="preserve"> 86,89</t>
  </si>
  <si>
    <t xml:space="preserve"> 26,13</t>
  </si>
  <si>
    <t xml:space="preserve"> 26,07</t>
  </si>
  <si>
    <t xml:space="preserve"> 78,21</t>
  </si>
  <si>
    <t xml:space="preserve"> 7,23</t>
  </si>
  <si>
    <t xml:space="preserve"> 72,30</t>
  </si>
  <si>
    <t xml:space="preserve"> 67,84</t>
  </si>
  <si>
    <t xml:space="preserve"> 63,29</t>
  </si>
  <si>
    <t xml:space="preserve"> 30,32</t>
  </si>
  <si>
    <t xml:space="preserve"> 60,64</t>
  </si>
  <si>
    <t xml:space="preserve"> 19,69</t>
  </si>
  <si>
    <t xml:space="preserve"> 59,07</t>
  </si>
  <si>
    <t xml:space="preserve"> 29,18</t>
  </si>
  <si>
    <t xml:space="preserve"> 58,36</t>
  </si>
  <si>
    <t xml:space="preserve"> 39,14</t>
  </si>
  <si>
    <t xml:space="preserve"> 9,66</t>
  </si>
  <si>
    <t xml:space="preserve"> 57,96</t>
  </si>
  <si>
    <t xml:space="preserve"> 43,67</t>
  </si>
  <si>
    <t xml:space="preserve"> 50,31</t>
  </si>
  <si>
    <t xml:space="preserve"> 49,44</t>
  </si>
  <si>
    <t xml:space="preserve"> 23,97</t>
  </si>
  <si>
    <t xml:space="preserve"> 23,27</t>
  </si>
  <si>
    <t xml:space="preserve"> 46,54</t>
  </si>
  <si>
    <t xml:space="preserve"> 43,81</t>
  </si>
  <si>
    <t xml:space="preserve"> 161,98</t>
  </si>
  <si>
    <t xml:space="preserve"> 43,73</t>
  </si>
  <si>
    <t xml:space="preserve"> 20,40</t>
  </si>
  <si>
    <t xml:space="preserve"> 40,80</t>
  </si>
  <si>
    <t xml:space="preserve"> 35,42</t>
  </si>
  <si>
    <t xml:space="preserve"> 8,54</t>
  </si>
  <si>
    <t xml:space="preserve"> 34,16</t>
  </si>
  <si>
    <t xml:space="preserve"> 7,63</t>
  </si>
  <si>
    <t xml:space="preserve"> 30,52</t>
  </si>
  <si>
    <t xml:space="preserve"> 27,97</t>
  </si>
  <si>
    <t xml:space="preserve"> 26,82</t>
  </si>
  <si>
    <t xml:space="preserve"> 12,24</t>
  </si>
  <si>
    <t xml:space="preserve"> 24,48</t>
  </si>
  <si>
    <t xml:space="preserve"> 22,46</t>
  </si>
  <si>
    <t xml:space="preserve"> 16,35</t>
  </si>
  <si>
    <t xml:space="preserve"> 12,19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</si>
</sst>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\ %"/>
    <numFmt numFmtId="165" formatCode="_(&quot;R$ &quot;* #,##0.00_);_(&quot;R$ &quot;* \(#,##0.00\);_(&quot;R$ &quot;* &quot;-&quot;??_);_(@_)"/>
    <numFmt numFmtId="166" formatCode="dd\ &quot;de&quot;\ mmmm\ &quot;de&quot;\ yyyy"/>
    <numFmt numFmtId="167" formatCode="#,##0.0000000"/>
    <numFmt numFmtId="168" formatCode="#,##0.0000"/>
    <numFmt numFmtId="169" formatCode="&quot;R$&quot;\ #,##0.00"/>
  </numFmts>
  <fonts count="23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name val="Arial"/>
      <family val="2"/>
    </font>
    <font>
      <sz val="9"/>
      <name val="Arial"/>
      <family val="1"/>
    </font>
    <font>
      <sz val="11"/>
      <name val="Arial"/>
      <family val="2"/>
    </font>
    <font>
      <sz val="12"/>
      <name val="Arial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u/>
      <sz val="15"/>
      <name val="Arial"/>
      <family val="2"/>
    </font>
    <font>
      <sz val="11"/>
      <color indexed="9"/>
      <name val="Arial"/>
      <family val="2"/>
    </font>
    <font>
      <b/>
      <sz val="11"/>
      <color indexed="12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FEFEF"/>
      </patternFill>
    </fill>
    <fill>
      <patternFill patternType="solid">
        <fgColor rgb="FFD6D6D6"/>
      </patternFill>
    </fill>
  </fills>
  <borders count="4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rgb="FFFF55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0" fontId="15" fillId="0" borderId="0"/>
    <xf numFmtId="165" fontId="11" fillId="0" borderId="0" applyFont="0" applyFill="0" applyBorder="0" applyAlignment="0" applyProtection="0"/>
  </cellStyleXfs>
  <cellXfs count="214">
    <xf numFmtId="0" fontId="0" fillId="0" borderId="0" xfId="0"/>
    <xf numFmtId="0" fontId="4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7" fillId="0" borderId="7" xfId="1" applyFont="1" applyBorder="1"/>
    <xf numFmtId="0" fontId="0" fillId="4" borderId="0" xfId="0" applyFill="1"/>
    <xf numFmtId="43" fontId="0" fillId="4" borderId="8" xfId="1" applyFont="1" applyFill="1" applyBorder="1"/>
    <xf numFmtId="43" fontId="0" fillId="4" borderId="9" xfId="1" applyFont="1" applyFill="1" applyBorder="1"/>
    <xf numFmtId="43" fontId="0" fillId="4" borderId="10" xfId="1" applyFont="1" applyFill="1" applyBorder="1"/>
    <xf numFmtId="43" fontId="7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43" fontId="7" fillId="0" borderId="5" xfId="1" applyFont="1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43" fontId="7" fillId="0" borderId="2" xfId="1" applyFont="1" applyBorder="1"/>
    <xf numFmtId="43" fontId="7" fillId="0" borderId="0" xfId="1" applyFont="1"/>
    <xf numFmtId="0" fontId="7" fillId="0" borderId="8" xfId="0" applyFont="1" applyBorder="1"/>
    <xf numFmtId="0" fontId="7" fillId="0" borderId="9" xfId="0" applyFont="1" applyBorder="1"/>
    <xf numFmtId="0" fontId="0" fillId="0" borderId="9" xfId="0" applyBorder="1"/>
    <xf numFmtId="43" fontId="7" fillId="0" borderId="9" xfId="1" applyFont="1" applyBorder="1"/>
    <xf numFmtId="0" fontId="7" fillId="0" borderId="10" xfId="0" applyFont="1" applyBorder="1"/>
    <xf numFmtId="43" fontId="7" fillId="0" borderId="6" xfId="1" applyFont="1" applyBorder="1"/>
    <xf numFmtId="0" fontId="7" fillId="0" borderId="2" xfId="0" applyFont="1" applyBorder="1"/>
    <xf numFmtId="0" fontId="0" fillId="0" borderId="8" xfId="0" applyBorder="1"/>
    <xf numFmtId="0" fontId="0" fillId="0" borderId="11" xfId="0" applyBorder="1"/>
    <xf numFmtId="43" fontId="0" fillId="0" borderId="0" xfId="0" applyNumberFormat="1"/>
    <xf numFmtId="0" fontId="0" fillId="0" borderId="0" xfId="0"/>
    <xf numFmtId="0" fontId="0" fillId="0" borderId="0" xfId="0"/>
    <xf numFmtId="0" fontId="9" fillId="0" borderId="7" xfId="0" applyFont="1" applyBorder="1"/>
    <xf numFmtId="0" fontId="0" fillId="0" borderId="14" xfId="0" applyBorder="1"/>
    <xf numFmtId="43" fontId="0" fillId="0" borderId="0" xfId="1" applyFont="1" applyBorder="1"/>
    <xf numFmtId="0" fontId="0" fillId="0" borderId="0" xfId="0" applyBorder="1"/>
    <xf numFmtId="0" fontId="0" fillId="0" borderId="15" xfId="0" applyBorder="1"/>
    <xf numFmtId="43" fontId="7" fillId="0" borderId="16" xfId="1" applyFont="1" applyBorder="1"/>
    <xf numFmtId="43" fontId="7" fillId="0" borderId="17" xfId="1" applyFont="1" applyBorder="1"/>
    <xf numFmtId="43" fontId="7" fillId="0" borderId="18" xfId="1" applyFont="1" applyBorder="1"/>
    <xf numFmtId="0" fontId="8" fillId="0" borderId="12" xfId="0" applyFont="1" applyBorder="1"/>
    <xf numFmtId="0" fontId="0" fillId="0" borderId="0" xfId="0"/>
    <xf numFmtId="0" fontId="5" fillId="3" borderId="0" xfId="0" applyFont="1" applyFill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4" fillId="2" borderId="29" xfId="0" applyFont="1" applyFill="1" applyBorder="1" applyAlignment="1">
      <alignment horizontal="right" vertical="top" wrapText="1"/>
    </xf>
    <xf numFmtId="0" fontId="0" fillId="0" borderId="0" xfId="0" applyFill="1"/>
    <xf numFmtId="0" fontId="11" fillId="0" borderId="0" xfId="2"/>
    <xf numFmtId="0" fontId="12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2" fillId="0" borderId="6" xfId="2" applyFont="1" applyBorder="1" applyAlignment="1">
      <alignment horizontal="center"/>
    </xf>
    <xf numFmtId="10" fontId="13" fillId="0" borderId="6" xfId="2" applyNumberFormat="1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6" fillId="0" borderId="0" xfId="2" applyFont="1"/>
    <xf numFmtId="0" fontId="12" fillId="0" borderId="0" xfId="2" applyFont="1"/>
    <xf numFmtId="0" fontId="12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0" fontId="9" fillId="6" borderId="6" xfId="2" applyNumberFormat="1" applyFont="1" applyFill="1" applyBorder="1" applyAlignment="1" applyProtection="1">
      <alignment horizontal="center" vertical="center"/>
      <protection locked="0"/>
    </xf>
    <xf numFmtId="4" fontId="7" fillId="0" borderId="6" xfId="2" applyNumberFormat="1" applyFont="1" applyBorder="1" applyAlignment="1">
      <alignment horizontal="center" vertical="center"/>
    </xf>
    <xf numFmtId="10" fontId="9" fillId="0" borderId="6" xfId="2" applyNumberFormat="1" applyFont="1" applyBorder="1" applyAlignment="1">
      <alignment horizontal="center" vertical="center"/>
    </xf>
    <xf numFmtId="10" fontId="9" fillId="0" borderId="6" xfId="2" applyNumberFormat="1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10" fontId="17" fillId="0" borderId="0" xfId="2" applyNumberFormat="1" applyFont="1" applyAlignment="1">
      <alignment horizontal="center" vertical="center"/>
    </xf>
    <xf numFmtId="4" fontId="7" fillId="0" borderId="0" xfId="2" applyNumberFormat="1" applyFont="1" applyAlignment="1">
      <alignment horizontal="center" vertical="center"/>
    </xf>
    <xf numFmtId="0" fontId="11" fillId="0" borderId="0" xfId="2" applyAlignment="1">
      <alignment horizontal="center" vertical="top"/>
    </xf>
    <xf numFmtId="0" fontId="21" fillId="0" borderId="0" xfId="2" applyFont="1" applyAlignment="1">
      <alignment horizontal="center" vertical="top"/>
    </xf>
    <xf numFmtId="0" fontId="11" fillId="0" borderId="0" xfId="2" applyAlignment="1">
      <alignment horizontal="right"/>
    </xf>
    <xf numFmtId="166" fontId="11" fillId="0" borderId="0" xfId="2" applyNumberFormat="1"/>
    <xf numFmtId="0" fontId="9" fillId="0" borderId="0" xfId="2" applyFont="1"/>
    <xf numFmtId="0" fontId="12" fillId="0" borderId="0" xfId="3" applyFont="1" applyAlignment="1">
      <alignment horizontal="left" vertical="top"/>
    </xf>
    <xf numFmtId="0" fontId="9" fillId="0" borderId="0" xfId="2" applyFont="1" applyAlignment="1">
      <alignment vertical="top"/>
    </xf>
    <xf numFmtId="0" fontId="1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left" vertical="top" wrapText="1"/>
    </xf>
    <xf numFmtId="4" fontId="3" fillId="3" borderId="0" xfId="0" applyNumberFormat="1" applyFont="1" applyFill="1" applyAlignment="1">
      <alignment horizontal="right" vertical="top" wrapText="1"/>
    </xf>
    <xf numFmtId="0" fontId="0" fillId="0" borderId="0" xfId="0"/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39" xfId="0" applyFont="1" applyFill="1" applyBorder="1" applyAlignment="1">
      <alignment horizontal="left" vertical="top" wrapText="1"/>
    </xf>
    <xf numFmtId="167" fontId="3" fillId="3" borderId="0" xfId="0" applyNumberFormat="1" applyFont="1" applyFill="1" applyAlignment="1">
      <alignment horizontal="right" vertical="top" wrapText="1"/>
    </xf>
    <xf numFmtId="4" fontId="5" fillId="3" borderId="0" xfId="0" applyNumberFormat="1" applyFont="1" applyFill="1" applyAlignment="1">
      <alignment horizontal="right" vertical="top" wrapText="1"/>
    </xf>
    <xf numFmtId="0" fontId="5" fillId="3" borderId="0" xfId="0" applyFont="1" applyFill="1" applyAlignment="1">
      <alignment horizontal="right" vertical="top" wrapText="1"/>
    </xf>
    <xf numFmtId="4" fontId="5" fillId="7" borderId="1" xfId="0" applyNumberFormat="1" applyFont="1" applyFill="1" applyBorder="1" applyAlignment="1">
      <alignment horizontal="right" vertical="top" wrapText="1"/>
    </xf>
    <xf numFmtId="167" fontId="5" fillId="7" borderId="1" xfId="0" applyNumberFormat="1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right" vertical="top" wrapText="1"/>
    </xf>
    <xf numFmtId="167" fontId="4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4" fontId="5" fillId="8" borderId="1" xfId="0" applyNumberFormat="1" applyFont="1" applyFill="1" applyBorder="1" applyAlignment="1">
      <alignment horizontal="right" vertical="top" wrapText="1"/>
    </xf>
    <xf numFmtId="167" fontId="5" fillId="8" borderId="1" xfId="0" applyNumberFormat="1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168" fontId="3" fillId="3" borderId="0" xfId="0" applyNumberFormat="1" applyFont="1" applyFill="1" applyAlignment="1">
      <alignment horizontal="right" vertical="top" wrapText="1"/>
    </xf>
    <xf numFmtId="168" fontId="5" fillId="8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168" fontId="5" fillId="7" borderId="1" xfId="0" applyNumberFormat="1" applyFont="1" applyFill="1" applyBorder="1" applyAlignment="1">
      <alignment horizontal="right" vertical="top" wrapText="1"/>
    </xf>
    <xf numFmtId="0" fontId="0" fillId="0" borderId="0" xfId="0"/>
    <xf numFmtId="169" fontId="0" fillId="0" borderId="0" xfId="0" applyNumberFormat="1"/>
    <xf numFmtId="0" fontId="3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left" vertical="top" wrapText="1"/>
    </xf>
    <xf numFmtId="4" fontId="3" fillId="3" borderId="0" xfId="0" applyNumberFormat="1" applyFont="1" applyFill="1" applyAlignment="1">
      <alignment horizontal="right" vertical="top" wrapText="1"/>
    </xf>
    <xf numFmtId="0" fontId="1" fillId="3" borderId="0" xfId="0" applyFont="1" applyFill="1" applyAlignment="1">
      <alignment horizontal="center" wrapText="1"/>
    </xf>
    <xf numFmtId="0" fontId="0" fillId="0" borderId="0" xfId="0"/>
    <xf numFmtId="0" fontId="1" fillId="3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5" fillId="3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 wrapText="1"/>
    </xf>
    <xf numFmtId="168" fontId="5" fillId="8" borderId="1" xfId="0" applyNumberFormat="1" applyFont="1" applyFill="1" applyBorder="1" applyAlignment="1">
      <alignment horizontal="right" vertical="top" wrapText="1"/>
    </xf>
    <xf numFmtId="168" fontId="5" fillId="7" borderId="1" xfId="0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43" fontId="10" fillId="0" borderId="19" xfId="1" applyFont="1" applyBorder="1" applyAlignment="1">
      <alignment horizontal="center"/>
    </xf>
    <xf numFmtId="43" fontId="10" fillId="0" borderId="20" xfId="1" applyFont="1" applyBorder="1" applyAlignment="1">
      <alignment horizontal="center"/>
    </xf>
    <xf numFmtId="43" fontId="10" fillId="0" borderId="21" xfId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0" xfId="2" applyAlignment="1">
      <alignment horizontal="left"/>
    </xf>
    <xf numFmtId="49" fontId="11" fillId="0" borderId="0" xfId="2" applyNumberFormat="1" applyAlignment="1" applyProtection="1">
      <alignment horizontal="left"/>
      <protection locked="0"/>
    </xf>
    <xf numFmtId="0" fontId="11" fillId="0" borderId="35" xfId="2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19" fillId="0" borderId="0" xfId="0" quotePrefix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top"/>
    </xf>
    <xf numFmtId="0" fontId="22" fillId="0" borderId="6" xfId="2" applyFont="1" applyBorder="1" applyAlignment="1">
      <alignment horizontal="center" vertical="center" wrapText="1"/>
    </xf>
    <xf numFmtId="49" fontId="11" fillId="6" borderId="36" xfId="2" applyNumberFormat="1" applyFill="1" applyBorder="1" applyAlignment="1">
      <alignment horizontal="left" vertical="top" wrapText="1"/>
    </xf>
    <xf numFmtId="49" fontId="11" fillId="6" borderId="37" xfId="2" applyNumberFormat="1" applyFill="1" applyBorder="1" applyAlignment="1">
      <alignment horizontal="left" vertical="top" wrapText="1"/>
    </xf>
    <xf numFmtId="49" fontId="11" fillId="6" borderId="38" xfId="2" applyNumberFormat="1" applyFill="1" applyBorder="1" applyAlignment="1">
      <alignment horizontal="left" vertical="top" wrapText="1"/>
    </xf>
    <xf numFmtId="0" fontId="11" fillId="0" borderId="0" xfId="2" applyAlignment="1">
      <alignment horizontal="left" vertical="center"/>
    </xf>
    <xf numFmtId="166" fontId="11" fillId="0" borderId="0" xfId="2" applyNumberFormat="1" applyAlignment="1" applyProtection="1">
      <alignment horizontal="right"/>
      <protection locked="0"/>
    </xf>
    <xf numFmtId="0" fontId="7" fillId="0" borderId="0" xfId="2" applyFont="1" applyAlignment="1">
      <alignment horizontal="left" vertical="center"/>
    </xf>
    <xf numFmtId="0" fontId="11" fillId="0" borderId="0" xfId="2" applyAlignment="1">
      <alignment horizontal="center" vertical="top"/>
    </xf>
    <xf numFmtId="0" fontId="11" fillId="0" borderId="6" xfId="2" applyBorder="1" applyAlignment="1">
      <alignment horizontal="left" vertical="center" wrapText="1"/>
    </xf>
    <xf numFmtId="0" fontId="11" fillId="0" borderId="6" xfId="2" applyBorder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2" fontId="18" fillId="0" borderId="35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left" wrapText="1"/>
    </xf>
    <xf numFmtId="10" fontId="15" fillId="6" borderId="6" xfId="2" applyNumberFormat="1" applyFont="1" applyFill="1" applyBorder="1" applyAlignment="1" applyProtection="1">
      <alignment horizontal="center"/>
      <protection locked="0"/>
    </xf>
    <xf numFmtId="0" fontId="15" fillId="0" borderId="6" xfId="2" applyFont="1" applyBorder="1" applyAlignment="1">
      <alignment horizontal="left"/>
    </xf>
    <xf numFmtId="0" fontId="7" fillId="0" borderId="6" xfId="2" applyFont="1" applyBorder="1" applyAlignment="1">
      <alignment horizontal="center" vertical="center"/>
    </xf>
    <xf numFmtId="4" fontId="7" fillId="0" borderId="6" xfId="2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/>
    </xf>
    <xf numFmtId="0" fontId="12" fillId="0" borderId="26" xfId="3" applyFont="1" applyBorder="1" applyAlignment="1">
      <alignment horizontal="left" vertical="top"/>
    </xf>
    <xf numFmtId="0" fontId="12" fillId="0" borderId="0" xfId="3" applyFont="1" applyAlignment="1">
      <alignment horizontal="left" vertical="top"/>
    </xf>
    <xf numFmtId="0" fontId="12" fillId="0" borderId="30" xfId="3" applyFont="1" applyBorder="1" applyAlignment="1">
      <alignment horizontal="left" vertical="top"/>
    </xf>
    <xf numFmtId="0" fontId="15" fillId="5" borderId="34" xfId="4" applyNumberFormat="1" applyFont="1" applyFill="1" applyBorder="1" applyAlignment="1" applyProtection="1">
      <alignment horizontal="left" wrapText="1"/>
    </xf>
    <xf numFmtId="165" fontId="15" fillId="6" borderId="31" xfId="4" applyFont="1" applyFill="1" applyBorder="1" applyAlignment="1" applyProtection="1">
      <alignment horizontal="left"/>
      <protection locked="0"/>
    </xf>
    <xf numFmtId="165" fontId="15" fillId="6" borderId="33" xfId="4" applyFont="1" applyFill="1" applyBorder="1" applyAlignment="1" applyProtection="1">
      <alignment horizontal="left"/>
      <protection locked="0"/>
    </xf>
    <xf numFmtId="165" fontId="15" fillId="6" borderId="32" xfId="4" applyFont="1" applyFill="1" applyBorder="1" applyAlignment="1" applyProtection="1">
      <alignment horizontal="left"/>
      <protection locked="0"/>
    </xf>
    <xf numFmtId="0" fontId="11" fillId="6" borderId="31" xfId="2" applyFill="1" applyBorder="1" applyAlignment="1" applyProtection="1">
      <alignment horizontal="center" vertical="top" wrapText="1"/>
      <protection locked="0"/>
    </xf>
    <xf numFmtId="0" fontId="11" fillId="6" borderId="32" xfId="2" applyFill="1" applyBorder="1" applyAlignment="1" applyProtection="1">
      <alignment horizontal="center" vertical="top" wrapText="1"/>
      <protection locked="0"/>
    </xf>
    <xf numFmtId="0" fontId="11" fillId="0" borderId="26" xfId="2" applyBorder="1" applyAlignment="1">
      <alignment horizontal="center"/>
    </xf>
    <xf numFmtId="0" fontId="11" fillId="0" borderId="30" xfId="2" applyBorder="1" applyAlignment="1">
      <alignment horizontal="center"/>
    </xf>
    <xf numFmtId="0" fontId="12" fillId="0" borderId="31" xfId="2" applyFont="1" applyBorder="1" applyAlignment="1">
      <alignment horizontal="center"/>
    </xf>
    <xf numFmtId="0" fontId="12" fillId="0" borderId="32" xfId="2" applyFont="1" applyBorder="1" applyAlignment="1">
      <alignment horizontal="center"/>
    </xf>
    <xf numFmtId="0" fontId="11" fillId="0" borderId="31" xfId="2" applyBorder="1" applyAlignment="1">
      <alignment horizontal="left" vertical="top" wrapText="1"/>
    </xf>
    <xf numFmtId="0" fontId="11" fillId="0" borderId="32" xfId="2" applyBorder="1" applyAlignment="1">
      <alignment horizontal="left" vertical="top" wrapText="1"/>
    </xf>
    <xf numFmtId="49" fontId="11" fillId="0" borderId="31" xfId="2" applyNumberFormat="1" applyBorder="1" applyAlignment="1">
      <alignment horizontal="left" vertical="top" wrapText="1"/>
    </xf>
    <xf numFmtId="0" fontId="11" fillId="0" borderId="33" xfId="2" applyBorder="1" applyAlignment="1">
      <alignment horizontal="left" vertical="top" wrapText="1"/>
    </xf>
  </cellXfs>
  <cellStyles count="5">
    <cellStyle name="Moeda_Composicao BDI v2.1" xfId="4"/>
    <cellStyle name="Normal" xfId="0" builtinId="0"/>
    <cellStyle name="Normal 2" xfId="2"/>
    <cellStyle name="Normal_FICHA DE VERIFICAÇÃO PRELIMINAR - Plano R" xfId="3"/>
    <cellStyle name="Vírgula" xfId="1" builtinId="3"/>
  </cellStyles>
  <dxfs count="10"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rgb="FFFFFF9E"/>
        </patternFill>
      </fill>
    </dxf>
    <dxf>
      <fill>
        <patternFill>
          <bgColor rgb="FFFFFF9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condense val="0"/>
        <extend val="0"/>
        <color indexed="17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0</xdr:row>
      <xdr:rowOff>167640</xdr:rowOff>
    </xdr:from>
    <xdr:to>
      <xdr:col>2</xdr:col>
      <xdr:colOff>121920</xdr:colOff>
      <xdr:row>1</xdr:row>
      <xdr:rowOff>754380</xdr:rowOff>
    </xdr:to>
    <xdr:pic>
      <xdr:nvPicPr>
        <xdr:cNvPr id="2" name="Imagem 15">
          <a:extLst>
            <a:ext uri="{FF2B5EF4-FFF2-40B4-BE49-F238E27FC236}">
              <a16:creationId xmlns:a16="http://schemas.microsoft.com/office/drawing/2014/main" xmlns="" id="{400974C6-B13A-434F-8311-502618EBE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807720" y="167640"/>
          <a:ext cx="838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137160</xdr:colOff>
      <xdr:row>1</xdr:row>
      <xdr:rowOff>15240</xdr:rowOff>
    </xdr:from>
    <xdr:to>
      <xdr:col>8</xdr:col>
      <xdr:colOff>975360</xdr:colOff>
      <xdr:row>1</xdr:row>
      <xdr:rowOff>777240</xdr:rowOff>
    </xdr:to>
    <xdr:pic>
      <xdr:nvPicPr>
        <xdr:cNvPr id="3" name="Imagem 15">
          <a:extLst>
            <a:ext uri="{FF2B5EF4-FFF2-40B4-BE49-F238E27FC236}">
              <a16:creationId xmlns:a16="http://schemas.microsoft.com/office/drawing/2014/main" xmlns="" id="{F185FAB7-61D8-4F0D-A1E0-1A7C8AA6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10957560" y="190500"/>
          <a:ext cx="838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359229</xdr:colOff>
      <xdr:row>1</xdr:row>
      <xdr:rowOff>272144</xdr:rowOff>
    </xdr:from>
    <xdr:to>
      <xdr:col>1</xdr:col>
      <xdr:colOff>435429</xdr:colOff>
      <xdr:row>1</xdr:row>
      <xdr:rowOff>983344</xdr:rowOff>
    </xdr:to>
    <xdr:pic>
      <xdr:nvPicPr>
        <xdr:cNvPr id="2" name="Imagem 15">
          <a:extLst>
            <a:ext uri="{FF2B5EF4-FFF2-40B4-BE49-F238E27FC236}">
              <a16:creationId xmlns:a16="http://schemas.microsoft.com/office/drawing/2014/main" xmlns="" id="{8FFE357D-0DF3-440E-8576-822A02551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359229" y="446315"/>
          <a:ext cx="8382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544285</xdr:colOff>
      <xdr:row>1</xdr:row>
      <xdr:rowOff>108857</xdr:rowOff>
    </xdr:from>
    <xdr:to>
      <xdr:col>9</xdr:col>
      <xdr:colOff>391885</xdr:colOff>
      <xdr:row>1</xdr:row>
      <xdr:rowOff>751477</xdr:rowOff>
    </xdr:to>
    <xdr:pic>
      <xdr:nvPicPr>
        <xdr:cNvPr id="4" name="Imagem 15">
          <a:extLst>
            <a:ext uri="{FF2B5EF4-FFF2-40B4-BE49-F238E27FC236}">
              <a16:creationId xmlns:a16="http://schemas.microsoft.com/office/drawing/2014/main" xmlns="" id="{E3E372F4-4E56-4AFB-BD84-6FD27117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12072256" y="283028"/>
          <a:ext cx="83820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1</xdr:row>
      <xdr:rowOff>144780</xdr:rowOff>
    </xdr:from>
    <xdr:to>
      <xdr:col>0</xdr:col>
      <xdr:colOff>1173480</xdr:colOff>
      <xdr:row>1</xdr:row>
      <xdr:rowOff>906780</xdr:rowOff>
    </xdr:to>
    <xdr:pic>
      <xdr:nvPicPr>
        <xdr:cNvPr id="2" name="Imagem 15">
          <a:extLst>
            <a:ext uri="{FF2B5EF4-FFF2-40B4-BE49-F238E27FC236}">
              <a16:creationId xmlns:a16="http://schemas.microsoft.com/office/drawing/2014/main" xmlns="" id="{A3DD64A4-077A-40DE-8B6B-C249AC8C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335280" y="320040"/>
          <a:ext cx="838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518160</xdr:colOff>
      <xdr:row>1</xdr:row>
      <xdr:rowOff>175260</xdr:rowOff>
    </xdr:from>
    <xdr:to>
      <xdr:col>7</xdr:col>
      <xdr:colOff>441960</xdr:colOff>
      <xdr:row>1</xdr:row>
      <xdr:rowOff>937260</xdr:rowOff>
    </xdr:to>
    <xdr:pic>
      <xdr:nvPicPr>
        <xdr:cNvPr id="3" name="Imagem 15">
          <a:extLst>
            <a:ext uri="{FF2B5EF4-FFF2-40B4-BE49-F238E27FC236}">
              <a16:creationId xmlns:a16="http://schemas.microsoft.com/office/drawing/2014/main" xmlns="" id="{D3375990-0E87-4265-AFE9-E06BA77F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10881360" y="350520"/>
          <a:ext cx="838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1</xdr:row>
      <xdr:rowOff>30480</xdr:rowOff>
    </xdr:from>
    <xdr:to>
      <xdr:col>1</xdr:col>
      <xdr:colOff>411480</xdr:colOff>
      <xdr:row>1</xdr:row>
      <xdr:rowOff>792480</xdr:rowOff>
    </xdr:to>
    <xdr:pic>
      <xdr:nvPicPr>
        <xdr:cNvPr id="2" name="Imagem 15">
          <a:extLst>
            <a:ext uri="{FF2B5EF4-FFF2-40B4-BE49-F238E27FC236}">
              <a16:creationId xmlns:a16="http://schemas.microsoft.com/office/drawing/2014/main" xmlns="" id="{D5642D72-4738-4E92-A94F-94D4D3CCD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335280" y="205740"/>
          <a:ext cx="838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276860</xdr:colOff>
      <xdr:row>1</xdr:row>
      <xdr:rowOff>43180</xdr:rowOff>
    </xdr:from>
    <xdr:to>
      <xdr:col>9</xdr:col>
      <xdr:colOff>353060</xdr:colOff>
      <xdr:row>1</xdr:row>
      <xdr:rowOff>805180</xdr:rowOff>
    </xdr:to>
    <xdr:pic>
      <xdr:nvPicPr>
        <xdr:cNvPr id="3" name="Imagem 15">
          <a:extLst>
            <a:ext uri="{FF2B5EF4-FFF2-40B4-BE49-F238E27FC236}">
              <a16:creationId xmlns:a16="http://schemas.microsoft.com/office/drawing/2014/main" xmlns="" id="{1687750A-0204-4400-9276-B887710F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11973560" y="220980"/>
          <a:ext cx="838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</xdr:row>
      <xdr:rowOff>83820</xdr:rowOff>
    </xdr:from>
    <xdr:to>
      <xdr:col>0</xdr:col>
      <xdr:colOff>1021080</xdr:colOff>
      <xdr:row>1</xdr:row>
      <xdr:rowOff>845820</xdr:rowOff>
    </xdr:to>
    <xdr:pic>
      <xdr:nvPicPr>
        <xdr:cNvPr id="2" name="Imagem 15">
          <a:extLst>
            <a:ext uri="{FF2B5EF4-FFF2-40B4-BE49-F238E27FC236}">
              <a16:creationId xmlns:a16="http://schemas.microsoft.com/office/drawing/2014/main" xmlns="" id="{C324D023-69A8-4173-AE2F-CF44CC9E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182880" y="259080"/>
          <a:ext cx="838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3017520</xdr:colOff>
      <xdr:row>1</xdr:row>
      <xdr:rowOff>76200</xdr:rowOff>
    </xdr:from>
    <xdr:to>
      <xdr:col>4</xdr:col>
      <xdr:colOff>3855720</xdr:colOff>
      <xdr:row>1</xdr:row>
      <xdr:rowOff>838200</xdr:rowOff>
    </xdr:to>
    <xdr:pic>
      <xdr:nvPicPr>
        <xdr:cNvPr id="3" name="Imagem 15">
          <a:extLst>
            <a:ext uri="{FF2B5EF4-FFF2-40B4-BE49-F238E27FC236}">
              <a16:creationId xmlns:a16="http://schemas.microsoft.com/office/drawing/2014/main" xmlns="" id="{3A76E375-F30D-463D-B1F9-655D9521D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" t="7118" r="5597" b="9343"/>
        <a:stretch>
          <a:fillRect/>
        </a:stretch>
      </xdr:blipFill>
      <xdr:spPr bwMode="auto">
        <a:xfrm>
          <a:off x="10027920" y="251460"/>
          <a:ext cx="838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198120</xdr:colOff>
      <xdr:row>6</xdr:row>
      <xdr:rowOff>47626</xdr:rowOff>
    </xdr:from>
    <xdr:to>
      <xdr:col>18</xdr:col>
      <xdr:colOff>0</xdr:colOff>
      <xdr:row>11</xdr:row>
      <xdr:rowOff>133350</xdr:rowOff>
    </xdr:to>
    <xdr:sp macro="[1]!BDI_add" textlink="">
      <xdr:nvSpPr>
        <xdr:cNvPr id="2" name="FiltroButton">
          <a:extLst>
            <a:ext uri="{FF2B5EF4-FFF2-40B4-BE49-F238E27FC236}">
              <a16:creationId xmlns:a16="http://schemas.microsoft.com/office/drawing/2014/main" xmlns="" id="{51631DEF-8B47-4F14-B1CB-C3C4EA8238F4}"/>
            </a:ext>
          </a:extLst>
        </xdr:cNvPr>
        <xdr:cNvSpPr txBox="1">
          <a:spLocks noChangeArrowheads="1"/>
        </xdr:cNvSpPr>
      </xdr:nvSpPr>
      <xdr:spPr bwMode="auto">
        <a:xfrm>
          <a:off x="7513320" y="1007746"/>
          <a:ext cx="0" cy="3390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53882" dir="2700000" algn="ctr" rotWithShape="0">
            <a:srgbClr xmlns:mc="http://schemas.openxmlformats.org/markup-compatibility/2006" xmlns:a14="http://schemas.microsoft.com/office/drawing/2010/main" val="000080" mc:Ignorable="a14" a14:legacySpreadsheetColorIndex="18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Adicionar BDI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REFEITURA%202020/@@TABELAS%20REF.%20(SINAPI%20SEINFRA%20AGETOP)/$$%20CALCULO%20BDI/CALCULO%20BDI%20TABEL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  <sheetName val="CALCULO BDI TABELA (1)"/>
    </sheetNames>
    <definedNames>
      <definedName name="BDI_add"/>
    </definedNames>
    <sheetDataSet>
      <sheetData sheetId="0" refreshError="1">
        <row r="26">
          <cell r="A26" t="str">
            <v>Prefeitura Municipal de Águas Lindas de Goiás</v>
          </cell>
        </row>
        <row r="36">
          <cell r="C36" t="str">
            <v>Sim</v>
          </cell>
        </row>
        <row r="52">
          <cell r="B52" t="str">
            <v>-</v>
          </cell>
        </row>
        <row r="53">
          <cell r="B53" t="str">
            <v>-</v>
          </cell>
        </row>
        <row r="54">
          <cell r="A54" t="str">
            <v>CREA/CAU:</v>
          </cell>
          <cell r="B54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0"/>
  <sheetViews>
    <sheetView showOutlineSymbols="0" showWhiteSpace="0" view="pageBreakPreview" topLeftCell="E333" zoomScale="80" zoomScaleNormal="100" zoomScaleSheetLayoutView="80" workbookViewId="0">
      <selection activeCell="H360" sqref="H360:J360"/>
    </sheetView>
  </sheetViews>
  <sheetFormatPr defaultColWidth="8.75" defaultRowHeight="14.25" x14ac:dyDescent="0.2"/>
  <cols>
    <col min="1" max="2" width="10" style="96" bestFit="1" customWidth="1"/>
    <col min="3" max="3" width="15" style="96" bestFit="1" customWidth="1"/>
    <col min="4" max="4" width="60" style="96" bestFit="1" customWidth="1"/>
    <col min="5" max="5" width="13" style="96" customWidth="1"/>
    <col min="6" max="6" width="16" style="96" customWidth="1"/>
    <col min="7" max="7" width="13" style="96" bestFit="1" customWidth="1"/>
    <col min="8" max="8" width="13.75" style="96" bestFit="1" customWidth="1"/>
    <col min="9" max="10" width="13" style="96" bestFit="1" customWidth="1"/>
    <col min="11" max="12" width="8.75" style="96"/>
    <col min="13" max="13" width="15.5" style="96" bestFit="1" customWidth="1"/>
    <col min="14" max="16384" width="8.75" style="96"/>
  </cols>
  <sheetData>
    <row r="1" spans="1:13" ht="15" x14ac:dyDescent="0.2">
      <c r="A1" s="93"/>
      <c r="B1" s="93"/>
      <c r="C1" s="93"/>
      <c r="D1" s="93" t="s">
        <v>0</v>
      </c>
      <c r="E1" s="135" t="s">
        <v>1</v>
      </c>
      <c r="F1" s="135"/>
      <c r="G1" s="135" t="s">
        <v>2</v>
      </c>
      <c r="H1" s="135"/>
      <c r="I1" s="135"/>
      <c r="J1" s="135"/>
    </row>
    <row r="2" spans="1:13" ht="99.6" customHeight="1" x14ac:dyDescent="0.2">
      <c r="A2" s="94"/>
      <c r="B2" s="94"/>
      <c r="C2" s="94"/>
      <c r="D2" s="94" t="s">
        <v>1606</v>
      </c>
      <c r="E2" s="131" t="s">
        <v>2844</v>
      </c>
      <c r="F2" s="131"/>
      <c r="G2" s="131" t="s">
        <v>1337</v>
      </c>
      <c r="H2" s="131"/>
      <c r="I2" s="131"/>
      <c r="J2" s="131"/>
    </row>
    <row r="3" spans="1:13" ht="15" x14ac:dyDescent="0.25">
      <c r="A3" s="133" t="s">
        <v>3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3" ht="30" customHeight="1" x14ac:dyDescent="0.2">
      <c r="A4" s="5" t="s">
        <v>4</v>
      </c>
      <c r="B4" s="6" t="s">
        <v>5</v>
      </c>
      <c r="C4" s="5" t="s">
        <v>6</v>
      </c>
      <c r="D4" s="5" t="s">
        <v>7</v>
      </c>
      <c r="E4" s="7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</row>
    <row r="5" spans="1:13" ht="24" customHeight="1" x14ac:dyDescent="0.2">
      <c r="A5" s="123" t="s">
        <v>14</v>
      </c>
      <c r="B5" s="123"/>
      <c r="C5" s="123"/>
      <c r="D5" s="123" t="s">
        <v>15</v>
      </c>
      <c r="E5" s="123"/>
      <c r="F5" s="3"/>
      <c r="G5" s="123"/>
      <c r="H5" s="123"/>
      <c r="I5" s="63">
        <f>SUM(I6,I15,I20)</f>
        <v>166049.59</v>
      </c>
      <c r="J5" s="62">
        <f t="shared" ref="J5:J68" si="0">I5 / 1499158.61</f>
        <v>0.11076185594531587</v>
      </c>
    </row>
    <row r="6" spans="1:13" ht="24" customHeight="1" x14ac:dyDescent="0.2">
      <c r="A6" s="123" t="s">
        <v>16</v>
      </c>
      <c r="B6" s="123"/>
      <c r="C6" s="123"/>
      <c r="D6" s="123" t="s">
        <v>17</v>
      </c>
      <c r="E6" s="123"/>
      <c r="F6" s="3"/>
      <c r="G6" s="123"/>
      <c r="H6" s="123"/>
      <c r="I6" s="63">
        <f>SUM(I7:I14)</f>
        <v>34953.93</v>
      </c>
      <c r="J6" s="62">
        <f t="shared" si="0"/>
        <v>2.3315698396982824E-2</v>
      </c>
    </row>
    <row r="7" spans="1:13" ht="36" customHeight="1" x14ac:dyDescent="0.2">
      <c r="A7" s="116" t="s">
        <v>18</v>
      </c>
      <c r="B7" s="1" t="s">
        <v>19</v>
      </c>
      <c r="C7" s="116" t="s">
        <v>20</v>
      </c>
      <c r="D7" s="116" t="s">
        <v>21</v>
      </c>
      <c r="E7" s="2" t="s">
        <v>22</v>
      </c>
      <c r="F7" s="1">
        <v>3</v>
      </c>
      <c r="G7" s="61">
        <v>357.14</v>
      </c>
      <c r="H7" s="61">
        <f t="shared" ref="H7:H14" si="1">ROUND(G7 * (1 + 26.55 / 100), 2)</f>
        <v>451.96</v>
      </c>
      <c r="I7" s="61">
        <f t="shared" ref="I7:I14" si="2">ROUND(F7 * H7, 2)</f>
        <v>1355.88</v>
      </c>
      <c r="J7" s="60">
        <f t="shared" si="0"/>
        <v>9.0442731740039174E-4</v>
      </c>
    </row>
    <row r="8" spans="1:13" ht="36" customHeight="1" x14ac:dyDescent="0.2">
      <c r="A8" s="116" t="s">
        <v>23</v>
      </c>
      <c r="B8" s="1" t="s">
        <v>24</v>
      </c>
      <c r="C8" s="116" t="s">
        <v>25</v>
      </c>
      <c r="D8" s="116" t="s">
        <v>26</v>
      </c>
      <c r="E8" s="2" t="s">
        <v>27</v>
      </c>
      <c r="F8" s="1">
        <v>5</v>
      </c>
      <c r="G8" s="61">
        <v>590.62</v>
      </c>
      <c r="H8" s="61">
        <f t="shared" si="1"/>
        <v>747.43</v>
      </c>
      <c r="I8" s="61">
        <f t="shared" si="2"/>
        <v>3737.15</v>
      </c>
      <c r="J8" s="60">
        <f t="shared" si="0"/>
        <v>2.4928316290695886E-3</v>
      </c>
      <c r="M8" s="128"/>
    </row>
    <row r="9" spans="1:13" ht="36" customHeight="1" x14ac:dyDescent="0.2">
      <c r="A9" s="116" t="s">
        <v>28</v>
      </c>
      <c r="B9" s="1" t="s">
        <v>29</v>
      </c>
      <c r="C9" s="116" t="s">
        <v>25</v>
      </c>
      <c r="D9" s="116" t="s">
        <v>30</v>
      </c>
      <c r="E9" s="2" t="s">
        <v>22</v>
      </c>
      <c r="F9" s="1">
        <v>8</v>
      </c>
      <c r="G9" s="61">
        <v>869.63</v>
      </c>
      <c r="H9" s="61">
        <f t="shared" si="1"/>
        <v>1100.52</v>
      </c>
      <c r="I9" s="61">
        <f t="shared" si="2"/>
        <v>8804.16</v>
      </c>
      <c r="J9" s="60">
        <f t="shared" si="0"/>
        <v>5.8727341732039947E-3</v>
      </c>
      <c r="M9" s="128"/>
    </row>
    <row r="10" spans="1:13" ht="36" customHeight="1" x14ac:dyDescent="0.2">
      <c r="A10" s="116" t="s">
        <v>31</v>
      </c>
      <c r="B10" s="1" t="s">
        <v>32</v>
      </c>
      <c r="C10" s="116" t="s">
        <v>20</v>
      </c>
      <c r="D10" s="116" t="s">
        <v>33</v>
      </c>
      <c r="E10" s="2" t="s">
        <v>22</v>
      </c>
      <c r="F10" s="1">
        <v>50</v>
      </c>
      <c r="G10" s="61">
        <v>5.23</v>
      </c>
      <c r="H10" s="61">
        <f t="shared" si="1"/>
        <v>6.62</v>
      </c>
      <c r="I10" s="61">
        <f t="shared" si="2"/>
        <v>331</v>
      </c>
      <c r="J10" s="60">
        <f t="shared" si="0"/>
        <v>2.2079051395369032E-4</v>
      </c>
      <c r="M10" s="128"/>
    </row>
    <row r="11" spans="1:13" ht="24" customHeight="1" x14ac:dyDescent="0.2">
      <c r="A11" s="116" t="s">
        <v>34</v>
      </c>
      <c r="B11" s="1" t="s">
        <v>35</v>
      </c>
      <c r="C11" s="116" t="s">
        <v>20</v>
      </c>
      <c r="D11" s="116" t="s">
        <v>36</v>
      </c>
      <c r="E11" s="2" t="s">
        <v>37</v>
      </c>
      <c r="F11" s="1">
        <v>1</v>
      </c>
      <c r="G11" s="61">
        <v>2859.33</v>
      </c>
      <c r="H11" s="61">
        <f t="shared" si="1"/>
        <v>3618.48</v>
      </c>
      <c r="I11" s="61">
        <f t="shared" si="2"/>
        <v>3618.48</v>
      </c>
      <c r="J11" s="60">
        <f t="shared" si="0"/>
        <v>2.4136738940518107E-3</v>
      </c>
      <c r="M11" s="128"/>
    </row>
    <row r="12" spans="1:13" ht="24" customHeight="1" x14ac:dyDescent="0.2">
      <c r="A12" s="116" t="s">
        <v>38</v>
      </c>
      <c r="B12" s="1" t="s">
        <v>39</v>
      </c>
      <c r="C12" s="116" t="s">
        <v>20</v>
      </c>
      <c r="D12" s="116" t="s">
        <v>40</v>
      </c>
      <c r="E12" s="2" t="s">
        <v>37</v>
      </c>
      <c r="F12" s="1">
        <v>1</v>
      </c>
      <c r="G12" s="61">
        <v>4539.4799999999996</v>
      </c>
      <c r="H12" s="61">
        <f t="shared" si="1"/>
        <v>5744.71</v>
      </c>
      <c r="I12" s="61">
        <f t="shared" si="2"/>
        <v>5744.71</v>
      </c>
      <c r="J12" s="60">
        <f t="shared" si="0"/>
        <v>3.8319561130359648E-3</v>
      </c>
      <c r="M12" s="128"/>
    </row>
    <row r="13" spans="1:13" ht="24" customHeight="1" x14ac:dyDescent="0.2">
      <c r="A13" s="116" t="s">
        <v>41</v>
      </c>
      <c r="B13" s="1" t="s">
        <v>42</v>
      </c>
      <c r="C13" s="116" t="s">
        <v>20</v>
      </c>
      <c r="D13" s="116" t="s">
        <v>43</v>
      </c>
      <c r="E13" s="2" t="s">
        <v>22</v>
      </c>
      <c r="F13" s="1">
        <v>30.45</v>
      </c>
      <c r="G13" s="61">
        <v>60.84</v>
      </c>
      <c r="H13" s="61">
        <f t="shared" si="1"/>
        <v>76.989999999999995</v>
      </c>
      <c r="I13" s="61">
        <f t="shared" si="2"/>
        <v>2344.35</v>
      </c>
      <c r="J13" s="60">
        <f t="shared" si="0"/>
        <v>1.5637771643121868E-3</v>
      </c>
      <c r="M13" s="128"/>
    </row>
    <row r="14" spans="1:13" ht="48" customHeight="1" x14ac:dyDescent="0.2">
      <c r="A14" s="116" t="s">
        <v>1336</v>
      </c>
      <c r="B14" s="1" t="s">
        <v>2842</v>
      </c>
      <c r="C14" s="116" t="s">
        <v>411</v>
      </c>
      <c r="D14" s="116" t="s">
        <v>1335</v>
      </c>
      <c r="E14" s="2" t="s">
        <v>22</v>
      </c>
      <c r="F14" s="1">
        <v>180.4</v>
      </c>
      <c r="G14" s="61">
        <v>39.5</v>
      </c>
      <c r="H14" s="61">
        <f t="shared" si="1"/>
        <v>49.99</v>
      </c>
      <c r="I14" s="61">
        <f t="shared" si="2"/>
        <v>9018.2000000000007</v>
      </c>
      <c r="J14" s="60">
        <f t="shared" si="0"/>
        <v>6.0155075919551965E-3</v>
      </c>
      <c r="M14" s="128"/>
    </row>
    <row r="15" spans="1:13" ht="24" customHeight="1" x14ac:dyDescent="0.2">
      <c r="A15" s="123" t="s">
        <v>44</v>
      </c>
      <c r="B15" s="123"/>
      <c r="C15" s="123"/>
      <c r="D15" s="123" t="s">
        <v>45</v>
      </c>
      <c r="E15" s="123"/>
      <c r="F15" s="3"/>
      <c r="G15" s="123"/>
      <c r="H15" s="123"/>
      <c r="I15" s="63">
        <f>SUM(I16:I19)</f>
        <v>3903.66</v>
      </c>
      <c r="J15" s="62">
        <f t="shared" si="0"/>
        <v>2.6039005972823648E-3</v>
      </c>
      <c r="M15" s="128"/>
    </row>
    <row r="16" spans="1:13" ht="24" customHeight="1" x14ac:dyDescent="0.2">
      <c r="A16" s="116" t="s">
        <v>46</v>
      </c>
      <c r="B16" s="1" t="s">
        <v>47</v>
      </c>
      <c r="C16" s="116" t="s">
        <v>20</v>
      </c>
      <c r="D16" s="116" t="s">
        <v>48</v>
      </c>
      <c r="E16" s="2" t="s">
        <v>49</v>
      </c>
      <c r="F16" s="1">
        <v>12.5</v>
      </c>
      <c r="G16" s="61">
        <v>30.54</v>
      </c>
      <c r="H16" s="61">
        <f>ROUND(G16 * (1 + 26.55 / 100), 2)</f>
        <v>38.65</v>
      </c>
      <c r="I16" s="61">
        <f>ROUND(F16 * H16, 2)</f>
        <v>483.13</v>
      </c>
      <c r="J16" s="60">
        <f t="shared" si="0"/>
        <v>3.2226743506479273E-4</v>
      </c>
      <c r="M16" s="128"/>
    </row>
    <row r="17" spans="1:13" ht="24" customHeight="1" x14ac:dyDescent="0.2">
      <c r="A17" s="116" t="s">
        <v>50</v>
      </c>
      <c r="B17" s="1" t="s">
        <v>51</v>
      </c>
      <c r="C17" s="116" t="s">
        <v>20</v>
      </c>
      <c r="D17" s="116" t="s">
        <v>52</v>
      </c>
      <c r="E17" s="2" t="s">
        <v>22</v>
      </c>
      <c r="F17" s="1">
        <v>82.18</v>
      </c>
      <c r="G17" s="61">
        <v>3.97</v>
      </c>
      <c r="H17" s="61">
        <f>ROUND(G17 * (1 + 26.55 / 100), 2)</f>
        <v>5.0199999999999996</v>
      </c>
      <c r="I17" s="61">
        <f>ROUND(F17 * H17, 2)</f>
        <v>412.54</v>
      </c>
      <c r="J17" s="60">
        <f t="shared" si="0"/>
        <v>2.7518102304065076E-4</v>
      </c>
      <c r="M17" s="128"/>
    </row>
    <row r="18" spans="1:13" ht="24" customHeight="1" x14ac:dyDescent="0.2">
      <c r="A18" s="116" t="s">
        <v>53</v>
      </c>
      <c r="B18" s="1" t="s">
        <v>1334</v>
      </c>
      <c r="C18" s="116" t="s">
        <v>20</v>
      </c>
      <c r="D18" s="116" t="s">
        <v>1333</v>
      </c>
      <c r="E18" s="2" t="s">
        <v>22</v>
      </c>
      <c r="F18" s="1">
        <v>64.900000000000006</v>
      </c>
      <c r="G18" s="61">
        <v>11.11</v>
      </c>
      <c r="H18" s="61">
        <f>ROUND(G18 * (1 + 26.55 / 100), 2)</f>
        <v>14.06</v>
      </c>
      <c r="I18" s="61">
        <f>ROUND(F18 * H18, 2)</f>
        <v>912.49</v>
      </c>
      <c r="J18" s="60">
        <f t="shared" si="0"/>
        <v>6.0866808482659478E-4</v>
      </c>
      <c r="M18" s="128"/>
    </row>
    <row r="19" spans="1:13" ht="24" customHeight="1" x14ac:dyDescent="0.2">
      <c r="A19" s="116" t="s">
        <v>1332</v>
      </c>
      <c r="B19" s="1" t="s">
        <v>54</v>
      </c>
      <c r="C19" s="116" t="s">
        <v>20</v>
      </c>
      <c r="D19" s="116" t="s">
        <v>55</v>
      </c>
      <c r="E19" s="2" t="s">
        <v>49</v>
      </c>
      <c r="F19" s="1">
        <v>50</v>
      </c>
      <c r="G19" s="61">
        <v>33.119999999999997</v>
      </c>
      <c r="H19" s="61">
        <f>ROUND(G19 * (1 + 26.55 / 100), 2)</f>
        <v>41.91</v>
      </c>
      <c r="I19" s="61">
        <f>ROUND(F19 * H19, 2)</f>
        <v>2095.5</v>
      </c>
      <c r="J19" s="60">
        <f t="shared" si="0"/>
        <v>1.3977840543503265E-3</v>
      </c>
      <c r="M19" s="128"/>
    </row>
    <row r="20" spans="1:13" ht="24" customHeight="1" x14ac:dyDescent="0.2">
      <c r="A20" s="123" t="s">
        <v>56</v>
      </c>
      <c r="B20" s="123"/>
      <c r="C20" s="123"/>
      <c r="D20" s="123" t="s">
        <v>57</v>
      </c>
      <c r="E20" s="123"/>
      <c r="F20" s="3"/>
      <c r="G20" s="123"/>
      <c r="H20" s="123"/>
      <c r="I20" s="63">
        <f>SUM(I21:I23)</f>
        <v>127192</v>
      </c>
      <c r="J20" s="62">
        <f t="shared" si="0"/>
        <v>8.4842256951050687E-2</v>
      </c>
      <c r="M20" s="128"/>
    </row>
    <row r="21" spans="1:13" ht="24" customHeight="1" x14ac:dyDescent="0.2">
      <c r="A21" s="116" t="s">
        <v>58</v>
      </c>
      <c r="B21" s="1" t="s">
        <v>59</v>
      </c>
      <c r="C21" s="116" t="s">
        <v>20</v>
      </c>
      <c r="D21" s="116" t="s">
        <v>60</v>
      </c>
      <c r="E21" s="2" t="s">
        <v>61</v>
      </c>
      <c r="F21" s="1">
        <v>800</v>
      </c>
      <c r="G21" s="61">
        <v>71.05</v>
      </c>
      <c r="H21" s="61">
        <f>ROUND(G21 * (1 + 26.55 / 100), 2)</f>
        <v>89.91</v>
      </c>
      <c r="I21" s="61">
        <f>ROUND(F21 * H21, 2)</f>
        <v>71928</v>
      </c>
      <c r="J21" s="60">
        <f t="shared" si="0"/>
        <v>4.7978912651543922E-2</v>
      </c>
      <c r="M21" s="128"/>
    </row>
    <row r="22" spans="1:13" ht="24" customHeight="1" x14ac:dyDescent="0.2">
      <c r="A22" s="116" t="s">
        <v>62</v>
      </c>
      <c r="B22" s="1" t="s">
        <v>63</v>
      </c>
      <c r="C22" s="116" t="s">
        <v>20</v>
      </c>
      <c r="D22" s="116" t="s">
        <v>64</v>
      </c>
      <c r="E22" s="2" t="s">
        <v>61</v>
      </c>
      <c r="F22" s="1">
        <v>800</v>
      </c>
      <c r="G22" s="61">
        <v>33.68</v>
      </c>
      <c r="H22" s="61">
        <f>ROUND(G22 * (1 + 26.55 / 100), 2)</f>
        <v>42.62</v>
      </c>
      <c r="I22" s="61">
        <f>ROUND(F22 * H22, 2)</f>
        <v>34096</v>
      </c>
      <c r="J22" s="60">
        <f t="shared" si="0"/>
        <v>2.2743424059713066E-2</v>
      </c>
      <c r="M22" s="128"/>
    </row>
    <row r="23" spans="1:13" ht="24" customHeight="1" x14ac:dyDescent="0.2">
      <c r="A23" s="116" t="s">
        <v>65</v>
      </c>
      <c r="B23" s="1" t="s">
        <v>66</v>
      </c>
      <c r="C23" s="116" t="s">
        <v>20</v>
      </c>
      <c r="D23" s="116" t="s">
        <v>67</v>
      </c>
      <c r="E23" s="2" t="s">
        <v>61</v>
      </c>
      <c r="F23" s="1">
        <v>1800</v>
      </c>
      <c r="G23" s="61">
        <v>9.2899999999999991</v>
      </c>
      <c r="H23" s="61">
        <f>ROUND(G23 * (1 + 26.55 / 100), 2)</f>
        <v>11.76</v>
      </c>
      <c r="I23" s="61">
        <f>ROUND(F23 * H23, 2)</f>
        <v>21168</v>
      </c>
      <c r="J23" s="60">
        <f t="shared" si="0"/>
        <v>1.4119920239793705E-2</v>
      </c>
      <c r="M23" s="128"/>
    </row>
    <row r="24" spans="1:13" ht="24" customHeight="1" x14ac:dyDescent="0.2">
      <c r="A24" s="123" t="s">
        <v>68</v>
      </c>
      <c r="B24" s="123"/>
      <c r="C24" s="123"/>
      <c r="D24" s="123" t="s">
        <v>69</v>
      </c>
      <c r="E24" s="123"/>
      <c r="F24" s="3"/>
      <c r="G24" s="123"/>
      <c r="H24" s="123"/>
      <c r="I24" s="63">
        <f>SUM(I25,I31,I36,I43,I51)</f>
        <v>13661.19</v>
      </c>
      <c r="J24" s="62">
        <f t="shared" si="0"/>
        <v>9.1125714843474769E-3</v>
      </c>
      <c r="M24" s="128"/>
    </row>
    <row r="25" spans="1:13" ht="24" customHeight="1" x14ac:dyDescent="0.2">
      <c r="A25" s="123" t="s">
        <v>70</v>
      </c>
      <c r="B25" s="123"/>
      <c r="C25" s="123"/>
      <c r="D25" s="123" t="s">
        <v>71</v>
      </c>
      <c r="E25" s="123"/>
      <c r="F25" s="3"/>
      <c r="G25" s="123"/>
      <c r="H25" s="123"/>
      <c r="I25" s="63">
        <f>SUM(I26:I30)</f>
        <v>3065.42</v>
      </c>
      <c r="J25" s="62">
        <f t="shared" si="0"/>
        <v>2.044760293909128E-3</v>
      </c>
      <c r="M25" s="128"/>
    </row>
    <row r="26" spans="1:13" ht="24" customHeight="1" x14ac:dyDescent="0.2">
      <c r="A26" s="116" t="s">
        <v>72</v>
      </c>
      <c r="B26" s="1" t="s">
        <v>73</v>
      </c>
      <c r="C26" s="116" t="s">
        <v>20</v>
      </c>
      <c r="D26" s="116" t="s">
        <v>74</v>
      </c>
      <c r="E26" s="2" t="s">
        <v>49</v>
      </c>
      <c r="F26" s="1">
        <v>1.1519999999999999</v>
      </c>
      <c r="G26" s="61">
        <v>34.51</v>
      </c>
      <c r="H26" s="61">
        <f>ROUND(G26 * (1 + 26.55 / 100), 2)</f>
        <v>43.67</v>
      </c>
      <c r="I26" s="61">
        <f>ROUND(F26 * H26, 2)</f>
        <v>50.31</v>
      </c>
      <c r="J26" s="60">
        <f t="shared" si="0"/>
        <v>3.3558824039305622E-5</v>
      </c>
      <c r="M26" s="128"/>
    </row>
    <row r="27" spans="1:13" ht="24" customHeight="1" x14ac:dyDescent="0.2">
      <c r="A27" s="116" t="s">
        <v>75</v>
      </c>
      <c r="B27" s="1" t="s">
        <v>76</v>
      </c>
      <c r="C27" s="116" t="s">
        <v>20</v>
      </c>
      <c r="D27" s="116" t="s">
        <v>77</v>
      </c>
      <c r="E27" s="2" t="s">
        <v>49</v>
      </c>
      <c r="F27" s="1">
        <v>2.52</v>
      </c>
      <c r="G27" s="61">
        <v>27.25</v>
      </c>
      <c r="H27" s="61">
        <f>ROUND(G27 * (1 + 26.55 / 100), 2)</f>
        <v>34.479999999999997</v>
      </c>
      <c r="I27" s="61">
        <f>ROUND(F27 * H27, 2)</f>
        <v>86.89</v>
      </c>
      <c r="J27" s="60">
        <f t="shared" si="0"/>
        <v>5.7959177514912843E-5</v>
      </c>
      <c r="M27" s="128"/>
    </row>
    <row r="28" spans="1:13" ht="24" customHeight="1" x14ac:dyDescent="0.2">
      <c r="A28" s="116" t="s">
        <v>78</v>
      </c>
      <c r="B28" s="1" t="s">
        <v>1331</v>
      </c>
      <c r="C28" s="116" t="s">
        <v>20</v>
      </c>
      <c r="D28" s="116" t="s">
        <v>1330</v>
      </c>
      <c r="E28" s="2" t="s">
        <v>49</v>
      </c>
      <c r="F28" s="1">
        <v>40</v>
      </c>
      <c r="G28" s="61">
        <v>38.76</v>
      </c>
      <c r="H28" s="61">
        <f>ROUND(G28 * (1 + 26.55 / 100), 2)</f>
        <v>49.05</v>
      </c>
      <c r="I28" s="61">
        <f>ROUND(F28 * H28, 2)</f>
        <v>1962</v>
      </c>
      <c r="J28" s="60">
        <f t="shared" si="0"/>
        <v>1.3087341038584303E-3</v>
      </c>
      <c r="M28" s="128"/>
    </row>
    <row r="29" spans="1:13" ht="24" customHeight="1" x14ac:dyDescent="0.2">
      <c r="A29" s="116" t="s">
        <v>81</v>
      </c>
      <c r="B29" s="1" t="s">
        <v>79</v>
      </c>
      <c r="C29" s="116" t="s">
        <v>20</v>
      </c>
      <c r="D29" s="116" t="s">
        <v>80</v>
      </c>
      <c r="E29" s="2" t="s">
        <v>49</v>
      </c>
      <c r="F29" s="1">
        <v>0.504</v>
      </c>
      <c r="G29" s="61">
        <v>18.05</v>
      </c>
      <c r="H29" s="61">
        <f>ROUND(G29 * (1 + 26.55 / 100), 2)</f>
        <v>22.84</v>
      </c>
      <c r="I29" s="61">
        <f>ROUND(F29 * H29, 2)</f>
        <v>11.51</v>
      </c>
      <c r="J29" s="60">
        <f t="shared" si="0"/>
        <v>7.6776399263050625E-6</v>
      </c>
      <c r="M29" s="128"/>
    </row>
    <row r="30" spans="1:13" ht="24" customHeight="1" x14ac:dyDescent="0.2">
      <c r="A30" s="116" t="s">
        <v>1329</v>
      </c>
      <c r="B30" s="1" t="s">
        <v>82</v>
      </c>
      <c r="C30" s="116" t="s">
        <v>20</v>
      </c>
      <c r="D30" s="116" t="s">
        <v>83</v>
      </c>
      <c r="E30" s="2" t="s">
        <v>49</v>
      </c>
      <c r="F30" s="1">
        <v>41.8</v>
      </c>
      <c r="G30" s="61">
        <v>18.05</v>
      </c>
      <c r="H30" s="61">
        <f>ROUND(G30 * (1 + 26.55 / 100), 2)</f>
        <v>22.84</v>
      </c>
      <c r="I30" s="61">
        <f>ROUND(F30 * H30, 2)</f>
        <v>954.71</v>
      </c>
      <c r="J30" s="60">
        <f t="shared" si="0"/>
        <v>6.3683054857017433E-4</v>
      </c>
      <c r="M30" s="128"/>
    </row>
    <row r="31" spans="1:13" ht="24" customHeight="1" x14ac:dyDescent="0.2">
      <c r="A31" s="123" t="s">
        <v>84</v>
      </c>
      <c r="B31" s="123"/>
      <c r="C31" s="123"/>
      <c r="D31" s="123" t="s">
        <v>85</v>
      </c>
      <c r="E31" s="123"/>
      <c r="F31" s="3"/>
      <c r="G31" s="123"/>
      <c r="H31" s="123"/>
      <c r="I31" s="63">
        <f>SUM(I32:I35)</f>
        <v>2369.62</v>
      </c>
      <c r="J31" s="62">
        <f t="shared" si="0"/>
        <v>1.5806332860270199E-3</v>
      </c>
      <c r="M31" s="128"/>
    </row>
    <row r="32" spans="1:13" ht="24" customHeight="1" x14ac:dyDescent="0.2">
      <c r="A32" s="116" t="s">
        <v>86</v>
      </c>
      <c r="B32" s="1" t="s">
        <v>87</v>
      </c>
      <c r="C32" s="116" t="s">
        <v>20</v>
      </c>
      <c r="D32" s="116" t="s">
        <v>88</v>
      </c>
      <c r="E32" s="2" t="s">
        <v>49</v>
      </c>
      <c r="F32" s="1">
        <v>5.09</v>
      </c>
      <c r="G32" s="61">
        <v>1.71</v>
      </c>
      <c r="H32" s="61">
        <f>ROUND(G32 * (1 + 26.55 / 100), 2)</f>
        <v>2.16</v>
      </c>
      <c r="I32" s="61">
        <f>ROUND(F32 * H32, 2)</f>
        <v>10.99</v>
      </c>
      <c r="J32" s="60">
        <f t="shared" si="0"/>
        <v>7.330778695924642E-6</v>
      </c>
      <c r="M32" s="128"/>
    </row>
    <row r="33" spans="1:13" ht="24" customHeight="1" x14ac:dyDescent="0.2">
      <c r="A33" s="116" t="s">
        <v>89</v>
      </c>
      <c r="B33" s="1" t="s">
        <v>90</v>
      </c>
      <c r="C33" s="116" t="s">
        <v>20</v>
      </c>
      <c r="D33" s="116" t="s">
        <v>91</v>
      </c>
      <c r="E33" s="2" t="s">
        <v>92</v>
      </c>
      <c r="F33" s="1">
        <v>18</v>
      </c>
      <c r="G33" s="61">
        <v>58</v>
      </c>
      <c r="H33" s="61">
        <f>ROUND(G33 * (1 + 26.55 / 100), 2)</f>
        <v>73.400000000000006</v>
      </c>
      <c r="I33" s="61">
        <f>ROUND(F33 * H33, 2)</f>
        <v>1321.2</v>
      </c>
      <c r="J33" s="60">
        <f t="shared" si="0"/>
        <v>8.8129434149732827E-4</v>
      </c>
      <c r="M33" s="128"/>
    </row>
    <row r="34" spans="1:13" ht="24" customHeight="1" x14ac:dyDescent="0.2">
      <c r="A34" s="116" t="s">
        <v>93</v>
      </c>
      <c r="B34" s="1" t="s">
        <v>94</v>
      </c>
      <c r="C34" s="116" t="s">
        <v>20</v>
      </c>
      <c r="D34" s="116" t="s">
        <v>95</v>
      </c>
      <c r="E34" s="2" t="s">
        <v>96</v>
      </c>
      <c r="F34" s="1">
        <v>7.39</v>
      </c>
      <c r="G34" s="61">
        <v>12.45</v>
      </c>
      <c r="H34" s="61">
        <f>ROUND(G34 * (1 + 26.55 / 100), 2)</f>
        <v>15.76</v>
      </c>
      <c r="I34" s="61">
        <f>ROUND(F34 * H34, 2)</f>
        <v>116.47</v>
      </c>
      <c r="J34" s="60">
        <f t="shared" si="0"/>
        <v>7.7690245196937498E-5</v>
      </c>
      <c r="M34" s="128"/>
    </row>
    <row r="35" spans="1:13" ht="24" customHeight="1" x14ac:dyDescent="0.2">
      <c r="A35" s="116" t="s">
        <v>97</v>
      </c>
      <c r="B35" s="1" t="s">
        <v>98</v>
      </c>
      <c r="C35" s="116" t="s">
        <v>20</v>
      </c>
      <c r="D35" s="116" t="s">
        <v>99</v>
      </c>
      <c r="E35" s="2" t="s">
        <v>96</v>
      </c>
      <c r="F35" s="1">
        <v>66.64</v>
      </c>
      <c r="G35" s="61">
        <v>10.92</v>
      </c>
      <c r="H35" s="61">
        <f>ROUND(G35 * (1 + 26.55 / 100), 2)</f>
        <v>13.82</v>
      </c>
      <c r="I35" s="61">
        <f>ROUND(F35 * H35, 2)</f>
        <v>920.96</v>
      </c>
      <c r="J35" s="60">
        <f t="shared" si="0"/>
        <v>6.1431792063682976E-4</v>
      </c>
      <c r="M35" s="128"/>
    </row>
    <row r="36" spans="1:13" ht="24" customHeight="1" x14ac:dyDescent="0.2">
      <c r="A36" s="123" t="s">
        <v>100</v>
      </c>
      <c r="B36" s="123"/>
      <c r="C36" s="123"/>
      <c r="D36" s="123" t="s">
        <v>101</v>
      </c>
      <c r="E36" s="123"/>
      <c r="F36" s="3"/>
      <c r="G36" s="123"/>
      <c r="H36" s="123"/>
      <c r="I36" s="63">
        <f>SUM(I37:I42)</f>
        <v>998.63999999999987</v>
      </c>
      <c r="J36" s="62">
        <f t="shared" si="0"/>
        <v>6.6613365212904311E-4</v>
      </c>
      <c r="M36" s="128"/>
    </row>
    <row r="37" spans="1:13" ht="24" customHeight="1" x14ac:dyDescent="0.2">
      <c r="A37" s="116" t="s">
        <v>102</v>
      </c>
      <c r="B37" s="1" t="s">
        <v>103</v>
      </c>
      <c r="C37" s="116" t="s">
        <v>20</v>
      </c>
      <c r="D37" s="116" t="s">
        <v>104</v>
      </c>
      <c r="E37" s="2" t="s">
        <v>49</v>
      </c>
      <c r="F37" s="1">
        <v>0.05</v>
      </c>
      <c r="G37" s="61">
        <v>151.37</v>
      </c>
      <c r="H37" s="61">
        <f t="shared" ref="H37:H42" si="3">ROUND(G37 * (1 + 26.55 / 100), 2)</f>
        <v>191.56</v>
      </c>
      <c r="I37" s="61">
        <f t="shared" ref="I37:I42" si="4">ROUND(F37 * H37, 2)</f>
        <v>9.58</v>
      </c>
      <c r="J37" s="60">
        <f t="shared" si="0"/>
        <v>6.3902511289315806E-6</v>
      </c>
      <c r="M37" s="128"/>
    </row>
    <row r="38" spans="1:13" ht="24" customHeight="1" x14ac:dyDescent="0.2">
      <c r="A38" s="116" t="s">
        <v>105</v>
      </c>
      <c r="B38" s="1" t="s">
        <v>106</v>
      </c>
      <c r="C38" s="116" t="s">
        <v>20</v>
      </c>
      <c r="D38" s="116" t="s">
        <v>107</v>
      </c>
      <c r="E38" s="2" t="s">
        <v>22</v>
      </c>
      <c r="F38" s="1">
        <v>4.92</v>
      </c>
      <c r="G38" s="61">
        <v>65.41</v>
      </c>
      <c r="H38" s="61">
        <f t="shared" si="3"/>
        <v>82.78</v>
      </c>
      <c r="I38" s="61">
        <f t="shared" si="4"/>
        <v>407.28</v>
      </c>
      <c r="J38" s="60">
        <f t="shared" si="0"/>
        <v>2.7167238828718727E-4</v>
      </c>
      <c r="M38" s="128"/>
    </row>
    <row r="39" spans="1:13" ht="24" customHeight="1" x14ac:dyDescent="0.2">
      <c r="A39" s="116" t="s">
        <v>108</v>
      </c>
      <c r="B39" s="1" t="s">
        <v>94</v>
      </c>
      <c r="C39" s="116" t="s">
        <v>20</v>
      </c>
      <c r="D39" s="116" t="s">
        <v>95</v>
      </c>
      <c r="E39" s="2" t="s">
        <v>96</v>
      </c>
      <c r="F39" s="1">
        <v>7</v>
      </c>
      <c r="G39" s="61">
        <v>12.45</v>
      </c>
      <c r="H39" s="61">
        <f t="shared" si="3"/>
        <v>15.76</v>
      </c>
      <c r="I39" s="61">
        <f t="shared" si="4"/>
        <v>110.32</v>
      </c>
      <c r="J39" s="60"/>
      <c r="M39" s="128"/>
    </row>
    <row r="40" spans="1:13" ht="24" customHeight="1" x14ac:dyDescent="0.2">
      <c r="A40" s="116" t="s">
        <v>109</v>
      </c>
      <c r="B40" s="1" t="s">
        <v>110</v>
      </c>
      <c r="C40" s="116" t="s">
        <v>20</v>
      </c>
      <c r="D40" s="116" t="s">
        <v>111</v>
      </c>
      <c r="E40" s="2" t="s">
        <v>96</v>
      </c>
      <c r="F40" s="1">
        <v>1.5</v>
      </c>
      <c r="G40" s="61">
        <v>11.83</v>
      </c>
      <c r="H40" s="61">
        <f t="shared" si="3"/>
        <v>14.97</v>
      </c>
      <c r="I40" s="61">
        <f t="shared" si="4"/>
        <v>22.46</v>
      </c>
      <c r="J40" s="60">
        <f t="shared" si="0"/>
        <v>1.4981736989123518E-5</v>
      </c>
      <c r="M40" s="128"/>
    </row>
    <row r="41" spans="1:13" ht="24" customHeight="1" x14ac:dyDescent="0.2">
      <c r="A41" s="116" t="s">
        <v>112</v>
      </c>
      <c r="B41" s="1" t="s">
        <v>113</v>
      </c>
      <c r="C41" s="116" t="s">
        <v>20</v>
      </c>
      <c r="D41" s="116" t="s">
        <v>114</v>
      </c>
      <c r="E41" s="2" t="s">
        <v>49</v>
      </c>
      <c r="F41" s="1">
        <v>0.71</v>
      </c>
      <c r="G41" s="61">
        <v>468.79</v>
      </c>
      <c r="H41" s="61">
        <f t="shared" si="3"/>
        <v>593.25</v>
      </c>
      <c r="I41" s="61">
        <f t="shared" si="4"/>
        <v>421.21</v>
      </c>
      <c r="J41" s="60">
        <f t="shared" si="0"/>
        <v>2.809642670164166E-4</v>
      </c>
      <c r="M41" s="128"/>
    </row>
    <row r="42" spans="1:13" ht="24" customHeight="1" x14ac:dyDescent="0.2">
      <c r="A42" s="116" t="s">
        <v>115</v>
      </c>
      <c r="B42" s="1" t="s">
        <v>116</v>
      </c>
      <c r="C42" s="116" t="s">
        <v>20</v>
      </c>
      <c r="D42" s="116" t="s">
        <v>117</v>
      </c>
      <c r="E42" s="2" t="s">
        <v>49</v>
      </c>
      <c r="F42" s="1">
        <v>0.71</v>
      </c>
      <c r="G42" s="61">
        <v>30.93</v>
      </c>
      <c r="H42" s="61">
        <f t="shared" si="3"/>
        <v>39.14</v>
      </c>
      <c r="I42" s="61">
        <f t="shared" si="4"/>
        <v>27.79</v>
      </c>
      <c r="J42" s="60">
        <f t="shared" si="0"/>
        <v>1.853706460052282E-5</v>
      </c>
      <c r="M42" s="128"/>
    </row>
    <row r="43" spans="1:13" ht="24" customHeight="1" x14ac:dyDescent="0.2">
      <c r="A43" s="123" t="s">
        <v>118</v>
      </c>
      <c r="B43" s="123"/>
      <c r="C43" s="123"/>
      <c r="D43" s="123" t="s">
        <v>119</v>
      </c>
      <c r="E43" s="123"/>
      <c r="F43" s="3"/>
      <c r="G43" s="123"/>
      <c r="H43" s="123"/>
      <c r="I43" s="63">
        <f>SUM(I44:I50)</f>
        <v>1818.02</v>
      </c>
      <c r="J43" s="62">
        <f t="shared" si="0"/>
        <v>1.2126935654927131E-3</v>
      </c>
      <c r="M43" s="128"/>
    </row>
    <row r="44" spans="1:13" ht="24" customHeight="1" x14ac:dyDescent="0.2">
      <c r="A44" s="116" t="s">
        <v>120</v>
      </c>
      <c r="B44" s="1" t="s">
        <v>103</v>
      </c>
      <c r="C44" s="116" t="s">
        <v>20</v>
      </c>
      <c r="D44" s="116" t="s">
        <v>104</v>
      </c>
      <c r="E44" s="2" t="s">
        <v>49</v>
      </c>
      <c r="F44" s="1">
        <v>0.09</v>
      </c>
      <c r="G44" s="61">
        <v>151.37</v>
      </c>
      <c r="H44" s="61">
        <f t="shared" ref="H44:H50" si="5">ROUND(G44 * (1 + 26.55 / 100), 2)</f>
        <v>191.56</v>
      </c>
      <c r="I44" s="61">
        <f t="shared" ref="I44:I50" si="6">ROUND(F44 * H44, 2)</f>
        <v>17.239999999999998</v>
      </c>
      <c r="J44" s="60">
        <f t="shared" si="0"/>
        <v>1.1499783868766225E-5</v>
      </c>
      <c r="M44" s="128"/>
    </row>
    <row r="45" spans="1:13" ht="24" customHeight="1" x14ac:dyDescent="0.2">
      <c r="A45" s="116" t="s">
        <v>121</v>
      </c>
      <c r="B45" s="1" t="s">
        <v>122</v>
      </c>
      <c r="C45" s="116" t="s">
        <v>20</v>
      </c>
      <c r="D45" s="116" t="s">
        <v>123</v>
      </c>
      <c r="E45" s="2" t="s">
        <v>22</v>
      </c>
      <c r="F45" s="1">
        <v>12.33</v>
      </c>
      <c r="G45" s="61">
        <v>34.380000000000003</v>
      </c>
      <c r="H45" s="61">
        <f t="shared" si="5"/>
        <v>43.51</v>
      </c>
      <c r="I45" s="61">
        <f t="shared" si="6"/>
        <v>536.48</v>
      </c>
      <c r="J45" s="60">
        <f t="shared" si="0"/>
        <v>3.5785406322016853E-4</v>
      </c>
      <c r="M45" s="128"/>
    </row>
    <row r="46" spans="1:13" ht="24" customHeight="1" x14ac:dyDescent="0.2">
      <c r="A46" s="116" t="s">
        <v>124</v>
      </c>
      <c r="B46" s="1" t="s">
        <v>94</v>
      </c>
      <c r="C46" s="116" t="s">
        <v>20</v>
      </c>
      <c r="D46" s="116" t="s">
        <v>95</v>
      </c>
      <c r="E46" s="2" t="s">
        <v>96</v>
      </c>
      <c r="F46" s="1">
        <v>9.1999999999999993</v>
      </c>
      <c r="G46" s="61">
        <v>12.45</v>
      </c>
      <c r="H46" s="61">
        <f t="shared" si="5"/>
        <v>15.76</v>
      </c>
      <c r="I46" s="61">
        <f t="shared" si="6"/>
        <v>144.99</v>
      </c>
      <c r="J46" s="60">
        <f t="shared" si="0"/>
        <v>9.6714249601648225E-5</v>
      </c>
      <c r="M46" s="128"/>
    </row>
    <row r="47" spans="1:13" ht="24" customHeight="1" x14ac:dyDescent="0.2">
      <c r="A47" s="116" t="s">
        <v>125</v>
      </c>
      <c r="B47" s="1" t="s">
        <v>126</v>
      </c>
      <c r="C47" s="116" t="s">
        <v>20</v>
      </c>
      <c r="D47" s="116" t="s">
        <v>127</v>
      </c>
      <c r="E47" s="2" t="s">
        <v>96</v>
      </c>
      <c r="F47" s="1">
        <v>19.7</v>
      </c>
      <c r="G47" s="61">
        <v>11.25</v>
      </c>
      <c r="H47" s="61">
        <f t="shared" si="5"/>
        <v>14.24</v>
      </c>
      <c r="I47" s="61">
        <f t="shared" si="6"/>
        <v>280.52999999999997</v>
      </c>
      <c r="J47" s="60">
        <f t="shared" si="0"/>
        <v>1.8712496338195995E-4</v>
      </c>
      <c r="M47" s="128"/>
    </row>
    <row r="48" spans="1:13" ht="24" customHeight="1" x14ac:dyDescent="0.2">
      <c r="A48" s="116" t="s">
        <v>128</v>
      </c>
      <c r="B48" s="1" t="s">
        <v>98</v>
      </c>
      <c r="C48" s="116" t="s">
        <v>20</v>
      </c>
      <c r="D48" s="116" t="s">
        <v>99</v>
      </c>
      <c r="E48" s="2" t="s">
        <v>96</v>
      </c>
      <c r="F48" s="1">
        <v>23.5</v>
      </c>
      <c r="G48" s="61">
        <v>10.92</v>
      </c>
      <c r="H48" s="61">
        <f t="shared" si="5"/>
        <v>13.82</v>
      </c>
      <c r="I48" s="61">
        <f t="shared" si="6"/>
        <v>324.77</v>
      </c>
      <c r="J48" s="60">
        <f t="shared" si="0"/>
        <v>2.1663484959740182E-4</v>
      </c>
      <c r="M48" s="128"/>
    </row>
    <row r="49" spans="1:13" ht="24" customHeight="1" x14ac:dyDescent="0.2">
      <c r="A49" s="116" t="s">
        <v>129</v>
      </c>
      <c r="B49" s="1" t="s">
        <v>130</v>
      </c>
      <c r="C49" s="116" t="s">
        <v>20</v>
      </c>
      <c r="D49" s="116" t="s">
        <v>131</v>
      </c>
      <c r="E49" s="2" t="s">
        <v>49</v>
      </c>
      <c r="F49" s="1">
        <v>0.78</v>
      </c>
      <c r="G49" s="61">
        <v>489.81</v>
      </c>
      <c r="H49" s="61">
        <f t="shared" si="5"/>
        <v>619.85</v>
      </c>
      <c r="I49" s="61">
        <f t="shared" si="6"/>
        <v>483.48</v>
      </c>
      <c r="J49" s="60">
        <f t="shared" si="0"/>
        <v>3.225008993544719E-4</v>
      </c>
      <c r="M49" s="128"/>
    </row>
    <row r="50" spans="1:13" ht="24" customHeight="1" x14ac:dyDescent="0.2">
      <c r="A50" s="116" t="s">
        <v>132</v>
      </c>
      <c r="B50" s="1" t="s">
        <v>116</v>
      </c>
      <c r="C50" s="116" t="s">
        <v>20</v>
      </c>
      <c r="D50" s="116" t="s">
        <v>117</v>
      </c>
      <c r="E50" s="2" t="s">
        <v>49</v>
      </c>
      <c r="F50" s="1">
        <v>0.78</v>
      </c>
      <c r="G50" s="61">
        <v>30.93</v>
      </c>
      <c r="H50" s="61">
        <f t="shared" si="5"/>
        <v>39.14</v>
      </c>
      <c r="I50" s="61">
        <f t="shared" si="6"/>
        <v>30.53</v>
      </c>
      <c r="J50" s="60">
        <f t="shared" si="0"/>
        <v>2.0364756468296573E-5</v>
      </c>
      <c r="M50" s="128"/>
    </row>
    <row r="51" spans="1:13" ht="24" customHeight="1" x14ac:dyDescent="0.2">
      <c r="A51" s="123" t="s">
        <v>133</v>
      </c>
      <c r="B51" s="123"/>
      <c r="C51" s="123"/>
      <c r="D51" s="123" t="s">
        <v>134</v>
      </c>
      <c r="E51" s="123"/>
      <c r="F51" s="3"/>
      <c r="G51" s="123"/>
      <c r="H51" s="123"/>
      <c r="I51" s="63">
        <f>SUM(I52:I53)</f>
        <v>5409.49</v>
      </c>
      <c r="J51" s="62">
        <f t="shared" si="0"/>
        <v>3.6083506867895716E-3</v>
      </c>
      <c r="M51" s="128"/>
    </row>
    <row r="52" spans="1:13" ht="24" customHeight="1" x14ac:dyDescent="0.2">
      <c r="A52" s="116" t="s">
        <v>135</v>
      </c>
      <c r="B52" s="1" t="s">
        <v>136</v>
      </c>
      <c r="C52" s="116" t="s">
        <v>25</v>
      </c>
      <c r="D52" s="116" t="s">
        <v>137</v>
      </c>
      <c r="E52" s="2" t="s">
        <v>49</v>
      </c>
      <c r="F52" s="1">
        <v>68.25</v>
      </c>
      <c r="G52" s="61">
        <v>52.19</v>
      </c>
      <c r="H52" s="61">
        <f>ROUND(G52 * (1 + 26.55 / 100), 2)</f>
        <v>66.05</v>
      </c>
      <c r="I52" s="61">
        <f>ROUND(F52 * H52, 2)</f>
        <v>4507.91</v>
      </c>
      <c r="J52" s="60">
        <f t="shared" si="0"/>
        <v>3.0069600173926892E-3</v>
      </c>
      <c r="M52" s="128"/>
    </row>
    <row r="53" spans="1:13" ht="36" customHeight="1" x14ac:dyDescent="0.2">
      <c r="A53" s="116" t="s">
        <v>138</v>
      </c>
      <c r="B53" s="1" t="s">
        <v>139</v>
      </c>
      <c r="C53" s="116" t="s">
        <v>25</v>
      </c>
      <c r="D53" s="116" t="s">
        <v>140</v>
      </c>
      <c r="E53" s="2" t="s">
        <v>49</v>
      </c>
      <c r="F53" s="1">
        <v>68.25</v>
      </c>
      <c r="G53" s="61">
        <v>10.44</v>
      </c>
      <c r="H53" s="61">
        <f>ROUND(G53 * (1 + 26.55 / 100), 2)</f>
        <v>13.21</v>
      </c>
      <c r="I53" s="61">
        <f>ROUND(F53 * H53, 2)</f>
        <v>901.58</v>
      </c>
      <c r="J53" s="60">
        <f t="shared" si="0"/>
        <v>6.0139066939688258E-4</v>
      </c>
      <c r="M53" s="128"/>
    </row>
    <row r="54" spans="1:13" ht="24" customHeight="1" x14ac:dyDescent="0.2">
      <c r="A54" s="123" t="s">
        <v>141</v>
      </c>
      <c r="B54" s="123"/>
      <c r="C54" s="123"/>
      <c r="D54" s="123" t="s">
        <v>142</v>
      </c>
      <c r="E54" s="123"/>
      <c r="F54" s="3"/>
      <c r="G54" s="123"/>
      <c r="H54" s="123"/>
      <c r="I54" s="63">
        <f>I55+I64+I76+I78+I80+I85</f>
        <v>111318.41</v>
      </c>
      <c r="J54" s="62">
        <f t="shared" si="0"/>
        <v>7.4253924339600055E-2</v>
      </c>
      <c r="M54" s="128"/>
    </row>
    <row r="55" spans="1:13" ht="24" customHeight="1" x14ac:dyDescent="0.2">
      <c r="A55" s="123" t="s">
        <v>143</v>
      </c>
      <c r="B55" s="123"/>
      <c r="C55" s="123"/>
      <c r="D55" s="123" t="s">
        <v>144</v>
      </c>
      <c r="E55" s="123"/>
      <c r="F55" s="3"/>
      <c r="G55" s="123"/>
      <c r="H55" s="123"/>
      <c r="I55" s="63">
        <f>SUM(I56:I63)</f>
        <v>24317.769999999997</v>
      </c>
      <c r="J55" s="62">
        <f t="shared" si="0"/>
        <v>1.6220945427515503E-2</v>
      </c>
      <c r="M55" s="128"/>
    </row>
    <row r="56" spans="1:13" ht="24" customHeight="1" x14ac:dyDescent="0.2">
      <c r="A56" s="116" t="s">
        <v>145</v>
      </c>
      <c r="B56" s="1" t="s">
        <v>146</v>
      </c>
      <c r="C56" s="116" t="s">
        <v>20</v>
      </c>
      <c r="D56" s="116" t="s">
        <v>147</v>
      </c>
      <c r="E56" s="2" t="s">
        <v>22</v>
      </c>
      <c r="F56" s="1">
        <v>89.99</v>
      </c>
      <c r="G56" s="61">
        <v>91.35</v>
      </c>
      <c r="H56" s="61">
        <f t="shared" ref="H56:H63" si="7">ROUND(G56 * (1 + 26.55 / 100), 2)</f>
        <v>115.6</v>
      </c>
      <c r="I56" s="61">
        <f t="shared" ref="I56:I63" si="8">ROUND(F56 * H56, 2)</f>
        <v>10402.84</v>
      </c>
      <c r="J56" s="60">
        <f t="shared" si="0"/>
        <v>6.9391190035589358E-3</v>
      </c>
      <c r="M56" s="128"/>
    </row>
    <row r="57" spans="1:13" ht="24" customHeight="1" x14ac:dyDescent="0.2">
      <c r="A57" s="116" t="s">
        <v>148</v>
      </c>
      <c r="B57" s="1" t="s">
        <v>94</v>
      </c>
      <c r="C57" s="116" t="s">
        <v>20</v>
      </c>
      <c r="D57" s="116" t="s">
        <v>95</v>
      </c>
      <c r="E57" s="2" t="s">
        <v>96</v>
      </c>
      <c r="F57" s="1">
        <v>146.84</v>
      </c>
      <c r="G57" s="61">
        <v>12.45</v>
      </c>
      <c r="H57" s="61">
        <f t="shared" si="7"/>
        <v>15.76</v>
      </c>
      <c r="I57" s="61">
        <f t="shared" si="8"/>
        <v>2314.1999999999998</v>
      </c>
      <c r="J57" s="60">
        <f t="shared" si="0"/>
        <v>1.5436658833583991E-3</v>
      </c>
      <c r="M57" s="128"/>
    </row>
    <row r="58" spans="1:13" ht="24" customHeight="1" x14ac:dyDescent="0.2">
      <c r="A58" s="116" t="s">
        <v>149</v>
      </c>
      <c r="B58" s="1" t="s">
        <v>150</v>
      </c>
      <c r="C58" s="116" t="s">
        <v>20</v>
      </c>
      <c r="D58" s="116" t="s">
        <v>99</v>
      </c>
      <c r="E58" s="2" t="s">
        <v>96</v>
      </c>
      <c r="F58" s="1">
        <v>296.07</v>
      </c>
      <c r="G58" s="61">
        <v>10.92</v>
      </c>
      <c r="H58" s="61">
        <f t="shared" si="7"/>
        <v>13.82</v>
      </c>
      <c r="I58" s="61">
        <f t="shared" si="8"/>
        <v>4091.69</v>
      </c>
      <c r="J58" s="60">
        <f t="shared" si="0"/>
        <v>2.7293242841062693E-3</v>
      </c>
      <c r="M58" s="128"/>
    </row>
    <row r="59" spans="1:13" ht="24" customHeight="1" x14ac:dyDescent="0.2">
      <c r="A59" s="116" t="s">
        <v>151</v>
      </c>
      <c r="B59" s="1" t="s">
        <v>152</v>
      </c>
      <c r="C59" s="116" t="s">
        <v>20</v>
      </c>
      <c r="D59" s="116" t="s">
        <v>153</v>
      </c>
      <c r="E59" s="2" t="s">
        <v>96</v>
      </c>
      <c r="F59" s="1">
        <v>150.94999999999999</v>
      </c>
      <c r="G59" s="61">
        <v>11.46</v>
      </c>
      <c r="H59" s="61">
        <f t="shared" si="7"/>
        <v>14.5</v>
      </c>
      <c r="I59" s="61">
        <f t="shared" si="8"/>
        <v>2188.7800000000002</v>
      </c>
      <c r="J59" s="60">
        <f t="shared" si="0"/>
        <v>1.4600056227539527E-3</v>
      </c>
      <c r="M59" s="128"/>
    </row>
    <row r="60" spans="1:13" ht="24" customHeight="1" x14ac:dyDescent="0.2">
      <c r="A60" s="116" t="s">
        <v>154</v>
      </c>
      <c r="B60" s="1" t="s">
        <v>155</v>
      </c>
      <c r="C60" s="116" t="s">
        <v>20</v>
      </c>
      <c r="D60" s="116" t="s">
        <v>156</v>
      </c>
      <c r="E60" s="2" t="s">
        <v>96</v>
      </c>
      <c r="F60" s="1">
        <v>15.3</v>
      </c>
      <c r="G60" s="61">
        <v>11.32</v>
      </c>
      <c r="H60" s="61">
        <f t="shared" si="7"/>
        <v>14.33</v>
      </c>
      <c r="I60" s="61">
        <f t="shared" si="8"/>
        <v>219.25</v>
      </c>
      <c r="J60" s="60">
        <f t="shared" si="0"/>
        <v>1.4624870146328278E-4</v>
      </c>
      <c r="M60" s="128"/>
    </row>
    <row r="61" spans="1:13" ht="24" customHeight="1" x14ac:dyDescent="0.2">
      <c r="A61" s="116" t="s">
        <v>157</v>
      </c>
      <c r="B61" s="1" t="s">
        <v>158</v>
      </c>
      <c r="C61" s="116" t="s">
        <v>20</v>
      </c>
      <c r="D61" s="116" t="s">
        <v>159</v>
      </c>
      <c r="E61" s="2" t="s">
        <v>96</v>
      </c>
      <c r="F61" s="1">
        <v>110.7</v>
      </c>
      <c r="G61" s="61">
        <v>11.15</v>
      </c>
      <c r="H61" s="61">
        <f t="shared" si="7"/>
        <v>14.11</v>
      </c>
      <c r="I61" s="61">
        <f t="shared" si="8"/>
        <v>1561.98</v>
      </c>
      <c r="J61" s="60">
        <f t="shared" si="0"/>
        <v>1.0419044319800157E-3</v>
      </c>
      <c r="M61" s="128"/>
    </row>
    <row r="62" spans="1:13" ht="24" customHeight="1" x14ac:dyDescent="0.2">
      <c r="A62" s="116" t="s">
        <v>160</v>
      </c>
      <c r="B62" s="1" t="s">
        <v>161</v>
      </c>
      <c r="C62" s="116" t="s">
        <v>20</v>
      </c>
      <c r="D62" s="116" t="s">
        <v>131</v>
      </c>
      <c r="E62" s="2" t="s">
        <v>49</v>
      </c>
      <c r="F62" s="1">
        <v>5.3</v>
      </c>
      <c r="G62" s="61">
        <v>489.81</v>
      </c>
      <c r="H62" s="61">
        <f t="shared" si="7"/>
        <v>619.85</v>
      </c>
      <c r="I62" s="61">
        <f t="shared" si="8"/>
        <v>3285.21</v>
      </c>
      <c r="J62" s="60">
        <f t="shared" si="0"/>
        <v>2.1913691974193442E-3</v>
      </c>
      <c r="M62" s="128"/>
    </row>
    <row r="63" spans="1:13" ht="24" customHeight="1" x14ac:dyDescent="0.2">
      <c r="A63" s="116" t="s">
        <v>162</v>
      </c>
      <c r="B63" s="1" t="s">
        <v>163</v>
      </c>
      <c r="C63" s="116" t="s">
        <v>20</v>
      </c>
      <c r="D63" s="116" t="s">
        <v>164</v>
      </c>
      <c r="E63" s="2" t="s">
        <v>49</v>
      </c>
      <c r="F63" s="1">
        <v>5.3</v>
      </c>
      <c r="G63" s="61">
        <v>37.840000000000003</v>
      </c>
      <c r="H63" s="61">
        <f t="shared" si="7"/>
        <v>47.89</v>
      </c>
      <c r="I63" s="61">
        <f t="shared" si="8"/>
        <v>253.82</v>
      </c>
      <c r="J63" s="60">
        <f t="shared" si="0"/>
        <v>1.6930830287530414E-4</v>
      </c>
      <c r="M63" s="128"/>
    </row>
    <row r="64" spans="1:13" ht="24" customHeight="1" x14ac:dyDescent="0.2">
      <c r="A64" s="123" t="s">
        <v>165</v>
      </c>
      <c r="B64" s="123"/>
      <c r="C64" s="123"/>
      <c r="D64" s="123" t="s">
        <v>166</v>
      </c>
      <c r="E64" s="123"/>
      <c r="F64" s="3"/>
      <c r="G64" s="123"/>
      <c r="H64" s="123"/>
      <c r="I64" s="63">
        <f>SUM(I65:I75)</f>
        <v>24464.11</v>
      </c>
      <c r="J64" s="62">
        <f t="shared" si="0"/>
        <v>1.6318560182234487E-2</v>
      </c>
      <c r="M64" s="128"/>
    </row>
    <row r="65" spans="1:13" ht="24" customHeight="1" x14ac:dyDescent="0.2">
      <c r="A65" s="116" t="s">
        <v>167</v>
      </c>
      <c r="B65" s="1" t="s">
        <v>146</v>
      </c>
      <c r="C65" s="116" t="s">
        <v>20</v>
      </c>
      <c r="D65" s="116" t="s">
        <v>147</v>
      </c>
      <c r="E65" s="2" t="s">
        <v>22</v>
      </c>
      <c r="F65" s="1">
        <v>49.17</v>
      </c>
      <c r="G65" s="61">
        <v>91.35</v>
      </c>
      <c r="H65" s="61">
        <f t="shared" ref="H65:H75" si="9">ROUND(G65 * (1 + 26.55 / 100), 2)</f>
        <v>115.6</v>
      </c>
      <c r="I65" s="61">
        <f t="shared" ref="I65:I75" si="10">ROUND(F65 * H65, 2)</f>
        <v>5684.05</v>
      </c>
      <c r="J65" s="60">
        <f t="shared" si="0"/>
        <v>3.7914934164304335E-3</v>
      </c>
      <c r="M65" s="128"/>
    </row>
    <row r="66" spans="1:13" ht="24" customHeight="1" x14ac:dyDescent="0.2">
      <c r="A66" s="116" t="s">
        <v>168</v>
      </c>
      <c r="B66" s="1" t="s">
        <v>94</v>
      </c>
      <c r="C66" s="116" t="s">
        <v>20</v>
      </c>
      <c r="D66" s="116" t="s">
        <v>95</v>
      </c>
      <c r="E66" s="2" t="s">
        <v>96</v>
      </c>
      <c r="F66" s="1">
        <v>95.9</v>
      </c>
      <c r="G66" s="61">
        <v>12.45</v>
      </c>
      <c r="H66" s="61">
        <f t="shared" si="9"/>
        <v>15.76</v>
      </c>
      <c r="I66" s="61">
        <f t="shared" si="10"/>
        <v>1511.38</v>
      </c>
      <c r="J66" s="60">
        <f t="shared" si="0"/>
        <v>1.0081521661006903E-3</v>
      </c>
      <c r="M66" s="128"/>
    </row>
    <row r="67" spans="1:13" ht="24" customHeight="1" x14ac:dyDescent="0.2">
      <c r="A67" s="116" t="s">
        <v>169</v>
      </c>
      <c r="B67" s="1" t="s">
        <v>170</v>
      </c>
      <c r="C67" s="116" t="s">
        <v>20</v>
      </c>
      <c r="D67" s="116" t="s">
        <v>171</v>
      </c>
      <c r="E67" s="2" t="s">
        <v>96</v>
      </c>
      <c r="F67" s="1">
        <v>52</v>
      </c>
      <c r="G67" s="61">
        <v>11.83</v>
      </c>
      <c r="H67" s="61">
        <f t="shared" si="9"/>
        <v>14.97</v>
      </c>
      <c r="I67" s="61">
        <f t="shared" si="10"/>
        <v>778.44</v>
      </c>
      <c r="J67" s="60">
        <f t="shared" si="0"/>
        <v>5.1925126187948856E-4</v>
      </c>
      <c r="M67" s="128"/>
    </row>
    <row r="68" spans="1:13" ht="24" customHeight="1" x14ac:dyDescent="0.2">
      <c r="A68" s="116" t="s">
        <v>172</v>
      </c>
      <c r="B68" s="1" t="s">
        <v>173</v>
      </c>
      <c r="C68" s="116" t="s">
        <v>20</v>
      </c>
      <c r="D68" s="116" t="s">
        <v>174</v>
      </c>
      <c r="E68" s="2" t="s">
        <v>96</v>
      </c>
      <c r="F68" s="1">
        <v>110.3</v>
      </c>
      <c r="G68" s="61">
        <v>11.25</v>
      </c>
      <c r="H68" s="61">
        <f t="shared" si="9"/>
        <v>14.24</v>
      </c>
      <c r="I68" s="61">
        <f t="shared" si="10"/>
        <v>1570.67</v>
      </c>
      <c r="J68" s="60">
        <f t="shared" si="0"/>
        <v>1.0477010167723347E-3</v>
      </c>
      <c r="M68" s="128"/>
    </row>
    <row r="69" spans="1:13" ht="24" customHeight="1" x14ac:dyDescent="0.2">
      <c r="A69" s="116" t="s">
        <v>175</v>
      </c>
      <c r="B69" s="1" t="s">
        <v>150</v>
      </c>
      <c r="C69" s="116" t="s">
        <v>20</v>
      </c>
      <c r="D69" s="116" t="s">
        <v>99</v>
      </c>
      <c r="E69" s="2" t="s">
        <v>96</v>
      </c>
      <c r="F69" s="1">
        <v>78.599999999999994</v>
      </c>
      <c r="G69" s="61">
        <v>10.92</v>
      </c>
      <c r="H69" s="61">
        <f t="shared" si="9"/>
        <v>13.82</v>
      </c>
      <c r="I69" s="61">
        <f t="shared" si="10"/>
        <v>1086.25</v>
      </c>
      <c r="J69" s="60">
        <f t="shared" ref="J69:J132" si="11">I69 / 1499158.61</f>
        <v>7.245730990398674E-4</v>
      </c>
      <c r="M69" s="128"/>
    </row>
    <row r="70" spans="1:13" ht="24" customHeight="1" x14ac:dyDescent="0.2">
      <c r="A70" s="116" t="s">
        <v>176</v>
      </c>
      <c r="B70" s="1" t="s">
        <v>152</v>
      </c>
      <c r="C70" s="116" t="s">
        <v>20</v>
      </c>
      <c r="D70" s="116" t="s">
        <v>153</v>
      </c>
      <c r="E70" s="2" t="s">
        <v>96</v>
      </c>
      <c r="F70" s="1">
        <v>116.8</v>
      </c>
      <c r="G70" s="61">
        <v>11.46</v>
      </c>
      <c r="H70" s="61">
        <f t="shared" si="9"/>
        <v>14.5</v>
      </c>
      <c r="I70" s="61">
        <f t="shared" si="10"/>
        <v>1693.6</v>
      </c>
      <c r="J70" s="60">
        <f t="shared" si="11"/>
        <v>1.1297003457159211E-3</v>
      </c>
      <c r="M70" s="128"/>
    </row>
    <row r="71" spans="1:13" ht="24" customHeight="1" x14ac:dyDescent="0.2">
      <c r="A71" s="116" t="s">
        <v>177</v>
      </c>
      <c r="B71" s="1" t="s">
        <v>155</v>
      </c>
      <c r="C71" s="116" t="s">
        <v>20</v>
      </c>
      <c r="D71" s="116" t="s">
        <v>156</v>
      </c>
      <c r="E71" s="2" t="s">
        <v>96</v>
      </c>
      <c r="F71" s="1">
        <v>109.6</v>
      </c>
      <c r="G71" s="61">
        <v>11.32</v>
      </c>
      <c r="H71" s="61">
        <f t="shared" si="9"/>
        <v>14.33</v>
      </c>
      <c r="I71" s="61">
        <f t="shared" si="10"/>
        <v>1570.57</v>
      </c>
      <c r="J71" s="60">
        <f t="shared" si="11"/>
        <v>1.0476343126895691E-3</v>
      </c>
      <c r="M71" s="128"/>
    </row>
    <row r="72" spans="1:13" ht="24" customHeight="1" x14ac:dyDescent="0.2">
      <c r="A72" s="116" t="s">
        <v>178</v>
      </c>
      <c r="B72" s="1" t="s">
        <v>158</v>
      </c>
      <c r="C72" s="116" t="s">
        <v>20</v>
      </c>
      <c r="D72" s="116" t="s">
        <v>159</v>
      </c>
      <c r="E72" s="2" t="s">
        <v>96</v>
      </c>
      <c r="F72" s="1">
        <v>113.4</v>
      </c>
      <c r="G72" s="61">
        <v>11.15</v>
      </c>
      <c r="H72" s="61">
        <f t="shared" si="9"/>
        <v>14.11</v>
      </c>
      <c r="I72" s="61">
        <f t="shared" si="10"/>
        <v>1600.07</v>
      </c>
      <c r="J72" s="60">
        <f t="shared" si="11"/>
        <v>1.0673120171053815E-3</v>
      </c>
      <c r="M72" s="128"/>
    </row>
    <row r="73" spans="1:13" ht="24" customHeight="1" x14ac:dyDescent="0.2">
      <c r="A73" s="116" t="s">
        <v>179</v>
      </c>
      <c r="B73" s="1" t="s">
        <v>161</v>
      </c>
      <c r="C73" s="116" t="s">
        <v>20</v>
      </c>
      <c r="D73" s="116" t="s">
        <v>131</v>
      </c>
      <c r="E73" s="2" t="s">
        <v>49</v>
      </c>
      <c r="F73" s="1">
        <v>2.88</v>
      </c>
      <c r="G73" s="61">
        <v>489.81</v>
      </c>
      <c r="H73" s="61">
        <f t="shared" si="9"/>
        <v>619.85</v>
      </c>
      <c r="I73" s="61">
        <f t="shared" si="10"/>
        <v>1785.17</v>
      </c>
      <c r="J73" s="60">
        <f t="shared" si="11"/>
        <v>1.1907812743042578E-3</v>
      </c>
      <c r="M73" s="128"/>
    </row>
    <row r="74" spans="1:13" ht="24" customHeight="1" x14ac:dyDescent="0.2">
      <c r="A74" s="116" t="s">
        <v>180</v>
      </c>
      <c r="B74" s="1" t="s">
        <v>163</v>
      </c>
      <c r="C74" s="116" t="s">
        <v>20</v>
      </c>
      <c r="D74" s="116" t="s">
        <v>164</v>
      </c>
      <c r="E74" s="2" t="s">
        <v>49</v>
      </c>
      <c r="F74" s="1">
        <v>2.88</v>
      </c>
      <c r="G74" s="61">
        <v>37.840000000000003</v>
      </c>
      <c r="H74" s="61">
        <f t="shared" si="9"/>
        <v>47.89</v>
      </c>
      <c r="I74" s="61">
        <f t="shared" si="10"/>
        <v>137.91999999999999</v>
      </c>
      <c r="J74" s="60">
        <f t="shared" si="11"/>
        <v>9.1998270950129801E-5</v>
      </c>
      <c r="M74" s="128"/>
    </row>
    <row r="75" spans="1:13" ht="24" customHeight="1" x14ac:dyDescent="0.2">
      <c r="A75" s="116" t="s">
        <v>1328</v>
      </c>
      <c r="B75" s="1" t="s">
        <v>1327</v>
      </c>
      <c r="C75" s="116" t="s">
        <v>25</v>
      </c>
      <c r="D75" s="116" t="s">
        <v>1326</v>
      </c>
      <c r="E75" s="2" t="s">
        <v>92</v>
      </c>
      <c r="F75" s="1">
        <v>91.01</v>
      </c>
      <c r="G75" s="61">
        <v>61.18</v>
      </c>
      <c r="H75" s="61">
        <f t="shared" si="9"/>
        <v>77.42</v>
      </c>
      <c r="I75" s="61">
        <f t="shared" si="10"/>
        <v>7045.99</v>
      </c>
      <c r="J75" s="60">
        <f t="shared" si="11"/>
        <v>4.6999630012464124E-3</v>
      </c>
      <c r="M75" s="128"/>
    </row>
    <row r="76" spans="1:13" ht="24" customHeight="1" x14ac:dyDescent="0.2">
      <c r="A76" s="123" t="s">
        <v>181</v>
      </c>
      <c r="B76" s="123"/>
      <c r="C76" s="123"/>
      <c r="D76" s="123" t="s">
        <v>182</v>
      </c>
      <c r="E76" s="123"/>
      <c r="F76" s="3"/>
      <c r="G76" s="123"/>
      <c r="H76" s="123"/>
      <c r="I76" s="63">
        <f>SUM(I77)</f>
        <v>22581.39</v>
      </c>
      <c r="J76" s="62">
        <f t="shared" si="11"/>
        <v>1.5062709075192516E-2</v>
      </c>
      <c r="M76" s="128"/>
    </row>
    <row r="77" spans="1:13" ht="24" customHeight="1" x14ac:dyDescent="0.2">
      <c r="A77" s="116" t="s">
        <v>183</v>
      </c>
      <c r="B77" s="1" t="s">
        <v>184</v>
      </c>
      <c r="C77" s="116" t="s">
        <v>20</v>
      </c>
      <c r="D77" s="116" t="s">
        <v>185</v>
      </c>
      <c r="E77" s="2" t="s">
        <v>22</v>
      </c>
      <c r="F77" s="1">
        <v>161.1</v>
      </c>
      <c r="G77" s="61">
        <v>110.76</v>
      </c>
      <c r="H77" s="61">
        <f>ROUND(G77 * (1 + 26.55 / 100), 2)</f>
        <v>140.16999999999999</v>
      </c>
      <c r="I77" s="61">
        <f>ROUND(F77 * H77, 2)</f>
        <v>22581.39</v>
      </c>
      <c r="J77" s="60">
        <f t="shared" si="11"/>
        <v>1.5062709075192516E-2</v>
      </c>
      <c r="M77" s="128"/>
    </row>
    <row r="78" spans="1:13" ht="24" customHeight="1" x14ac:dyDescent="0.2">
      <c r="A78" s="123" t="s">
        <v>186</v>
      </c>
      <c r="B78" s="123"/>
      <c r="C78" s="123"/>
      <c r="D78" s="123" t="s">
        <v>187</v>
      </c>
      <c r="E78" s="123"/>
      <c r="F78" s="3"/>
      <c r="G78" s="123"/>
      <c r="H78" s="123"/>
      <c r="I78" s="63">
        <f>SUM(I79)</f>
        <v>22197.1</v>
      </c>
      <c r="J78" s="62">
        <f t="shared" si="11"/>
        <v>1.4806371955533108E-2</v>
      </c>
      <c r="M78" s="128"/>
    </row>
    <row r="79" spans="1:13" ht="24" customHeight="1" x14ac:dyDescent="0.2">
      <c r="A79" s="116" t="s">
        <v>188</v>
      </c>
      <c r="B79" s="1" t="s">
        <v>189</v>
      </c>
      <c r="C79" s="116" t="s">
        <v>20</v>
      </c>
      <c r="D79" s="116" t="s">
        <v>190</v>
      </c>
      <c r="E79" s="2" t="s">
        <v>22</v>
      </c>
      <c r="F79" s="1">
        <v>45.43</v>
      </c>
      <c r="G79" s="61">
        <v>386.09</v>
      </c>
      <c r="H79" s="61">
        <f>ROUND(G79 * (1 + 26.55 / 100), 2)</f>
        <v>488.6</v>
      </c>
      <c r="I79" s="61">
        <f>ROUND(F79 * H79, 2)</f>
        <v>22197.1</v>
      </c>
      <c r="J79" s="60">
        <f t="shared" si="11"/>
        <v>1.4806371955533108E-2</v>
      </c>
      <c r="M79" s="128"/>
    </row>
    <row r="80" spans="1:13" ht="24" customHeight="1" x14ac:dyDescent="0.2">
      <c r="A80" s="123" t="s">
        <v>1325</v>
      </c>
      <c r="B80" s="123"/>
      <c r="C80" s="123"/>
      <c r="D80" s="123" t="s">
        <v>1324</v>
      </c>
      <c r="E80" s="123"/>
      <c r="F80" s="3"/>
      <c r="G80" s="123"/>
      <c r="H80" s="123"/>
      <c r="I80" s="63">
        <f>SUM(I81:I84)</f>
        <v>10333.52</v>
      </c>
      <c r="J80" s="62">
        <f t="shared" si="11"/>
        <v>6.8928797333859156E-3</v>
      </c>
      <c r="M80" s="128"/>
    </row>
    <row r="81" spans="1:13" ht="36" customHeight="1" x14ac:dyDescent="0.2">
      <c r="A81" s="116" t="s">
        <v>1323</v>
      </c>
      <c r="B81" s="1" t="s">
        <v>1322</v>
      </c>
      <c r="C81" s="116" t="s">
        <v>25</v>
      </c>
      <c r="D81" s="116" t="s">
        <v>1321</v>
      </c>
      <c r="E81" s="2" t="s">
        <v>22</v>
      </c>
      <c r="F81" s="1">
        <v>55.54</v>
      </c>
      <c r="G81" s="61">
        <v>41.02</v>
      </c>
      <c r="H81" s="61">
        <f>ROUND(G81 * (1 + 26.55 / 100), 2)</f>
        <v>51.91</v>
      </c>
      <c r="I81" s="61">
        <f>ROUND(F81 * H81, 2)</f>
        <v>2883.08</v>
      </c>
      <c r="J81" s="60">
        <f t="shared" si="11"/>
        <v>1.9231320693945783E-3</v>
      </c>
      <c r="M81" s="128"/>
    </row>
    <row r="82" spans="1:13" ht="36" customHeight="1" x14ac:dyDescent="0.2">
      <c r="A82" s="116" t="s">
        <v>1320</v>
      </c>
      <c r="B82" s="1" t="s">
        <v>1319</v>
      </c>
      <c r="C82" s="116" t="s">
        <v>25</v>
      </c>
      <c r="D82" s="116" t="s">
        <v>1318</v>
      </c>
      <c r="E82" s="2" t="s">
        <v>49</v>
      </c>
      <c r="F82" s="1">
        <v>1.67</v>
      </c>
      <c r="G82" s="61">
        <v>433.08</v>
      </c>
      <c r="H82" s="61">
        <f>ROUND(G82 * (1 + 26.55 / 100), 2)</f>
        <v>548.05999999999995</v>
      </c>
      <c r="I82" s="61">
        <f>ROUND(F82 * H82, 2)</f>
        <v>915.26</v>
      </c>
      <c r="J82" s="60">
        <f t="shared" si="11"/>
        <v>6.1051578791919815E-4</v>
      </c>
      <c r="M82" s="128"/>
    </row>
    <row r="83" spans="1:13" ht="48" customHeight="1" x14ac:dyDescent="0.2">
      <c r="A83" s="116" t="s">
        <v>1317</v>
      </c>
      <c r="B83" s="1" t="s">
        <v>1316</v>
      </c>
      <c r="C83" s="116" t="s">
        <v>25</v>
      </c>
      <c r="D83" s="116" t="s">
        <v>1315</v>
      </c>
      <c r="E83" s="2" t="s">
        <v>1303</v>
      </c>
      <c r="F83" s="1">
        <v>120</v>
      </c>
      <c r="G83" s="61">
        <v>12.23</v>
      </c>
      <c r="H83" s="61">
        <f>ROUND(G83 * (1 + 26.55 / 100), 2)</f>
        <v>15.48</v>
      </c>
      <c r="I83" s="61">
        <f>ROUND(F83 * H83, 2)</f>
        <v>1857.6</v>
      </c>
      <c r="J83" s="60">
        <f t="shared" si="11"/>
        <v>1.2390950414512844E-3</v>
      </c>
      <c r="M83" s="128"/>
    </row>
    <row r="84" spans="1:13" ht="24" customHeight="1" x14ac:dyDescent="0.2">
      <c r="A84" s="116" t="s">
        <v>1314</v>
      </c>
      <c r="B84" s="1" t="s">
        <v>1313</v>
      </c>
      <c r="C84" s="116" t="s">
        <v>249</v>
      </c>
      <c r="D84" s="116" t="s">
        <v>1312</v>
      </c>
      <c r="E84" s="2" t="s">
        <v>22</v>
      </c>
      <c r="F84" s="1">
        <v>55.54</v>
      </c>
      <c r="G84" s="61">
        <v>66.55</v>
      </c>
      <c r="H84" s="61">
        <f>ROUND(G84 * (1 + 26.55 / 100), 2)</f>
        <v>84.22</v>
      </c>
      <c r="I84" s="61">
        <f>ROUND(F84 * H84, 2)</f>
        <v>4677.58</v>
      </c>
      <c r="J84" s="60">
        <f t="shared" si="11"/>
        <v>3.1201368346208541E-3</v>
      </c>
      <c r="M84" s="128"/>
    </row>
    <row r="85" spans="1:13" ht="24" customHeight="1" x14ac:dyDescent="0.2">
      <c r="A85" s="123" t="s">
        <v>1311</v>
      </c>
      <c r="B85" s="123"/>
      <c r="C85" s="123"/>
      <c r="D85" s="123" t="s">
        <v>1310</v>
      </c>
      <c r="E85" s="123"/>
      <c r="F85" s="3"/>
      <c r="G85" s="123"/>
      <c r="H85" s="123"/>
      <c r="I85" s="63">
        <f>SUM(I86:I89)</f>
        <v>7424.5199999999995</v>
      </c>
      <c r="J85" s="62">
        <f t="shared" si="11"/>
        <v>4.9524579657385277E-3</v>
      </c>
      <c r="M85" s="128"/>
    </row>
    <row r="86" spans="1:13" ht="24" customHeight="1" x14ac:dyDescent="0.2">
      <c r="A86" s="116" t="s">
        <v>1309</v>
      </c>
      <c r="B86" s="1" t="s">
        <v>1308</v>
      </c>
      <c r="C86" s="116" t="s">
        <v>20</v>
      </c>
      <c r="D86" s="116" t="s">
        <v>1307</v>
      </c>
      <c r="E86" s="2" t="s">
        <v>22</v>
      </c>
      <c r="F86" s="1">
        <v>30</v>
      </c>
      <c r="G86" s="61">
        <v>16.82</v>
      </c>
      <c r="H86" s="61">
        <f>ROUND(G86 * (1 + 26.55 / 100), 2)</f>
        <v>21.29</v>
      </c>
      <c r="I86" s="61">
        <f>ROUND(F86 * H86, 2)</f>
        <v>638.70000000000005</v>
      </c>
      <c r="J86" s="60">
        <f t="shared" si="11"/>
        <v>4.2603897662302724E-4</v>
      </c>
      <c r="M86" s="128"/>
    </row>
    <row r="87" spans="1:13" ht="24" customHeight="1" x14ac:dyDescent="0.2">
      <c r="A87" s="116" t="s">
        <v>1306</v>
      </c>
      <c r="B87" s="1" t="s">
        <v>1305</v>
      </c>
      <c r="C87" s="116" t="s">
        <v>25</v>
      </c>
      <c r="D87" s="116" t="s">
        <v>1304</v>
      </c>
      <c r="E87" s="2" t="s">
        <v>1303</v>
      </c>
      <c r="F87" s="1">
        <v>279.02999999999997</v>
      </c>
      <c r="G87" s="61">
        <v>12.97</v>
      </c>
      <c r="H87" s="61">
        <f>ROUND(G87 * (1 + 26.55 / 100), 2)</f>
        <v>16.41</v>
      </c>
      <c r="I87" s="61">
        <f>ROUND(F87 * H87, 2)</f>
        <v>4578.88</v>
      </c>
      <c r="J87" s="60">
        <f t="shared" si="11"/>
        <v>3.0542999049313398E-3</v>
      </c>
      <c r="M87" s="128"/>
    </row>
    <row r="88" spans="1:13" ht="24" customHeight="1" x14ac:dyDescent="0.2">
      <c r="A88" s="116" t="s">
        <v>1302</v>
      </c>
      <c r="B88" s="1" t="s">
        <v>1301</v>
      </c>
      <c r="C88" s="116" t="s">
        <v>20</v>
      </c>
      <c r="D88" s="116" t="s">
        <v>1300</v>
      </c>
      <c r="E88" s="2" t="s">
        <v>49</v>
      </c>
      <c r="F88" s="1">
        <v>3.6</v>
      </c>
      <c r="G88" s="61">
        <v>447.41</v>
      </c>
      <c r="H88" s="61">
        <f>ROUND(G88 * (1 + 26.55 / 100), 2)</f>
        <v>566.20000000000005</v>
      </c>
      <c r="I88" s="61">
        <f>ROUND(F88 * H88, 2)</f>
        <v>2038.32</v>
      </c>
      <c r="J88" s="60">
        <f t="shared" si="11"/>
        <v>1.3596426598250333E-3</v>
      </c>
      <c r="M88" s="128"/>
    </row>
    <row r="89" spans="1:13" ht="24" customHeight="1" x14ac:dyDescent="0.2">
      <c r="A89" s="116" t="s">
        <v>1299</v>
      </c>
      <c r="B89" s="1" t="s">
        <v>1298</v>
      </c>
      <c r="C89" s="116" t="s">
        <v>20</v>
      </c>
      <c r="D89" s="116" t="s">
        <v>1297</v>
      </c>
      <c r="E89" s="2" t="s">
        <v>49</v>
      </c>
      <c r="F89" s="1">
        <v>3.6</v>
      </c>
      <c r="G89" s="61">
        <v>37.01</v>
      </c>
      <c r="H89" s="61">
        <f>ROUND(G89 * (1 + 26.55 / 100), 2)</f>
        <v>46.84</v>
      </c>
      <c r="I89" s="61">
        <f>ROUND(F89 * H89, 2)</f>
        <v>168.62</v>
      </c>
      <c r="J89" s="60">
        <f t="shared" si="11"/>
        <v>1.1247642435912768E-4</v>
      </c>
      <c r="M89" s="128"/>
    </row>
    <row r="90" spans="1:13" ht="24" customHeight="1" x14ac:dyDescent="0.2">
      <c r="A90" s="123" t="s">
        <v>191</v>
      </c>
      <c r="B90" s="123"/>
      <c r="C90" s="123"/>
      <c r="D90" s="123" t="s">
        <v>192</v>
      </c>
      <c r="E90" s="123"/>
      <c r="F90" s="3"/>
      <c r="G90" s="123"/>
      <c r="H90" s="123"/>
      <c r="I90" s="63">
        <f>I91+I102+I104+I123+I137</f>
        <v>112087</v>
      </c>
      <c r="J90" s="62">
        <f t="shared" si="11"/>
        <v>7.4766605249327156E-2</v>
      </c>
      <c r="M90" s="128"/>
    </row>
    <row r="91" spans="1:13" ht="24" customHeight="1" x14ac:dyDescent="0.2">
      <c r="A91" s="123" t="s">
        <v>193</v>
      </c>
      <c r="B91" s="123"/>
      <c r="C91" s="123"/>
      <c r="D91" s="123" t="s">
        <v>194</v>
      </c>
      <c r="E91" s="123"/>
      <c r="F91" s="3"/>
      <c r="G91" s="123"/>
      <c r="H91" s="123"/>
      <c r="I91" s="63">
        <f>SUM(I92:I101)</f>
        <v>49148.209999999992</v>
      </c>
      <c r="J91" s="62">
        <f t="shared" si="11"/>
        <v>3.2783862676144714E-2</v>
      </c>
      <c r="M91" s="128"/>
    </row>
    <row r="92" spans="1:13" ht="24" customHeight="1" x14ac:dyDescent="0.2">
      <c r="A92" s="116" t="s">
        <v>195</v>
      </c>
      <c r="B92" s="1" t="s">
        <v>196</v>
      </c>
      <c r="C92" s="116" t="s">
        <v>20</v>
      </c>
      <c r="D92" s="116" t="s">
        <v>197</v>
      </c>
      <c r="E92" s="2" t="s">
        <v>92</v>
      </c>
      <c r="F92" s="1">
        <v>990</v>
      </c>
      <c r="G92" s="61">
        <v>5.9</v>
      </c>
      <c r="H92" s="61">
        <f t="shared" ref="H92:H101" si="12">ROUND(G92 * (1 + 26.55 / 100), 2)</f>
        <v>7.47</v>
      </c>
      <c r="I92" s="61">
        <f t="shared" ref="I92:I101" si="13">ROUND(F92 * H92, 2)</f>
        <v>7395.3</v>
      </c>
      <c r="J92" s="60">
        <f t="shared" si="11"/>
        <v>4.9329670327544596E-3</v>
      </c>
      <c r="M92" s="128"/>
    </row>
    <row r="93" spans="1:13" ht="24" customHeight="1" x14ac:dyDescent="0.2">
      <c r="A93" s="116" t="s">
        <v>198</v>
      </c>
      <c r="B93" s="1" t="s">
        <v>199</v>
      </c>
      <c r="C93" s="116" t="s">
        <v>20</v>
      </c>
      <c r="D93" s="116" t="s">
        <v>200</v>
      </c>
      <c r="E93" s="2" t="s">
        <v>92</v>
      </c>
      <c r="F93" s="1">
        <v>165</v>
      </c>
      <c r="G93" s="61">
        <v>7.66</v>
      </c>
      <c r="H93" s="61">
        <f t="shared" si="12"/>
        <v>9.69</v>
      </c>
      <c r="I93" s="61">
        <f t="shared" si="13"/>
        <v>1598.85</v>
      </c>
      <c r="J93" s="60">
        <f t="shared" si="11"/>
        <v>1.0664982272956427E-3</v>
      </c>
      <c r="M93" s="128"/>
    </row>
    <row r="94" spans="1:13" ht="24" customHeight="1" x14ac:dyDescent="0.2">
      <c r="A94" s="116" t="s">
        <v>201</v>
      </c>
      <c r="B94" s="1" t="s">
        <v>202</v>
      </c>
      <c r="C94" s="116" t="s">
        <v>20</v>
      </c>
      <c r="D94" s="116" t="s">
        <v>203</v>
      </c>
      <c r="E94" s="2" t="s">
        <v>92</v>
      </c>
      <c r="F94" s="1">
        <v>6</v>
      </c>
      <c r="G94" s="61">
        <v>7.63</v>
      </c>
      <c r="H94" s="61">
        <f t="shared" si="12"/>
        <v>9.66</v>
      </c>
      <c r="I94" s="61">
        <f t="shared" si="13"/>
        <v>57.96</v>
      </c>
      <c r="J94" s="60">
        <f t="shared" si="11"/>
        <v>3.8661686370863718E-5</v>
      </c>
      <c r="M94" s="128"/>
    </row>
    <row r="95" spans="1:13" ht="24" customHeight="1" x14ac:dyDescent="0.2">
      <c r="A95" s="116" t="s">
        <v>204</v>
      </c>
      <c r="B95" s="1" t="s">
        <v>205</v>
      </c>
      <c r="C95" s="116" t="s">
        <v>20</v>
      </c>
      <c r="D95" s="116" t="s">
        <v>206</v>
      </c>
      <c r="E95" s="2" t="s">
        <v>92</v>
      </c>
      <c r="F95" s="1">
        <v>38</v>
      </c>
      <c r="G95" s="61">
        <v>17.07</v>
      </c>
      <c r="H95" s="61">
        <f t="shared" si="12"/>
        <v>21.6</v>
      </c>
      <c r="I95" s="61">
        <f t="shared" si="13"/>
        <v>820.8</v>
      </c>
      <c r="J95" s="60">
        <f t="shared" si="11"/>
        <v>5.4750711133893962E-4</v>
      </c>
      <c r="M95" s="128"/>
    </row>
    <row r="96" spans="1:13" ht="24" customHeight="1" x14ac:dyDescent="0.2">
      <c r="A96" s="116" t="s">
        <v>207</v>
      </c>
      <c r="B96" s="1" t="s">
        <v>208</v>
      </c>
      <c r="C96" s="116" t="s">
        <v>20</v>
      </c>
      <c r="D96" s="116" t="s">
        <v>209</v>
      </c>
      <c r="E96" s="2" t="s">
        <v>92</v>
      </c>
      <c r="F96" s="1">
        <v>33</v>
      </c>
      <c r="G96" s="61">
        <v>11.46</v>
      </c>
      <c r="H96" s="61">
        <f t="shared" si="12"/>
        <v>14.5</v>
      </c>
      <c r="I96" s="61">
        <f t="shared" si="13"/>
        <v>478.5</v>
      </c>
      <c r="J96" s="60">
        <f t="shared" si="11"/>
        <v>3.1917903603275171E-4</v>
      </c>
      <c r="M96" s="128"/>
    </row>
    <row r="97" spans="1:13" ht="24" customHeight="1" x14ac:dyDescent="0.2">
      <c r="A97" s="116" t="s">
        <v>210</v>
      </c>
      <c r="B97" s="1" t="s">
        <v>211</v>
      </c>
      <c r="C97" s="116" t="s">
        <v>20</v>
      </c>
      <c r="D97" s="116" t="s">
        <v>212</v>
      </c>
      <c r="E97" s="2" t="s">
        <v>213</v>
      </c>
      <c r="F97" s="1">
        <v>6700</v>
      </c>
      <c r="G97" s="61">
        <v>3.49</v>
      </c>
      <c r="H97" s="61">
        <f t="shared" si="12"/>
        <v>4.42</v>
      </c>
      <c r="I97" s="61">
        <f t="shared" si="13"/>
        <v>29614</v>
      </c>
      <c r="J97" s="60">
        <f t="shared" si="11"/>
        <v>1.9753747070164911E-2</v>
      </c>
      <c r="M97" s="128"/>
    </row>
    <row r="98" spans="1:13" ht="24" customHeight="1" x14ac:dyDescent="0.2">
      <c r="A98" s="116" t="s">
        <v>214</v>
      </c>
      <c r="B98" s="1" t="s">
        <v>215</v>
      </c>
      <c r="C98" s="116" t="s">
        <v>20</v>
      </c>
      <c r="D98" s="116" t="s">
        <v>216</v>
      </c>
      <c r="E98" s="2" t="s">
        <v>213</v>
      </c>
      <c r="F98" s="1">
        <v>135</v>
      </c>
      <c r="G98" s="61">
        <v>6.96</v>
      </c>
      <c r="H98" s="61">
        <f t="shared" si="12"/>
        <v>8.81</v>
      </c>
      <c r="I98" s="61">
        <f t="shared" si="13"/>
        <v>1189.3499999999999</v>
      </c>
      <c r="J98" s="60">
        <f t="shared" si="11"/>
        <v>7.9334500837106208E-4</v>
      </c>
      <c r="M98" s="128"/>
    </row>
    <row r="99" spans="1:13" ht="24" customHeight="1" x14ac:dyDescent="0.2">
      <c r="A99" s="116" t="s">
        <v>217</v>
      </c>
      <c r="B99" s="1" t="s">
        <v>218</v>
      </c>
      <c r="C99" s="116" t="s">
        <v>20</v>
      </c>
      <c r="D99" s="116" t="s">
        <v>219</v>
      </c>
      <c r="E99" s="2" t="s">
        <v>92</v>
      </c>
      <c r="F99" s="1">
        <v>20</v>
      </c>
      <c r="G99" s="61">
        <v>5.62</v>
      </c>
      <c r="H99" s="61">
        <f t="shared" si="12"/>
        <v>7.11</v>
      </c>
      <c r="I99" s="61">
        <f t="shared" si="13"/>
        <v>142.19999999999999</v>
      </c>
      <c r="J99" s="60">
        <f t="shared" si="11"/>
        <v>9.485320569249172E-5</v>
      </c>
      <c r="M99" s="128"/>
    </row>
    <row r="100" spans="1:13" ht="24" customHeight="1" x14ac:dyDescent="0.2">
      <c r="A100" s="116" t="s">
        <v>220</v>
      </c>
      <c r="B100" s="1" t="s">
        <v>221</v>
      </c>
      <c r="C100" s="116" t="s">
        <v>20</v>
      </c>
      <c r="D100" s="116" t="s">
        <v>222</v>
      </c>
      <c r="E100" s="2" t="s">
        <v>92</v>
      </c>
      <c r="F100" s="1">
        <v>175</v>
      </c>
      <c r="G100" s="61">
        <v>11.54</v>
      </c>
      <c r="H100" s="61">
        <f t="shared" si="12"/>
        <v>14.6</v>
      </c>
      <c r="I100" s="61">
        <f t="shared" si="13"/>
        <v>2555</v>
      </c>
      <c r="J100" s="60">
        <f t="shared" si="11"/>
        <v>1.7042893146576397E-3</v>
      </c>
      <c r="M100" s="128"/>
    </row>
    <row r="101" spans="1:13" ht="24" customHeight="1" x14ac:dyDescent="0.2">
      <c r="A101" s="116" t="s">
        <v>223</v>
      </c>
      <c r="B101" s="1" t="s">
        <v>224</v>
      </c>
      <c r="C101" s="116" t="s">
        <v>20</v>
      </c>
      <c r="D101" s="116" t="s">
        <v>225</v>
      </c>
      <c r="E101" s="2" t="s">
        <v>92</v>
      </c>
      <c r="F101" s="1">
        <v>125</v>
      </c>
      <c r="G101" s="61">
        <v>33.479999999999997</v>
      </c>
      <c r="H101" s="61">
        <f t="shared" si="12"/>
        <v>42.37</v>
      </c>
      <c r="I101" s="61">
        <f t="shared" si="13"/>
        <v>5296.25</v>
      </c>
      <c r="J101" s="60">
        <f t="shared" si="11"/>
        <v>3.5328149834659589E-3</v>
      </c>
      <c r="M101" s="128"/>
    </row>
    <row r="102" spans="1:13" ht="24" customHeight="1" x14ac:dyDescent="0.2">
      <c r="A102" s="123" t="s">
        <v>226</v>
      </c>
      <c r="B102" s="123"/>
      <c r="C102" s="123"/>
      <c r="D102" s="123" t="s">
        <v>227</v>
      </c>
      <c r="E102" s="123"/>
      <c r="F102" s="3"/>
      <c r="G102" s="123"/>
      <c r="H102" s="123"/>
      <c r="I102" s="63">
        <f>SUM(I103)</f>
        <v>43.73</v>
      </c>
      <c r="J102" s="62">
        <f t="shared" si="11"/>
        <v>2.9169695393337997E-5</v>
      </c>
      <c r="M102" s="128"/>
    </row>
    <row r="103" spans="1:13" ht="24" customHeight="1" x14ac:dyDescent="0.2">
      <c r="A103" s="116" t="s">
        <v>228</v>
      </c>
      <c r="B103" s="1" t="s">
        <v>229</v>
      </c>
      <c r="C103" s="116" t="s">
        <v>20</v>
      </c>
      <c r="D103" s="116" t="s">
        <v>230</v>
      </c>
      <c r="E103" s="2" t="s">
        <v>22</v>
      </c>
      <c r="F103" s="1">
        <v>0.27</v>
      </c>
      <c r="G103" s="61">
        <v>128</v>
      </c>
      <c r="H103" s="61">
        <f>ROUND(G103 * (1 + 26.55 / 100), 2)</f>
        <v>161.97999999999999</v>
      </c>
      <c r="I103" s="61">
        <f>ROUND(F103 * H103, 2)</f>
        <v>43.73</v>
      </c>
      <c r="J103" s="60">
        <f t="shared" si="11"/>
        <v>2.9169695393337997E-5</v>
      </c>
      <c r="M103" s="128"/>
    </row>
    <row r="104" spans="1:13" ht="24" customHeight="1" x14ac:dyDescent="0.2">
      <c r="A104" s="123" t="s">
        <v>231</v>
      </c>
      <c r="B104" s="123"/>
      <c r="C104" s="123"/>
      <c r="D104" s="123" t="s">
        <v>232</v>
      </c>
      <c r="E104" s="123"/>
      <c r="F104" s="3"/>
      <c r="G104" s="123"/>
      <c r="H104" s="123"/>
      <c r="I104" s="63">
        <f>SUM(I105:I122)</f>
        <v>20032.38</v>
      </c>
      <c r="J104" s="62">
        <f t="shared" si="11"/>
        <v>1.3362415335092529E-2</v>
      </c>
      <c r="M104" s="128"/>
    </row>
    <row r="105" spans="1:13" ht="24" customHeight="1" x14ac:dyDescent="0.2">
      <c r="A105" s="116" t="s">
        <v>233</v>
      </c>
      <c r="B105" s="1" t="s">
        <v>234</v>
      </c>
      <c r="C105" s="116" t="s">
        <v>25</v>
      </c>
      <c r="D105" s="116" t="s">
        <v>235</v>
      </c>
      <c r="E105" s="2" t="s">
        <v>236</v>
      </c>
      <c r="F105" s="1">
        <v>50</v>
      </c>
      <c r="G105" s="61">
        <v>22.98</v>
      </c>
      <c r="H105" s="61">
        <f t="shared" ref="H105:H122" si="14">ROUND(G105 * (1 + 26.55 / 100), 2)</f>
        <v>29.08</v>
      </c>
      <c r="I105" s="61">
        <f t="shared" ref="I105:I122" si="15">ROUND(F105 * H105, 2)</f>
        <v>1454</v>
      </c>
      <c r="J105" s="60">
        <f t="shared" si="11"/>
        <v>9.6987736340986618E-4</v>
      </c>
      <c r="M105" s="128"/>
    </row>
    <row r="106" spans="1:13" ht="24" customHeight="1" x14ac:dyDescent="0.2">
      <c r="A106" s="116" t="s">
        <v>237</v>
      </c>
      <c r="B106" s="1" t="s">
        <v>234</v>
      </c>
      <c r="C106" s="116" t="s">
        <v>25</v>
      </c>
      <c r="D106" s="116" t="s">
        <v>238</v>
      </c>
      <c r="E106" s="2" t="s">
        <v>236</v>
      </c>
      <c r="F106" s="1">
        <v>5</v>
      </c>
      <c r="G106" s="61">
        <v>22.98</v>
      </c>
      <c r="H106" s="61">
        <f t="shared" si="14"/>
        <v>29.08</v>
      </c>
      <c r="I106" s="61">
        <f t="shared" si="15"/>
        <v>145.4</v>
      </c>
      <c r="J106" s="60">
        <f t="shared" si="11"/>
        <v>9.6987736340986623E-5</v>
      </c>
      <c r="M106" s="128"/>
    </row>
    <row r="107" spans="1:13" ht="84" customHeight="1" x14ac:dyDescent="0.2">
      <c r="A107" s="116" t="s">
        <v>239</v>
      </c>
      <c r="B107" s="1" t="s">
        <v>240</v>
      </c>
      <c r="C107" s="116" t="s">
        <v>25</v>
      </c>
      <c r="D107" s="116" t="s">
        <v>241</v>
      </c>
      <c r="E107" s="2" t="s">
        <v>236</v>
      </c>
      <c r="F107" s="1">
        <v>25</v>
      </c>
      <c r="G107" s="61">
        <v>56.69</v>
      </c>
      <c r="H107" s="61">
        <f t="shared" si="14"/>
        <v>71.739999999999995</v>
      </c>
      <c r="I107" s="61">
        <f t="shared" si="15"/>
        <v>1793.5</v>
      </c>
      <c r="J107" s="60">
        <f t="shared" si="11"/>
        <v>1.1963377243986212E-3</v>
      </c>
      <c r="M107" s="128"/>
    </row>
    <row r="108" spans="1:13" ht="24" customHeight="1" x14ac:dyDescent="0.2">
      <c r="A108" s="116" t="s">
        <v>242</v>
      </c>
      <c r="B108" s="1" t="s">
        <v>243</v>
      </c>
      <c r="C108" s="116" t="s">
        <v>244</v>
      </c>
      <c r="D108" s="116" t="s">
        <v>245</v>
      </c>
      <c r="E108" s="2" t="s">
        <v>246</v>
      </c>
      <c r="F108" s="1">
        <v>9</v>
      </c>
      <c r="G108" s="61">
        <v>61.49</v>
      </c>
      <c r="H108" s="61">
        <f t="shared" si="14"/>
        <v>77.819999999999993</v>
      </c>
      <c r="I108" s="61">
        <f t="shared" si="15"/>
        <v>700.38</v>
      </c>
      <c r="J108" s="60">
        <f t="shared" si="11"/>
        <v>4.6718205487276623E-4</v>
      </c>
      <c r="M108" s="128"/>
    </row>
    <row r="109" spans="1:13" ht="24" customHeight="1" x14ac:dyDescent="0.2">
      <c r="A109" s="116" t="s">
        <v>247</v>
      </c>
      <c r="B109" s="1" t="s">
        <v>248</v>
      </c>
      <c r="C109" s="116" t="s">
        <v>249</v>
      </c>
      <c r="D109" s="116" t="s">
        <v>250</v>
      </c>
      <c r="E109" s="2" t="s">
        <v>236</v>
      </c>
      <c r="F109" s="1">
        <v>10</v>
      </c>
      <c r="G109" s="61">
        <v>65.930000000000007</v>
      </c>
      <c r="H109" s="61">
        <f t="shared" si="14"/>
        <v>83.43</v>
      </c>
      <c r="I109" s="61">
        <f t="shared" si="15"/>
        <v>834.3</v>
      </c>
      <c r="J109" s="60">
        <f t="shared" si="11"/>
        <v>5.565121625122774E-4</v>
      </c>
      <c r="M109" s="128"/>
    </row>
    <row r="110" spans="1:13" ht="24" customHeight="1" x14ac:dyDescent="0.2">
      <c r="A110" s="116" t="s">
        <v>251</v>
      </c>
      <c r="B110" s="1" t="s">
        <v>252</v>
      </c>
      <c r="C110" s="116" t="s">
        <v>249</v>
      </c>
      <c r="D110" s="116" t="s">
        <v>253</v>
      </c>
      <c r="E110" s="2" t="s">
        <v>236</v>
      </c>
      <c r="F110" s="1">
        <v>33</v>
      </c>
      <c r="G110" s="61">
        <v>183.13</v>
      </c>
      <c r="H110" s="61">
        <f t="shared" si="14"/>
        <v>231.75</v>
      </c>
      <c r="I110" s="61">
        <f t="shared" si="15"/>
        <v>7647.75</v>
      </c>
      <c r="J110" s="60">
        <f t="shared" si="11"/>
        <v>5.1013614896958763E-3</v>
      </c>
      <c r="M110" s="128"/>
    </row>
    <row r="111" spans="1:13" ht="24" customHeight="1" x14ac:dyDescent="0.2">
      <c r="A111" s="116" t="s">
        <v>254</v>
      </c>
      <c r="B111" s="1" t="s">
        <v>252</v>
      </c>
      <c r="C111" s="116" t="s">
        <v>249</v>
      </c>
      <c r="D111" s="116" t="s">
        <v>255</v>
      </c>
      <c r="E111" s="2" t="s">
        <v>236</v>
      </c>
      <c r="F111" s="1">
        <v>3</v>
      </c>
      <c r="G111" s="61">
        <v>183.13</v>
      </c>
      <c r="H111" s="61">
        <f t="shared" si="14"/>
        <v>231.75</v>
      </c>
      <c r="I111" s="61">
        <f t="shared" si="15"/>
        <v>695.25</v>
      </c>
      <c r="J111" s="60">
        <f t="shared" si="11"/>
        <v>4.6376013542689785E-4</v>
      </c>
      <c r="M111" s="128"/>
    </row>
    <row r="112" spans="1:13" ht="24" customHeight="1" x14ac:dyDescent="0.2">
      <c r="A112" s="116" t="s">
        <v>256</v>
      </c>
      <c r="B112" s="1" t="s">
        <v>257</v>
      </c>
      <c r="C112" s="116" t="s">
        <v>20</v>
      </c>
      <c r="D112" s="116" t="s">
        <v>258</v>
      </c>
      <c r="E112" s="2" t="s">
        <v>246</v>
      </c>
      <c r="F112" s="1">
        <v>26</v>
      </c>
      <c r="G112" s="61">
        <v>24.42</v>
      </c>
      <c r="H112" s="61">
        <f t="shared" si="14"/>
        <v>30.9</v>
      </c>
      <c r="I112" s="61">
        <f t="shared" si="15"/>
        <v>803.4</v>
      </c>
      <c r="J112" s="60">
        <f t="shared" si="11"/>
        <v>5.3590060093774863E-4</v>
      </c>
      <c r="M112" s="128"/>
    </row>
    <row r="113" spans="1:13" ht="36" customHeight="1" x14ac:dyDescent="0.2">
      <c r="A113" s="116" t="s">
        <v>259</v>
      </c>
      <c r="B113" s="1" t="s">
        <v>260</v>
      </c>
      <c r="C113" s="116" t="s">
        <v>244</v>
      </c>
      <c r="D113" s="116" t="s">
        <v>261</v>
      </c>
      <c r="E113" s="2" t="s">
        <v>246</v>
      </c>
      <c r="F113" s="1">
        <v>3</v>
      </c>
      <c r="G113" s="61">
        <v>85.17</v>
      </c>
      <c r="H113" s="61">
        <f t="shared" si="14"/>
        <v>107.78</v>
      </c>
      <c r="I113" s="61">
        <f t="shared" si="15"/>
        <v>323.33999999999997</v>
      </c>
      <c r="J113" s="60">
        <f t="shared" si="11"/>
        <v>2.1568098121385566E-4</v>
      </c>
      <c r="M113" s="128"/>
    </row>
    <row r="114" spans="1:13" ht="36" customHeight="1" x14ac:dyDescent="0.2">
      <c r="A114" s="116" t="s">
        <v>262</v>
      </c>
      <c r="B114" s="1" t="s">
        <v>263</v>
      </c>
      <c r="C114" s="116" t="s">
        <v>25</v>
      </c>
      <c r="D114" s="116" t="s">
        <v>264</v>
      </c>
      <c r="E114" s="2" t="s">
        <v>236</v>
      </c>
      <c r="F114" s="1">
        <v>38</v>
      </c>
      <c r="G114" s="61">
        <v>19.32</v>
      </c>
      <c r="H114" s="61">
        <f t="shared" si="14"/>
        <v>24.45</v>
      </c>
      <c r="I114" s="61">
        <f t="shared" si="15"/>
        <v>929.1</v>
      </c>
      <c r="J114" s="60">
        <f t="shared" si="11"/>
        <v>6.1974763297393859E-4</v>
      </c>
      <c r="M114" s="128"/>
    </row>
    <row r="115" spans="1:13" ht="36" customHeight="1" x14ac:dyDescent="0.2">
      <c r="A115" s="116" t="s">
        <v>265</v>
      </c>
      <c r="B115" s="1" t="s">
        <v>266</v>
      </c>
      <c r="C115" s="116" t="s">
        <v>25</v>
      </c>
      <c r="D115" s="116" t="s">
        <v>267</v>
      </c>
      <c r="E115" s="2" t="s">
        <v>236</v>
      </c>
      <c r="F115" s="1">
        <v>4</v>
      </c>
      <c r="G115" s="61">
        <v>30.5</v>
      </c>
      <c r="H115" s="61">
        <f t="shared" si="14"/>
        <v>38.6</v>
      </c>
      <c r="I115" s="61">
        <f t="shared" si="15"/>
        <v>154.4</v>
      </c>
      <c r="J115" s="60">
        <f t="shared" si="11"/>
        <v>1.0299110378987851E-4</v>
      </c>
      <c r="M115" s="128"/>
    </row>
    <row r="116" spans="1:13" ht="36" customHeight="1" x14ac:dyDescent="0.2">
      <c r="A116" s="116" t="s">
        <v>268</v>
      </c>
      <c r="B116" s="1" t="s">
        <v>269</v>
      </c>
      <c r="C116" s="116" t="s">
        <v>25</v>
      </c>
      <c r="D116" s="116" t="s">
        <v>270</v>
      </c>
      <c r="E116" s="2" t="s">
        <v>236</v>
      </c>
      <c r="F116" s="1">
        <v>2</v>
      </c>
      <c r="G116" s="61">
        <v>41.68</v>
      </c>
      <c r="H116" s="61">
        <f t="shared" si="14"/>
        <v>52.75</v>
      </c>
      <c r="I116" s="61">
        <f t="shared" si="15"/>
        <v>105.5</v>
      </c>
      <c r="J116" s="60">
        <f t="shared" si="11"/>
        <v>7.0372807317565944E-5</v>
      </c>
      <c r="M116" s="128"/>
    </row>
    <row r="117" spans="1:13" ht="36" customHeight="1" x14ac:dyDescent="0.2">
      <c r="A117" s="116" t="s">
        <v>271</v>
      </c>
      <c r="B117" s="1" t="s">
        <v>272</v>
      </c>
      <c r="C117" s="116" t="s">
        <v>25</v>
      </c>
      <c r="D117" s="116" t="s">
        <v>273</v>
      </c>
      <c r="E117" s="2" t="s">
        <v>236</v>
      </c>
      <c r="F117" s="1">
        <v>2</v>
      </c>
      <c r="G117" s="61">
        <v>23.96</v>
      </c>
      <c r="H117" s="61">
        <f t="shared" si="14"/>
        <v>30.32</v>
      </c>
      <c r="I117" s="61">
        <f t="shared" si="15"/>
        <v>60.64</v>
      </c>
      <c r="J117" s="60">
        <f t="shared" si="11"/>
        <v>4.0449355788978193E-5</v>
      </c>
      <c r="M117" s="128"/>
    </row>
    <row r="118" spans="1:13" ht="24" customHeight="1" x14ac:dyDescent="0.2">
      <c r="A118" s="116" t="s">
        <v>274</v>
      </c>
      <c r="B118" s="1" t="s">
        <v>275</v>
      </c>
      <c r="C118" s="116" t="s">
        <v>25</v>
      </c>
      <c r="D118" s="116" t="s">
        <v>276</v>
      </c>
      <c r="E118" s="2" t="s">
        <v>236</v>
      </c>
      <c r="F118" s="1">
        <v>11</v>
      </c>
      <c r="G118" s="61">
        <v>53.09</v>
      </c>
      <c r="H118" s="61">
        <f t="shared" si="14"/>
        <v>67.19</v>
      </c>
      <c r="I118" s="61">
        <f t="shared" si="15"/>
        <v>739.09</v>
      </c>
      <c r="J118" s="60">
        <f t="shared" si="11"/>
        <v>4.9300320531127785E-4</v>
      </c>
      <c r="M118" s="128"/>
    </row>
    <row r="119" spans="1:13" ht="24" customHeight="1" x14ac:dyDescent="0.2">
      <c r="A119" s="116" t="s">
        <v>277</v>
      </c>
      <c r="B119" s="1" t="s">
        <v>278</v>
      </c>
      <c r="C119" s="116" t="s">
        <v>25</v>
      </c>
      <c r="D119" s="116" t="s">
        <v>279</v>
      </c>
      <c r="E119" s="2" t="s">
        <v>236</v>
      </c>
      <c r="F119" s="1">
        <v>3</v>
      </c>
      <c r="G119" s="61">
        <v>76.97</v>
      </c>
      <c r="H119" s="61">
        <f t="shared" si="14"/>
        <v>97.41</v>
      </c>
      <c r="I119" s="61">
        <f t="shared" si="15"/>
        <v>292.23</v>
      </c>
      <c r="J119" s="60">
        <f t="shared" si="11"/>
        <v>1.949293410655194E-4</v>
      </c>
      <c r="M119" s="128"/>
    </row>
    <row r="120" spans="1:13" ht="24" customHeight="1" x14ac:dyDescent="0.2">
      <c r="A120" s="116" t="s">
        <v>280</v>
      </c>
      <c r="B120" s="1" t="s">
        <v>281</v>
      </c>
      <c r="C120" s="116" t="s">
        <v>20</v>
      </c>
      <c r="D120" s="116" t="s">
        <v>282</v>
      </c>
      <c r="E120" s="2" t="s">
        <v>37</v>
      </c>
      <c r="F120" s="1">
        <v>118</v>
      </c>
      <c r="G120" s="61">
        <v>13.35</v>
      </c>
      <c r="H120" s="61">
        <f t="shared" si="14"/>
        <v>16.89</v>
      </c>
      <c r="I120" s="61">
        <f t="shared" si="15"/>
        <v>1993.02</v>
      </c>
      <c r="J120" s="60">
        <f t="shared" si="11"/>
        <v>1.3294257103322776E-3</v>
      </c>
      <c r="M120" s="128"/>
    </row>
    <row r="121" spans="1:13" ht="24" customHeight="1" x14ac:dyDescent="0.2">
      <c r="A121" s="116" t="s">
        <v>283</v>
      </c>
      <c r="B121" s="1" t="s">
        <v>284</v>
      </c>
      <c r="C121" s="116" t="s">
        <v>20</v>
      </c>
      <c r="D121" s="116" t="s">
        <v>285</v>
      </c>
      <c r="E121" s="2" t="s">
        <v>246</v>
      </c>
      <c r="F121" s="1">
        <v>54</v>
      </c>
      <c r="G121" s="61">
        <v>19.47</v>
      </c>
      <c r="H121" s="61">
        <f t="shared" si="14"/>
        <v>24.64</v>
      </c>
      <c r="I121" s="61">
        <f t="shared" si="15"/>
        <v>1330.56</v>
      </c>
      <c r="J121" s="60">
        <f t="shared" si="11"/>
        <v>8.8753784364417577E-4</v>
      </c>
      <c r="M121" s="128"/>
    </row>
    <row r="122" spans="1:13" ht="24" customHeight="1" x14ac:dyDescent="0.2">
      <c r="A122" s="116" t="s">
        <v>286</v>
      </c>
      <c r="B122" s="1" t="s">
        <v>287</v>
      </c>
      <c r="C122" s="116" t="s">
        <v>20</v>
      </c>
      <c r="D122" s="116" t="s">
        <v>288</v>
      </c>
      <c r="E122" s="2" t="s">
        <v>37</v>
      </c>
      <c r="F122" s="1">
        <v>4</v>
      </c>
      <c r="G122" s="61">
        <v>6.03</v>
      </c>
      <c r="H122" s="61">
        <f t="shared" si="14"/>
        <v>7.63</v>
      </c>
      <c r="I122" s="61">
        <f t="shared" si="15"/>
        <v>30.52</v>
      </c>
      <c r="J122" s="60">
        <f t="shared" si="11"/>
        <v>2.0358086060020025E-5</v>
      </c>
      <c r="M122" s="128"/>
    </row>
    <row r="123" spans="1:13" ht="24" customHeight="1" x14ac:dyDescent="0.2">
      <c r="A123" s="123" t="s">
        <v>289</v>
      </c>
      <c r="B123" s="123"/>
      <c r="C123" s="123"/>
      <c r="D123" s="123" t="s">
        <v>290</v>
      </c>
      <c r="E123" s="123"/>
      <c r="F123" s="3"/>
      <c r="G123" s="123"/>
      <c r="H123" s="123"/>
      <c r="I123" s="63">
        <f>SUM(I124:I136)</f>
        <v>15310.350000000002</v>
      </c>
      <c r="J123" s="62">
        <f t="shared" si="11"/>
        <v>1.0212628535682425E-2</v>
      </c>
      <c r="M123" s="128"/>
    </row>
    <row r="124" spans="1:13" ht="24" customHeight="1" x14ac:dyDescent="0.2">
      <c r="A124" s="116" t="s">
        <v>291</v>
      </c>
      <c r="B124" s="1" t="s">
        <v>292</v>
      </c>
      <c r="C124" s="116" t="s">
        <v>20</v>
      </c>
      <c r="D124" s="116" t="s">
        <v>293</v>
      </c>
      <c r="E124" s="2" t="s">
        <v>37</v>
      </c>
      <c r="F124" s="1">
        <v>94</v>
      </c>
      <c r="G124" s="61">
        <v>18.149999999999999</v>
      </c>
      <c r="H124" s="61">
        <f t="shared" ref="H124:H136" si="16">ROUND(G124 * (1 + 26.55 / 100), 2)</f>
        <v>22.97</v>
      </c>
      <c r="I124" s="61">
        <f t="shared" ref="I124:I136" si="17">ROUND(F124 * H124, 2)</f>
        <v>2159.1799999999998</v>
      </c>
      <c r="J124" s="60">
        <f t="shared" si="11"/>
        <v>1.4402612142553747E-3</v>
      </c>
      <c r="M124" s="128"/>
    </row>
    <row r="125" spans="1:13" ht="24" customHeight="1" x14ac:dyDescent="0.2">
      <c r="A125" s="116" t="s">
        <v>294</v>
      </c>
      <c r="B125" s="1" t="s">
        <v>295</v>
      </c>
      <c r="C125" s="116" t="s">
        <v>20</v>
      </c>
      <c r="D125" s="116" t="s">
        <v>296</v>
      </c>
      <c r="E125" s="2" t="s">
        <v>37</v>
      </c>
      <c r="F125" s="1">
        <v>2</v>
      </c>
      <c r="G125" s="61">
        <v>23.06</v>
      </c>
      <c r="H125" s="61">
        <f t="shared" si="16"/>
        <v>29.18</v>
      </c>
      <c r="I125" s="61">
        <f t="shared" si="17"/>
        <v>58.36</v>
      </c>
      <c r="J125" s="60">
        <f t="shared" si="11"/>
        <v>3.8928502701925582E-5</v>
      </c>
      <c r="M125" s="128"/>
    </row>
    <row r="126" spans="1:13" ht="24" customHeight="1" x14ac:dyDescent="0.2">
      <c r="A126" s="116" t="s">
        <v>297</v>
      </c>
      <c r="B126" s="1" t="s">
        <v>298</v>
      </c>
      <c r="C126" s="116" t="s">
        <v>20</v>
      </c>
      <c r="D126" s="116" t="s">
        <v>299</v>
      </c>
      <c r="E126" s="2" t="s">
        <v>37</v>
      </c>
      <c r="F126" s="1">
        <v>1</v>
      </c>
      <c r="G126" s="61">
        <v>89.2</v>
      </c>
      <c r="H126" s="61">
        <f t="shared" si="16"/>
        <v>112.88</v>
      </c>
      <c r="I126" s="61">
        <f t="shared" si="17"/>
        <v>112.88</v>
      </c>
      <c r="J126" s="60">
        <f t="shared" si="11"/>
        <v>7.5295568625657292E-5</v>
      </c>
      <c r="M126" s="128"/>
    </row>
    <row r="127" spans="1:13" ht="24" customHeight="1" x14ac:dyDescent="0.2">
      <c r="A127" s="116" t="s">
        <v>300</v>
      </c>
      <c r="B127" s="1" t="s">
        <v>301</v>
      </c>
      <c r="C127" s="116" t="s">
        <v>20</v>
      </c>
      <c r="D127" s="116" t="s">
        <v>302</v>
      </c>
      <c r="E127" s="2" t="s">
        <v>37</v>
      </c>
      <c r="F127" s="1">
        <v>2</v>
      </c>
      <c r="G127" s="61">
        <v>95.32</v>
      </c>
      <c r="H127" s="61">
        <f t="shared" si="16"/>
        <v>120.63</v>
      </c>
      <c r="I127" s="61">
        <f t="shared" si="17"/>
        <v>241.26</v>
      </c>
      <c r="J127" s="60">
        <f t="shared" si="11"/>
        <v>1.609302700799617E-4</v>
      </c>
      <c r="M127" s="128"/>
    </row>
    <row r="128" spans="1:13" ht="24" customHeight="1" x14ac:dyDescent="0.2">
      <c r="A128" s="116" t="s">
        <v>303</v>
      </c>
      <c r="B128" s="1" t="s">
        <v>304</v>
      </c>
      <c r="C128" s="116" t="s">
        <v>20</v>
      </c>
      <c r="D128" s="116" t="s">
        <v>305</v>
      </c>
      <c r="E128" s="2" t="s">
        <v>37</v>
      </c>
      <c r="F128" s="1">
        <v>1</v>
      </c>
      <c r="G128" s="61">
        <v>413.38</v>
      </c>
      <c r="H128" s="61">
        <f t="shared" si="16"/>
        <v>523.13</v>
      </c>
      <c r="I128" s="61">
        <f t="shared" si="17"/>
        <v>523.13</v>
      </c>
      <c r="J128" s="60">
        <f t="shared" si="11"/>
        <v>3.4894906817097888E-4</v>
      </c>
      <c r="M128" s="128"/>
    </row>
    <row r="129" spans="1:13" ht="24" customHeight="1" x14ac:dyDescent="0.2">
      <c r="A129" s="116" t="s">
        <v>306</v>
      </c>
      <c r="B129" s="1" t="s">
        <v>307</v>
      </c>
      <c r="C129" s="116" t="s">
        <v>20</v>
      </c>
      <c r="D129" s="116" t="s">
        <v>308</v>
      </c>
      <c r="E129" s="2" t="s">
        <v>37</v>
      </c>
      <c r="F129" s="1">
        <v>20</v>
      </c>
      <c r="G129" s="61">
        <v>143.62</v>
      </c>
      <c r="H129" s="61">
        <f t="shared" si="16"/>
        <v>181.75</v>
      </c>
      <c r="I129" s="61">
        <f t="shared" si="17"/>
        <v>3635</v>
      </c>
      <c r="J129" s="60">
        <f t="shared" si="11"/>
        <v>2.4246934085246654E-3</v>
      </c>
      <c r="M129" s="128"/>
    </row>
    <row r="130" spans="1:13" ht="24" customHeight="1" x14ac:dyDescent="0.2">
      <c r="A130" s="116" t="s">
        <v>309</v>
      </c>
      <c r="B130" s="1" t="s">
        <v>310</v>
      </c>
      <c r="C130" s="116" t="s">
        <v>20</v>
      </c>
      <c r="D130" s="116" t="s">
        <v>311</v>
      </c>
      <c r="E130" s="2" t="s">
        <v>37</v>
      </c>
      <c r="F130" s="1">
        <v>19</v>
      </c>
      <c r="G130" s="61">
        <v>175.28</v>
      </c>
      <c r="H130" s="61">
        <f t="shared" si="16"/>
        <v>221.82</v>
      </c>
      <c r="I130" s="61">
        <f t="shared" si="17"/>
        <v>4214.58</v>
      </c>
      <c r="J130" s="60">
        <f t="shared" si="11"/>
        <v>2.8112969314167497E-3</v>
      </c>
      <c r="M130" s="128"/>
    </row>
    <row r="131" spans="1:13" ht="24" customHeight="1" x14ac:dyDescent="0.2">
      <c r="A131" s="116" t="s">
        <v>312</v>
      </c>
      <c r="B131" s="1" t="s">
        <v>313</v>
      </c>
      <c r="C131" s="116" t="s">
        <v>20</v>
      </c>
      <c r="D131" s="116" t="s">
        <v>314</v>
      </c>
      <c r="E131" s="2" t="s">
        <v>37</v>
      </c>
      <c r="F131" s="1">
        <v>2</v>
      </c>
      <c r="G131" s="61">
        <v>748.14</v>
      </c>
      <c r="H131" s="61">
        <f t="shared" si="16"/>
        <v>946.77</v>
      </c>
      <c r="I131" s="61">
        <f t="shared" si="17"/>
        <v>1893.54</v>
      </c>
      <c r="J131" s="60">
        <f t="shared" si="11"/>
        <v>1.2630684887971926E-3</v>
      </c>
      <c r="M131" s="128"/>
    </row>
    <row r="132" spans="1:13" ht="24" customHeight="1" x14ac:dyDescent="0.2">
      <c r="A132" s="116" t="s">
        <v>315</v>
      </c>
      <c r="B132" s="1" t="s">
        <v>316</v>
      </c>
      <c r="C132" s="116" t="s">
        <v>20</v>
      </c>
      <c r="D132" s="116" t="s">
        <v>317</v>
      </c>
      <c r="E132" s="2" t="s">
        <v>246</v>
      </c>
      <c r="F132" s="1">
        <v>1</v>
      </c>
      <c r="G132" s="61">
        <v>331.71</v>
      </c>
      <c r="H132" s="61">
        <f t="shared" si="16"/>
        <v>419.78</v>
      </c>
      <c r="I132" s="61">
        <f t="shared" si="17"/>
        <v>419.78</v>
      </c>
      <c r="J132" s="60">
        <f t="shared" si="11"/>
        <v>2.8001039863287044E-4</v>
      </c>
      <c r="M132" s="128"/>
    </row>
    <row r="133" spans="1:13" ht="24" customHeight="1" x14ac:dyDescent="0.2">
      <c r="A133" s="116" t="s">
        <v>318</v>
      </c>
      <c r="B133" s="1" t="s">
        <v>319</v>
      </c>
      <c r="C133" s="116" t="s">
        <v>20</v>
      </c>
      <c r="D133" s="116" t="s">
        <v>320</v>
      </c>
      <c r="E133" s="2" t="s">
        <v>37</v>
      </c>
      <c r="F133" s="1">
        <v>2</v>
      </c>
      <c r="G133" s="61">
        <v>175.87</v>
      </c>
      <c r="H133" s="61">
        <f t="shared" si="16"/>
        <v>222.56</v>
      </c>
      <c r="I133" s="61">
        <f t="shared" si="17"/>
        <v>445.12</v>
      </c>
      <c r="J133" s="60">
        <f t="shared" ref="J133:J196" si="18">I133 / 1499158.61</f>
        <v>2.9691321320563939E-4</v>
      </c>
      <c r="M133" s="128"/>
    </row>
    <row r="134" spans="1:13" ht="24" customHeight="1" x14ac:dyDescent="0.2">
      <c r="A134" s="116" t="s">
        <v>321</v>
      </c>
      <c r="B134" s="1" t="s">
        <v>313</v>
      </c>
      <c r="C134" s="116" t="s">
        <v>20</v>
      </c>
      <c r="D134" s="116" t="s">
        <v>322</v>
      </c>
      <c r="E134" s="2" t="s">
        <v>37</v>
      </c>
      <c r="F134" s="1">
        <v>1</v>
      </c>
      <c r="G134" s="61">
        <v>748.14</v>
      </c>
      <c r="H134" s="61">
        <f t="shared" si="16"/>
        <v>946.77</v>
      </c>
      <c r="I134" s="61">
        <f t="shared" si="17"/>
        <v>946.77</v>
      </c>
      <c r="J134" s="60">
        <f t="shared" si="18"/>
        <v>6.3153424439859631E-4</v>
      </c>
      <c r="M134" s="128"/>
    </row>
    <row r="135" spans="1:13" ht="24" customHeight="1" x14ac:dyDescent="0.2">
      <c r="A135" s="116" t="s">
        <v>323</v>
      </c>
      <c r="B135" s="1" t="s">
        <v>324</v>
      </c>
      <c r="C135" s="116" t="s">
        <v>20</v>
      </c>
      <c r="D135" s="116" t="s">
        <v>325</v>
      </c>
      <c r="E135" s="2" t="s">
        <v>37</v>
      </c>
      <c r="F135" s="1">
        <v>24</v>
      </c>
      <c r="G135" s="61">
        <v>10.77</v>
      </c>
      <c r="H135" s="61">
        <f t="shared" si="16"/>
        <v>13.63</v>
      </c>
      <c r="I135" s="61">
        <f t="shared" si="17"/>
        <v>327.12</v>
      </c>
      <c r="J135" s="60">
        <f t="shared" si="18"/>
        <v>2.1820239554239026E-4</v>
      </c>
      <c r="M135" s="128"/>
    </row>
    <row r="136" spans="1:13" ht="24" customHeight="1" x14ac:dyDescent="0.2">
      <c r="A136" s="116" t="s">
        <v>326</v>
      </c>
      <c r="B136" s="1" t="s">
        <v>327</v>
      </c>
      <c r="C136" s="116" t="s">
        <v>249</v>
      </c>
      <c r="D136" s="116" t="s">
        <v>328</v>
      </c>
      <c r="E136" s="2" t="s">
        <v>236</v>
      </c>
      <c r="F136" s="1">
        <v>3</v>
      </c>
      <c r="G136" s="61">
        <v>87.88</v>
      </c>
      <c r="H136" s="61">
        <f t="shared" si="16"/>
        <v>111.21</v>
      </c>
      <c r="I136" s="61">
        <f t="shared" si="17"/>
        <v>333.63</v>
      </c>
      <c r="J136" s="60">
        <f t="shared" si="18"/>
        <v>2.2254483133042204E-4</v>
      </c>
      <c r="M136" s="128"/>
    </row>
    <row r="137" spans="1:13" ht="24" customHeight="1" x14ac:dyDescent="0.2">
      <c r="A137" s="123" t="s">
        <v>1650</v>
      </c>
      <c r="B137" s="123"/>
      <c r="C137" s="123"/>
      <c r="D137" s="123" t="s">
        <v>1649</v>
      </c>
      <c r="E137" s="123"/>
      <c r="F137" s="3"/>
      <c r="G137" s="123"/>
      <c r="H137" s="123"/>
      <c r="I137" s="63">
        <f>SUM(I138:I154)</f>
        <v>27552.329999999998</v>
      </c>
      <c r="J137" s="62">
        <f t="shared" si="18"/>
        <v>1.8378529007014137E-2</v>
      </c>
      <c r="M137" s="128"/>
    </row>
    <row r="138" spans="1:13" ht="24" customHeight="1" x14ac:dyDescent="0.2">
      <c r="A138" s="116" t="s">
        <v>1648</v>
      </c>
      <c r="B138" s="1" t="s">
        <v>1679</v>
      </c>
      <c r="C138" s="116" t="s">
        <v>244</v>
      </c>
      <c r="D138" s="116" t="s">
        <v>1680</v>
      </c>
      <c r="E138" s="2" t="s">
        <v>213</v>
      </c>
      <c r="F138" s="1">
        <v>44.52</v>
      </c>
      <c r="G138" s="61">
        <v>38.32</v>
      </c>
      <c r="H138" s="61">
        <f t="shared" ref="H138:H154" si="19">ROUND(G138 * (1 + 26.55 / 100), 2)</f>
        <v>48.49</v>
      </c>
      <c r="I138" s="61">
        <f t="shared" ref="I138:I154" si="20">ROUND(F138 * H138, 2)</f>
        <v>2158.77</v>
      </c>
      <c r="J138" s="60">
        <f t="shared" si="18"/>
        <v>1.4399877275160363E-3</v>
      </c>
      <c r="M138" s="128"/>
    </row>
    <row r="139" spans="1:13" ht="24" customHeight="1" x14ac:dyDescent="0.2">
      <c r="A139" s="116" t="s">
        <v>1645</v>
      </c>
      <c r="B139" s="1" t="s">
        <v>1681</v>
      </c>
      <c r="C139" s="116" t="s">
        <v>20</v>
      </c>
      <c r="D139" s="116" t="s">
        <v>1682</v>
      </c>
      <c r="E139" s="2" t="s">
        <v>37</v>
      </c>
      <c r="F139" s="1">
        <v>22</v>
      </c>
      <c r="G139" s="61">
        <v>4.5199999999999996</v>
      </c>
      <c r="H139" s="61">
        <f t="shared" si="19"/>
        <v>5.72</v>
      </c>
      <c r="I139" s="61">
        <f t="shared" si="20"/>
        <v>125.84</v>
      </c>
      <c r="J139" s="60">
        <f t="shared" si="18"/>
        <v>8.3940417752061607E-5</v>
      </c>
      <c r="M139" s="128"/>
    </row>
    <row r="140" spans="1:13" ht="24" customHeight="1" x14ac:dyDescent="0.2">
      <c r="A140" s="116" t="s">
        <v>1642</v>
      </c>
      <c r="B140" s="1" t="s">
        <v>1683</v>
      </c>
      <c r="C140" s="116" t="s">
        <v>20</v>
      </c>
      <c r="D140" s="116" t="s">
        <v>1684</v>
      </c>
      <c r="E140" s="2" t="s">
        <v>37</v>
      </c>
      <c r="F140" s="1">
        <v>103</v>
      </c>
      <c r="G140" s="61">
        <v>0.36</v>
      </c>
      <c r="H140" s="61">
        <f t="shared" si="19"/>
        <v>0.46</v>
      </c>
      <c r="I140" s="61">
        <f t="shared" si="20"/>
        <v>47.38</v>
      </c>
      <c r="J140" s="60">
        <f t="shared" si="18"/>
        <v>3.1604394414277488E-5</v>
      </c>
      <c r="M140" s="128"/>
    </row>
    <row r="141" spans="1:13" ht="24" customHeight="1" x14ac:dyDescent="0.2">
      <c r="A141" s="116" t="s">
        <v>1639</v>
      </c>
      <c r="B141" s="1" t="s">
        <v>1685</v>
      </c>
      <c r="C141" s="116" t="s">
        <v>20</v>
      </c>
      <c r="D141" s="116" t="s">
        <v>1686</v>
      </c>
      <c r="E141" s="2" t="s">
        <v>37</v>
      </c>
      <c r="F141" s="1">
        <v>103</v>
      </c>
      <c r="G141" s="61">
        <v>0.38</v>
      </c>
      <c r="H141" s="61">
        <f t="shared" si="19"/>
        <v>0.48</v>
      </c>
      <c r="I141" s="61">
        <f t="shared" si="20"/>
        <v>49.44</v>
      </c>
      <c r="J141" s="60">
        <f t="shared" si="18"/>
        <v>3.2978498519246068E-5</v>
      </c>
      <c r="M141" s="128"/>
    </row>
    <row r="142" spans="1:13" ht="24" customHeight="1" x14ac:dyDescent="0.2">
      <c r="A142" s="116" t="s">
        <v>1638</v>
      </c>
      <c r="B142" s="1" t="s">
        <v>1687</v>
      </c>
      <c r="C142" s="116" t="s">
        <v>20</v>
      </c>
      <c r="D142" s="116" t="s">
        <v>1688</v>
      </c>
      <c r="E142" s="2" t="s">
        <v>37</v>
      </c>
      <c r="F142" s="1">
        <v>103</v>
      </c>
      <c r="G142" s="61">
        <v>0.04</v>
      </c>
      <c r="H142" s="61">
        <f t="shared" si="19"/>
        <v>0.05</v>
      </c>
      <c r="I142" s="61">
        <f t="shared" si="20"/>
        <v>5.15</v>
      </c>
      <c r="J142" s="60">
        <f t="shared" si="18"/>
        <v>3.4352602624214658E-6</v>
      </c>
      <c r="M142" s="128"/>
    </row>
    <row r="143" spans="1:13" ht="24" customHeight="1" x14ac:dyDescent="0.2">
      <c r="A143" s="116" t="s">
        <v>1637</v>
      </c>
      <c r="B143" s="1" t="s">
        <v>1689</v>
      </c>
      <c r="C143" s="116" t="s">
        <v>244</v>
      </c>
      <c r="D143" s="116" t="s">
        <v>1690</v>
      </c>
      <c r="E143" s="2" t="s">
        <v>246</v>
      </c>
      <c r="F143" s="1">
        <v>4</v>
      </c>
      <c r="G143" s="61">
        <v>27.14</v>
      </c>
      <c r="H143" s="61">
        <f t="shared" si="19"/>
        <v>34.35</v>
      </c>
      <c r="I143" s="61">
        <f t="shared" si="20"/>
        <v>137.4</v>
      </c>
      <c r="J143" s="60">
        <f t="shared" si="18"/>
        <v>9.16514097197494E-5</v>
      </c>
      <c r="M143" s="128"/>
    </row>
    <row r="144" spans="1:13" ht="24" customHeight="1" x14ac:dyDescent="0.2">
      <c r="A144" s="116" t="s">
        <v>1636</v>
      </c>
      <c r="B144" s="1" t="s">
        <v>199</v>
      </c>
      <c r="C144" s="116" t="s">
        <v>20</v>
      </c>
      <c r="D144" s="116" t="s">
        <v>200</v>
      </c>
      <c r="E144" s="2" t="s">
        <v>92</v>
      </c>
      <c r="F144" s="1">
        <v>167.62</v>
      </c>
      <c r="G144" s="61">
        <v>7.66</v>
      </c>
      <c r="H144" s="61">
        <f t="shared" si="19"/>
        <v>9.69</v>
      </c>
      <c r="I144" s="61">
        <f t="shared" si="20"/>
        <v>1624.24</v>
      </c>
      <c r="J144" s="60">
        <f t="shared" si="18"/>
        <v>1.0834343939097944E-3</v>
      </c>
      <c r="M144" s="128"/>
    </row>
    <row r="145" spans="1:13" ht="24" customHeight="1" x14ac:dyDescent="0.2">
      <c r="A145" s="116" t="s">
        <v>1633</v>
      </c>
      <c r="B145" s="1" t="s">
        <v>1691</v>
      </c>
      <c r="C145" s="116" t="s">
        <v>20</v>
      </c>
      <c r="D145" s="116" t="s">
        <v>1692</v>
      </c>
      <c r="E145" s="2" t="s">
        <v>37</v>
      </c>
      <c r="F145" s="1">
        <v>2</v>
      </c>
      <c r="G145" s="61">
        <v>18.940000000000001</v>
      </c>
      <c r="H145" s="61">
        <f t="shared" si="19"/>
        <v>23.97</v>
      </c>
      <c r="I145" s="61">
        <f t="shared" si="20"/>
        <v>47.94</v>
      </c>
      <c r="J145" s="60">
        <f t="shared" si="18"/>
        <v>3.1977937277764091E-5</v>
      </c>
      <c r="M145" s="128"/>
    </row>
    <row r="146" spans="1:13" ht="24" customHeight="1" x14ac:dyDescent="0.2">
      <c r="A146" s="116" t="s">
        <v>1630</v>
      </c>
      <c r="B146" s="1" t="s">
        <v>1693</v>
      </c>
      <c r="C146" s="116" t="s">
        <v>249</v>
      </c>
      <c r="D146" s="116" t="s">
        <v>1694</v>
      </c>
      <c r="E146" s="2" t="s">
        <v>236</v>
      </c>
      <c r="F146" s="1">
        <v>44</v>
      </c>
      <c r="G146" s="61">
        <v>5</v>
      </c>
      <c r="H146" s="61">
        <f t="shared" si="19"/>
        <v>6.33</v>
      </c>
      <c r="I146" s="61">
        <f t="shared" si="20"/>
        <v>278.52</v>
      </c>
      <c r="J146" s="60">
        <f t="shared" si="18"/>
        <v>1.8578421131837408E-4</v>
      </c>
      <c r="M146" s="128"/>
    </row>
    <row r="147" spans="1:13" ht="24" customHeight="1" x14ac:dyDescent="0.2">
      <c r="A147" s="116" t="s">
        <v>1629</v>
      </c>
      <c r="B147" s="1" t="s">
        <v>1647</v>
      </c>
      <c r="C147" s="116" t="s">
        <v>20</v>
      </c>
      <c r="D147" s="116" t="s">
        <v>1646</v>
      </c>
      <c r="E147" s="2" t="s">
        <v>92</v>
      </c>
      <c r="F147" s="1">
        <v>1957.3</v>
      </c>
      <c r="G147" s="61">
        <v>3.66</v>
      </c>
      <c r="H147" s="61">
        <f t="shared" si="19"/>
        <v>4.63</v>
      </c>
      <c r="I147" s="61">
        <f t="shared" si="20"/>
        <v>9062.2999999999993</v>
      </c>
      <c r="J147" s="60">
        <f t="shared" si="18"/>
        <v>6.0449240924547662E-3</v>
      </c>
      <c r="M147" s="128"/>
    </row>
    <row r="148" spans="1:13" ht="48" customHeight="1" x14ac:dyDescent="0.2">
      <c r="A148" s="116" t="s">
        <v>1628</v>
      </c>
      <c r="B148" s="1" t="s">
        <v>1641</v>
      </c>
      <c r="C148" s="116" t="s">
        <v>20</v>
      </c>
      <c r="D148" s="116" t="s">
        <v>1640</v>
      </c>
      <c r="E148" s="2" t="s">
        <v>37</v>
      </c>
      <c r="F148" s="1">
        <v>206</v>
      </c>
      <c r="G148" s="61">
        <v>3.49</v>
      </c>
      <c r="H148" s="61">
        <f t="shared" si="19"/>
        <v>4.42</v>
      </c>
      <c r="I148" s="61">
        <f t="shared" si="20"/>
        <v>910.52</v>
      </c>
      <c r="J148" s="60">
        <f t="shared" si="18"/>
        <v>6.073540143961151E-4</v>
      </c>
      <c r="M148" s="128"/>
    </row>
    <row r="149" spans="1:13" ht="24" customHeight="1" x14ac:dyDescent="0.2">
      <c r="A149" s="116" t="s">
        <v>1695</v>
      </c>
      <c r="B149" s="1" t="s">
        <v>1644</v>
      </c>
      <c r="C149" s="116" t="s">
        <v>20</v>
      </c>
      <c r="D149" s="116" t="s">
        <v>1643</v>
      </c>
      <c r="E149" s="2" t="s">
        <v>37</v>
      </c>
      <c r="F149" s="1">
        <v>103</v>
      </c>
      <c r="G149" s="61">
        <v>31.78</v>
      </c>
      <c r="H149" s="61">
        <f t="shared" si="19"/>
        <v>40.22</v>
      </c>
      <c r="I149" s="61">
        <f t="shared" si="20"/>
        <v>4142.66</v>
      </c>
      <c r="J149" s="60">
        <f t="shared" si="18"/>
        <v>2.7633233550918269E-3</v>
      </c>
      <c r="M149" s="128"/>
    </row>
    <row r="150" spans="1:13" ht="24" customHeight="1" x14ac:dyDescent="0.2">
      <c r="A150" s="116" t="s">
        <v>1696</v>
      </c>
      <c r="B150" s="1" t="s">
        <v>1632</v>
      </c>
      <c r="C150" s="116" t="s">
        <v>20</v>
      </c>
      <c r="D150" s="116" t="s">
        <v>1631</v>
      </c>
      <c r="E150" s="2" t="s">
        <v>37</v>
      </c>
      <c r="F150" s="1">
        <v>4</v>
      </c>
      <c r="G150" s="61">
        <v>411.39</v>
      </c>
      <c r="H150" s="61">
        <f t="shared" si="19"/>
        <v>520.61</v>
      </c>
      <c r="I150" s="61">
        <f t="shared" si="20"/>
        <v>2082.44</v>
      </c>
      <c r="J150" s="60">
        <f t="shared" si="18"/>
        <v>1.3890725011411567E-3</v>
      </c>
      <c r="M150" s="128"/>
    </row>
    <row r="151" spans="1:13" ht="24" customHeight="1" x14ac:dyDescent="0.2">
      <c r="A151" s="116" t="s">
        <v>1697</v>
      </c>
      <c r="B151" s="1" t="s">
        <v>1635</v>
      </c>
      <c r="C151" s="116" t="s">
        <v>25</v>
      </c>
      <c r="D151" s="116" t="s">
        <v>1634</v>
      </c>
      <c r="E151" s="2" t="s">
        <v>236</v>
      </c>
      <c r="F151" s="1">
        <v>1</v>
      </c>
      <c r="G151" s="61">
        <v>988.49</v>
      </c>
      <c r="H151" s="61">
        <f t="shared" si="19"/>
        <v>1250.93</v>
      </c>
      <c r="I151" s="61">
        <f t="shared" si="20"/>
        <v>1250.93</v>
      </c>
      <c r="J151" s="60">
        <f t="shared" si="18"/>
        <v>8.3442138253803577E-4</v>
      </c>
      <c r="M151" s="128"/>
    </row>
    <row r="152" spans="1:13" ht="24" customHeight="1" x14ac:dyDescent="0.2">
      <c r="A152" s="116" t="s">
        <v>1698</v>
      </c>
      <c r="B152" s="1" t="s">
        <v>1699</v>
      </c>
      <c r="C152" s="116" t="s">
        <v>244</v>
      </c>
      <c r="D152" s="116" t="s">
        <v>1700</v>
      </c>
      <c r="E152" s="2" t="s">
        <v>246</v>
      </c>
      <c r="F152" s="1">
        <v>2</v>
      </c>
      <c r="G152" s="61">
        <v>520</v>
      </c>
      <c r="H152" s="61">
        <f t="shared" si="19"/>
        <v>658.06</v>
      </c>
      <c r="I152" s="61">
        <f t="shared" si="20"/>
        <v>1316.12</v>
      </c>
      <c r="J152" s="60">
        <f t="shared" si="18"/>
        <v>8.7790577409284257E-4</v>
      </c>
      <c r="M152" s="128"/>
    </row>
    <row r="153" spans="1:13" ht="24" customHeight="1" x14ac:dyDescent="0.2">
      <c r="A153" s="116" t="s">
        <v>1701</v>
      </c>
      <c r="B153" s="1" t="s">
        <v>1702</v>
      </c>
      <c r="C153" s="116" t="s">
        <v>20</v>
      </c>
      <c r="D153" s="116" t="s">
        <v>1703</v>
      </c>
      <c r="E153" s="2" t="s">
        <v>246</v>
      </c>
      <c r="F153" s="1">
        <v>103</v>
      </c>
      <c r="G153" s="61">
        <v>22.73</v>
      </c>
      <c r="H153" s="61">
        <f t="shared" si="19"/>
        <v>28.76</v>
      </c>
      <c r="I153" s="61">
        <f t="shared" si="20"/>
        <v>2962.28</v>
      </c>
      <c r="J153" s="60">
        <f t="shared" si="18"/>
        <v>1.9759617029448269E-3</v>
      </c>
      <c r="M153" s="128"/>
    </row>
    <row r="154" spans="1:13" ht="24" customHeight="1" x14ac:dyDescent="0.2">
      <c r="A154" s="116" t="s">
        <v>1704</v>
      </c>
      <c r="B154" s="1" t="s">
        <v>1705</v>
      </c>
      <c r="C154" s="116" t="s">
        <v>20</v>
      </c>
      <c r="D154" s="116" t="s">
        <v>1706</v>
      </c>
      <c r="E154" s="2" t="s">
        <v>37</v>
      </c>
      <c r="F154" s="1">
        <v>40</v>
      </c>
      <c r="G154" s="61">
        <v>26.68</v>
      </c>
      <c r="H154" s="61">
        <f t="shared" si="19"/>
        <v>33.76</v>
      </c>
      <c r="I154" s="61">
        <f t="shared" si="20"/>
        <v>1350.4</v>
      </c>
      <c r="J154" s="60">
        <f t="shared" si="18"/>
        <v>9.0077193366484419E-4</v>
      </c>
      <c r="M154" s="128"/>
    </row>
    <row r="155" spans="1:13" ht="24" customHeight="1" x14ac:dyDescent="0.2">
      <c r="A155" s="123" t="s">
        <v>329</v>
      </c>
      <c r="B155" s="123"/>
      <c r="C155" s="123"/>
      <c r="D155" s="123" t="s">
        <v>330</v>
      </c>
      <c r="E155" s="123"/>
      <c r="F155" s="3"/>
      <c r="G155" s="123"/>
      <c r="H155" s="123"/>
      <c r="I155" s="63">
        <f>I156+I170+I179+I190+I206+I209 + I226</f>
        <v>114853.63</v>
      </c>
      <c r="J155" s="62">
        <f t="shared" si="18"/>
        <v>7.6612060414341349E-2</v>
      </c>
      <c r="M155" s="128"/>
    </row>
    <row r="156" spans="1:13" ht="24" customHeight="1" x14ac:dyDescent="0.2">
      <c r="A156" s="123" t="s">
        <v>331</v>
      </c>
      <c r="B156" s="123"/>
      <c r="C156" s="123"/>
      <c r="D156" s="123" t="s">
        <v>332</v>
      </c>
      <c r="E156" s="123"/>
      <c r="F156" s="3"/>
      <c r="G156" s="123"/>
      <c r="H156" s="123"/>
      <c r="I156" s="63">
        <f>SUM(I157:I169)</f>
        <v>27901.41</v>
      </c>
      <c r="J156" s="62">
        <f t="shared" si="18"/>
        <v>1.8611379619131826E-2</v>
      </c>
      <c r="M156" s="128"/>
    </row>
    <row r="157" spans="1:13" ht="24" customHeight="1" x14ac:dyDescent="0.2">
      <c r="A157" s="116" t="s">
        <v>333</v>
      </c>
      <c r="B157" s="1" t="s">
        <v>334</v>
      </c>
      <c r="C157" s="116" t="s">
        <v>20</v>
      </c>
      <c r="D157" s="116" t="s">
        <v>335</v>
      </c>
      <c r="E157" s="2" t="s">
        <v>37</v>
      </c>
      <c r="F157" s="1">
        <v>12</v>
      </c>
      <c r="G157" s="61">
        <v>106.37</v>
      </c>
      <c r="H157" s="61">
        <f t="shared" ref="H157:H169" si="21">ROUND(G157 * (1 + 26.55 / 100), 2)</f>
        <v>134.61000000000001</v>
      </c>
      <c r="I157" s="61">
        <f t="shared" ref="I157:I169" si="22">ROUND(F157 * H157, 2)</f>
        <v>1615.32</v>
      </c>
      <c r="J157" s="60">
        <f t="shared" si="18"/>
        <v>1.0774843897271148E-3</v>
      </c>
      <c r="M157" s="128"/>
    </row>
    <row r="158" spans="1:13" ht="24" customHeight="1" x14ac:dyDescent="0.2">
      <c r="A158" s="116" t="s">
        <v>336</v>
      </c>
      <c r="B158" s="1" t="s">
        <v>337</v>
      </c>
      <c r="C158" s="116" t="s">
        <v>20</v>
      </c>
      <c r="D158" s="116" t="s">
        <v>338</v>
      </c>
      <c r="E158" s="2" t="s">
        <v>37</v>
      </c>
      <c r="F158" s="1">
        <v>3</v>
      </c>
      <c r="G158" s="61">
        <v>270.89</v>
      </c>
      <c r="H158" s="61">
        <f t="shared" si="21"/>
        <v>342.81</v>
      </c>
      <c r="I158" s="61">
        <f t="shared" si="22"/>
        <v>1028.43</v>
      </c>
      <c r="J158" s="60">
        <f t="shared" si="18"/>
        <v>6.860047983848754E-4</v>
      </c>
      <c r="M158" s="128"/>
    </row>
    <row r="159" spans="1:13" ht="24" customHeight="1" x14ac:dyDescent="0.2">
      <c r="A159" s="116" t="s">
        <v>339</v>
      </c>
      <c r="B159" s="1" t="s">
        <v>340</v>
      </c>
      <c r="C159" s="116" t="s">
        <v>249</v>
      </c>
      <c r="D159" s="116" t="s">
        <v>341</v>
      </c>
      <c r="E159" s="2" t="s">
        <v>236</v>
      </c>
      <c r="F159" s="1">
        <v>4</v>
      </c>
      <c r="G159" s="61">
        <v>888.23</v>
      </c>
      <c r="H159" s="61">
        <f t="shared" si="21"/>
        <v>1124.06</v>
      </c>
      <c r="I159" s="61">
        <f t="shared" si="22"/>
        <v>4496.24</v>
      </c>
      <c r="J159" s="60">
        <f t="shared" si="18"/>
        <v>2.9991756509339593E-3</v>
      </c>
      <c r="M159" s="128"/>
    </row>
    <row r="160" spans="1:13" ht="24" customHeight="1" x14ac:dyDescent="0.2">
      <c r="A160" s="116" t="s">
        <v>342</v>
      </c>
      <c r="B160" s="1" t="s">
        <v>343</v>
      </c>
      <c r="C160" s="116" t="s">
        <v>20</v>
      </c>
      <c r="D160" s="116" t="s">
        <v>344</v>
      </c>
      <c r="E160" s="2" t="s">
        <v>246</v>
      </c>
      <c r="F160" s="1">
        <v>6</v>
      </c>
      <c r="G160" s="61">
        <v>887.91</v>
      </c>
      <c r="H160" s="61">
        <f t="shared" si="21"/>
        <v>1123.6500000000001</v>
      </c>
      <c r="I160" s="61">
        <f t="shared" si="22"/>
        <v>6741.9</v>
      </c>
      <c r="J160" s="60">
        <f t="shared" si="18"/>
        <v>4.4971225559649088E-3</v>
      </c>
      <c r="M160" s="128"/>
    </row>
    <row r="161" spans="1:13" ht="24" customHeight="1" x14ac:dyDescent="0.2">
      <c r="A161" s="116" t="s">
        <v>345</v>
      </c>
      <c r="B161" s="1" t="s">
        <v>346</v>
      </c>
      <c r="C161" s="116" t="s">
        <v>20</v>
      </c>
      <c r="D161" s="116" t="s">
        <v>347</v>
      </c>
      <c r="E161" s="2" t="s">
        <v>37</v>
      </c>
      <c r="F161" s="1">
        <v>4</v>
      </c>
      <c r="G161" s="61">
        <v>531.91999999999996</v>
      </c>
      <c r="H161" s="61">
        <f t="shared" si="21"/>
        <v>673.14</v>
      </c>
      <c r="I161" s="61">
        <f t="shared" si="22"/>
        <v>2692.56</v>
      </c>
      <c r="J161" s="60">
        <f t="shared" si="18"/>
        <v>1.7960474509098139E-3</v>
      </c>
      <c r="M161" s="128"/>
    </row>
    <row r="162" spans="1:13" ht="24" customHeight="1" x14ac:dyDescent="0.2">
      <c r="A162" s="116" t="s">
        <v>348</v>
      </c>
      <c r="B162" s="1" t="s">
        <v>349</v>
      </c>
      <c r="C162" s="116" t="s">
        <v>20</v>
      </c>
      <c r="D162" s="116" t="s">
        <v>350</v>
      </c>
      <c r="E162" s="2" t="s">
        <v>37</v>
      </c>
      <c r="F162" s="1">
        <v>10</v>
      </c>
      <c r="G162" s="61">
        <v>115.75</v>
      </c>
      <c r="H162" s="61">
        <f t="shared" si="21"/>
        <v>146.47999999999999</v>
      </c>
      <c r="I162" s="61">
        <f t="shared" si="22"/>
        <v>1464.8</v>
      </c>
      <c r="J162" s="60">
        <f t="shared" si="18"/>
        <v>9.7708140434853651E-4</v>
      </c>
      <c r="M162" s="128"/>
    </row>
    <row r="163" spans="1:13" ht="24" customHeight="1" x14ac:dyDescent="0.2">
      <c r="A163" s="116" t="s">
        <v>351</v>
      </c>
      <c r="B163" s="1" t="s">
        <v>352</v>
      </c>
      <c r="C163" s="116" t="s">
        <v>20</v>
      </c>
      <c r="D163" s="116" t="s">
        <v>353</v>
      </c>
      <c r="E163" s="2" t="s">
        <v>37</v>
      </c>
      <c r="F163" s="1">
        <v>2</v>
      </c>
      <c r="G163" s="61">
        <v>538.88</v>
      </c>
      <c r="H163" s="61">
        <f t="shared" si="21"/>
        <v>681.95</v>
      </c>
      <c r="I163" s="61">
        <f t="shared" si="22"/>
        <v>1363.9</v>
      </c>
      <c r="J163" s="60">
        <f t="shared" si="18"/>
        <v>9.0977698483818198E-4</v>
      </c>
      <c r="M163" s="128"/>
    </row>
    <row r="164" spans="1:13" ht="24" customHeight="1" x14ac:dyDescent="0.2">
      <c r="A164" s="116" t="s">
        <v>354</v>
      </c>
      <c r="B164" s="1" t="s">
        <v>355</v>
      </c>
      <c r="C164" s="116" t="s">
        <v>20</v>
      </c>
      <c r="D164" s="116" t="s">
        <v>356</v>
      </c>
      <c r="E164" s="2" t="s">
        <v>37</v>
      </c>
      <c r="F164" s="1">
        <v>3</v>
      </c>
      <c r="G164" s="61">
        <v>576.96</v>
      </c>
      <c r="H164" s="61">
        <f t="shared" si="21"/>
        <v>730.14</v>
      </c>
      <c r="I164" s="61">
        <f t="shared" si="22"/>
        <v>2190.42</v>
      </c>
      <c r="J164" s="60">
        <f t="shared" si="18"/>
        <v>1.4610995697113061E-3</v>
      </c>
      <c r="M164" s="128"/>
    </row>
    <row r="165" spans="1:13" ht="24" customHeight="1" x14ac:dyDescent="0.2">
      <c r="A165" s="116" t="s">
        <v>1296</v>
      </c>
      <c r="B165" s="1" t="s">
        <v>1295</v>
      </c>
      <c r="C165" s="116" t="s">
        <v>20</v>
      </c>
      <c r="D165" s="116" t="s">
        <v>1294</v>
      </c>
      <c r="E165" s="2" t="s">
        <v>37</v>
      </c>
      <c r="F165" s="1">
        <v>4</v>
      </c>
      <c r="G165" s="61">
        <v>89.37</v>
      </c>
      <c r="H165" s="61">
        <f t="shared" si="21"/>
        <v>113.1</v>
      </c>
      <c r="I165" s="61">
        <f t="shared" si="22"/>
        <v>452.4</v>
      </c>
      <c r="J165" s="60">
        <f t="shared" si="18"/>
        <v>3.0176927043096524E-4</v>
      </c>
      <c r="M165" s="128"/>
    </row>
    <row r="166" spans="1:13" ht="24" customHeight="1" x14ac:dyDescent="0.2">
      <c r="A166" s="116" t="s">
        <v>1293</v>
      </c>
      <c r="B166" s="1" t="s">
        <v>1292</v>
      </c>
      <c r="C166" s="116" t="s">
        <v>20</v>
      </c>
      <c r="D166" s="116" t="s">
        <v>1291</v>
      </c>
      <c r="E166" s="2" t="s">
        <v>246</v>
      </c>
      <c r="F166" s="1">
        <v>12</v>
      </c>
      <c r="G166" s="61">
        <v>187.85</v>
      </c>
      <c r="H166" s="61">
        <f t="shared" si="21"/>
        <v>237.72</v>
      </c>
      <c r="I166" s="61">
        <f t="shared" si="22"/>
        <v>2852.64</v>
      </c>
      <c r="J166" s="60">
        <f t="shared" si="18"/>
        <v>1.9028273466007708E-3</v>
      </c>
      <c r="M166" s="128"/>
    </row>
    <row r="167" spans="1:13" ht="24" customHeight="1" x14ac:dyDescent="0.2">
      <c r="A167" s="116" t="s">
        <v>1290</v>
      </c>
      <c r="B167" s="1" t="s">
        <v>1289</v>
      </c>
      <c r="C167" s="116" t="s">
        <v>20</v>
      </c>
      <c r="D167" s="116" t="s">
        <v>1288</v>
      </c>
      <c r="E167" s="2" t="s">
        <v>246</v>
      </c>
      <c r="F167" s="1">
        <v>12</v>
      </c>
      <c r="G167" s="61">
        <v>134.57</v>
      </c>
      <c r="H167" s="61">
        <f t="shared" si="21"/>
        <v>170.3</v>
      </c>
      <c r="I167" s="61">
        <f t="shared" si="22"/>
        <v>2043.6</v>
      </c>
      <c r="J167" s="60">
        <f t="shared" si="18"/>
        <v>1.3631646353950498E-3</v>
      </c>
      <c r="M167" s="128"/>
    </row>
    <row r="168" spans="1:13" ht="24" customHeight="1" x14ac:dyDescent="0.2">
      <c r="A168" s="116" t="s">
        <v>1287</v>
      </c>
      <c r="B168" s="1" t="s">
        <v>1286</v>
      </c>
      <c r="C168" s="116" t="s">
        <v>25</v>
      </c>
      <c r="D168" s="116" t="s">
        <v>1285</v>
      </c>
      <c r="E168" s="2" t="s">
        <v>236</v>
      </c>
      <c r="F168" s="1">
        <v>10</v>
      </c>
      <c r="G168" s="61">
        <v>37.14</v>
      </c>
      <c r="H168" s="61">
        <f t="shared" si="21"/>
        <v>47</v>
      </c>
      <c r="I168" s="61">
        <f t="shared" si="22"/>
        <v>470</v>
      </c>
      <c r="J168" s="60">
        <f t="shared" si="18"/>
        <v>3.1350918899768714E-4</v>
      </c>
      <c r="M168" s="128"/>
    </row>
    <row r="169" spans="1:13" ht="24" customHeight="1" x14ac:dyDescent="0.2">
      <c r="A169" s="116" t="s">
        <v>1284</v>
      </c>
      <c r="B169" s="1" t="s">
        <v>1283</v>
      </c>
      <c r="C169" s="116" t="s">
        <v>25</v>
      </c>
      <c r="D169" s="116" t="s">
        <v>1282</v>
      </c>
      <c r="E169" s="2" t="s">
        <v>236</v>
      </c>
      <c r="F169" s="1">
        <v>10</v>
      </c>
      <c r="G169" s="61">
        <v>38.659999999999997</v>
      </c>
      <c r="H169" s="61">
        <f t="shared" si="21"/>
        <v>48.92</v>
      </c>
      <c r="I169" s="61">
        <f t="shared" si="22"/>
        <v>489.2</v>
      </c>
      <c r="J169" s="60">
        <f t="shared" si="18"/>
        <v>3.2631637288865647E-4</v>
      </c>
      <c r="M169" s="128"/>
    </row>
    <row r="170" spans="1:13" ht="24" customHeight="1" x14ac:dyDescent="0.2">
      <c r="A170" s="123" t="s">
        <v>357</v>
      </c>
      <c r="B170" s="123"/>
      <c r="C170" s="123"/>
      <c r="D170" s="123" t="s">
        <v>358</v>
      </c>
      <c r="E170" s="123"/>
      <c r="F170" s="3"/>
      <c r="G170" s="123"/>
      <c r="H170" s="123"/>
      <c r="I170" s="63">
        <f>SUM(I171:I178)</f>
        <v>16017.599999999999</v>
      </c>
      <c r="J170" s="62">
        <f t="shared" si="18"/>
        <v>1.0684393161041177E-2</v>
      </c>
      <c r="M170" s="128"/>
    </row>
    <row r="171" spans="1:13" ht="24" customHeight="1" x14ac:dyDescent="0.2">
      <c r="A171" s="116" t="s">
        <v>359</v>
      </c>
      <c r="B171" s="1" t="s">
        <v>360</v>
      </c>
      <c r="C171" s="116" t="s">
        <v>20</v>
      </c>
      <c r="D171" s="116" t="s">
        <v>361</v>
      </c>
      <c r="E171" s="2" t="s">
        <v>246</v>
      </c>
      <c r="F171" s="1">
        <v>9</v>
      </c>
      <c r="G171" s="61">
        <v>860.31</v>
      </c>
      <c r="H171" s="61">
        <f t="shared" ref="H171:H178" si="23">ROUND(G171 * (1 + 26.55 / 100), 2)</f>
        <v>1088.72</v>
      </c>
      <c r="I171" s="61">
        <f t="shared" ref="I171:I178" si="24">ROUND(F171 * H171, 2)</f>
        <v>9798.48</v>
      </c>
      <c r="J171" s="60">
        <f t="shared" si="18"/>
        <v>6.5359862089575688E-3</v>
      </c>
      <c r="M171" s="128"/>
    </row>
    <row r="172" spans="1:13" ht="24" customHeight="1" x14ac:dyDescent="0.2">
      <c r="A172" s="116" t="s">
        <v>362</v>
      </c>
      <c r="B172" s="1" t="s">
        <v>363</v>
      </c>
      <c r="C172" s="116" t="s">
        <v>20</v>
      </c>
      <c r="D172" s="116" t="s">
        <v>364</v>
      </c>
      <c r="E172" s="2" t="s">
        <v>246</v>
      </c>
      <c r="F172" s="1">
        <v>4</v>
      </c>
      <c r="G172" s="61">
        <v>116.92</v>
      </c>
      <c r="H172" s="61">
        <f t="shared" si="23"/>
        <v>147.96</v>
      </c>
      <c r="I172" s="61">
        <f t="shared" si="24"/>
        <v>591.84</v>
      </c>
      <c r="J172" s="60">
        <f t="shared" si="18"/>
        <v>3.9478144343913017E-4</v>
      </c>
      <c r="M172" s="128"/>
    </row>
    <row r="173" spans="1:13" ht="24" customHeight="1" x14ac:dyDescent="0.2">
      <c r="A173" s="116" t="s">
        <v>365</v>
      </c>
      <c r="B173" s="1" t="s">
        <v>366</v>
      </c>
      <c r="C173" s="116" t="s">
        <v>20</v>
      </c>
      <c r="D173" s="116" t="s">
        <v>367</v>
      </c>
      <c r="E173" s="2" t="s">
        <v>37</v>
      </c>
      <c r="F173" s="1">
        <v>3</v>
      </c>
      <c r="G173" s="61">
        <v>53.73</v>
      </c>
      <c r="H173" s="61">
        <f t="shared" si="23"/>
        <v>68</v>
      </c>
      <c r="I173" s="61">
        <f t="shared" si="24"/>
        <v>204</v>
      </c>
      <c r="J173" s="60">
        <f t="shared" si="18"/>
        <v>1.3607632884154932E-4</v>
      </c>
      <c r="M173" s="128"/>
    </row>
    <row r="174" spans="1:13" ht="24" customHeight="1" x14ac:dyDescent="0.2">
      <c r="A174" s="116" t="s">
        <v>368</v>
      </c>
      <c r="B174" s="1" t="s">
        <v>369</v>
      </c>
      <c r="C174" s="116" t="s">
        <v>20</v>
      </c>
      <c r="D174" s="116" t="s">
        <v>370</v>
      </c>
      <c r="E174" s="2" t="s">
        <v>246</v>
      </c>
      <c r="F174" s="1">
        <v>3</v>
      </c>
      <c r="G174" s="61">
        <v>88.54</v>
      </c>
      <c r="H174" s="61">
        <f t="shared" si="23"/>
        <v>112.05</v>
      </c>
      <c r="I174" s="61">
        <f t="shared" si="24"/>
        <v>336.15</v>
      </c>
      <c r="J174" s="60">
        <f t="shared" si="18"/>
        <v>2.2422577421611176E-4</v>
      </c>
      <c r="M174" s="128"/>
    </row>
    <row r="175" spans="1:13" ht="24" customHeight="1" x14ac:dyDescent="0.2">
      <c r="A175" s="116" t="s">
        <v>371</v>
      </c>
      <c r="B175" s="1" t="s">
        <v>372</v>
      </c>
      <c r="C175" s="116" t="s">
        <v>20</v>
      </c>
      <c r="D175" s="116" t="s">
        <v>373</v>
      </c>
      <c r="E175" s="2" t="s">
        <v>37</v>
      </c>
      <c r="F175" s="1">
        <v>2</v>
      </c>
      <c r="G175" s="61">
        <v>55.04</v>
      </c>
      <c r="H175" s="61">
        <f t="shared" si="23"/>
        <v>69.650000000000006</v>
      </c>
      <c r="I175" s="61">
        <f t="shared" si="24"/>
        <v>139.30000000000001</v>
      </c>
      <c r="J175" s="60">
        <f t="shared" si="18"/>
        <v>9.2918787292293242E-5</v>
      </c>
      <c r="M175" s="128"/>
    </row>
    <row r="176" spans="1:13" ht="24" customHeight="1" x14ac:dyDescent="0.2">
      <c r="A176" s="116" t="s">
        <v>374</v>
      </c>
      <c r="B176" s="1" t="s">
        <v>375</v>
      </c>
      <c r="C176" s="116" t="s">
        <v>20</v>
      </c>
      <c r="D176" s="116" t="s">
        <v>376</v>
      </c>
      <c r="E176" s="2" t="s">
        <v>37</v>
      </c>
      <c r="F176" s="1">
        <v>22</v>
      </c>
      <c r="G176" s="61">
        <v>35.630000000000003</v>
      </c>
      <c r="H176" s="61">
        <f t="shared" si="23"/>
        <v>45.09</v>
      </c>
      <c r="I176" s="61">
        <f t="shared" si="24"/>
        <v>991.98</v>
      </c>
      <c r="J176" s="60">
        <f t="shared" si="18"/>
        <v>6.6169116021686316E-4</v>
      </c>
      <c r="M176" s="128"/>
    </row>
    <row r="177" spans="1:13" ht="24" customHeight="1" x14ac:dyDescent="0.2">
      <c r="A177" s="116" t="s">
        <v>377</v>
      </c>
      <c r="B177" s="1" t="s">
        <v>378</v>
      </c>
      <c r="C177" s="116" t="s">
        <v>20</v>
      </c>
      <c r="D177" s="116" t="s">
        <v>379</v>
      </c>
      <c r="E177" s="2" t="s">
        <v>37</v>
      </c>
      <c r="F177" s="1">
        <v>15</v>
      </c>
      <c r="G177" s="61">
        <v>146.94</v>
      </c>
      <c r="H177" s="61">
        <f t="shared" si="23"/>
        <v>185.95</v>
      </c>
      <c r="I177" s="61">
        <f t="shared" si="24"/>
        <v>2789.25</v>
      </c>
      <c r="J177" s="60">
        <f t="shared" si="18"/>
        <v>1.8605436285357424E-3</v>
      </c>
      <c r="M177" s="128"/>
    </row>
    <row r="178" spans="1:13" ht="24" customHeight="1" x14ac:dyDescent="0.2">
      <c r="A178" s="116" t="s">
        <v>380</v>
      </c>
      <c r="B178" s="1" t="s">
        <v>381</v>
      </c>
      <c r="C178" s="116" t="s">
        <v>20</v>
      </c>
      <c r="D178" s="116" t="s">
        <v>382</v>
      </c>
      <c r="E178" s="2" t="s">
        <v>37</v>
      </c>
      <c r="F178" s="1">
        <v>5</v>
      </c>
      <c r="G178" s="61">
        <v>184.37</v>
      </c>
      <c r="H178" s="61">
        <f t="shared" si="23"/>
        <v>233.32</v>
      </c>
      <c r="I178" s="61">
        <f t="shared" si="24"/>
        <v>1166.5999999999999</v>
      </c>
      <c r="J178" s="60">
        <f t="shared" si="18"/>
        <v>7.7816982954191877E-4</v>
      </c>
      <c r="M178" s="128"/>
    </row>
    <row r="179" spans="1:13" ht="24" customHeight="1" x14ac:dyDescent="0.2">
      <c r="A179" s="123" t="s">
        <v>383</v>
      </c>
      <c r="B179" s="123"/>
      <c r="C179" s="123"/>
      <c r="D179" s="123" t="s">
        <v>384</v>
      </c>
      <c r="E179" s="123"/>
      <c r="F179" s="3"/>
      <c r="G179" s="123"/>
      <c r="H179" s="123"/>
      <c r="I179" s="63">
        <f>SUM(I180:I189)</f>
        <v>60070.109999999993</v>
      </c>
      <c r="J179" s="62">
        <f t="shared" si="18"/>
        <v>4.0069215891706075E-2</v>
      </c>
      <c r="M179" s="128"/>
    </row>
    <row r="180" spans="1:13" ht="24" customHeight="1" x14ac:dyDescent="0.2">
      <c r="A180" s="116" t="s">
        <v>385</v>
      </c>
      <c r="B180" s="1" t="s">
        <v>1281</v>
      </c>
      <c r="C180" s="116" t="s">
        <v>411</v>
      </c>
      <c r="D180" s="116" t="s">
        <v>1280</v>
      </c>
      <c r="E180" s="2" t="s">
        <v>1279</v>
      </c>
      <c r="F180" s="1">
        <v>2</v>
      </c>
      <c r="G180" s="61">
        <v>9890.82</v>
      </c>
      <c r="H180" s="61">
        <f t="shared" ref="H180:H189" si="25">ROUND(G180 * (1 + 26.55 / 100), 2)</f>
        <v>12516.83</v>
      </c>
      <c r="I180" s="61">
        <f t="shared" ref="I180:I189" si="26">ROUND(F180 * H180, 2)</f>
        <v>25033.66</v>
      </c>
      <c r="J180" s="60">
        <f t="shared" si="18"/>
        <v>1.6698473285625192E-2</v>
      </c>
      <c r="M180" s="128"/>
    </row>
    <row r="181" spans="1:13" ht="24" customHeight="1" x14ac:dyDescent="0.2">
      <c r="A181" s="116" t="s">
        <v>388</v>
      </c>
      <c r="B181" s="1" t="s">
        <v>386</v>
      </c>
      <c r="C181" s="116" t="s">
        <v>20</v>
      </c>
      <c r="D181" s="116" t="s">
        <v>387</v>
      </c>
      <c r="E181" s="2" t="s">
        <v>213</v>
      </c>
      <c r="F181" s="1">
        <v>10.5</v>
      </c>
      <c r="G181" s="61">
        <v>25.62</v>
      </c>
      <c r="H181" s="61">
        <f t="shared" si="25"/>
        <v>32.42</v>
      </c>
      <c r="I181" s="61">
        <f t="shared" si="26"/>
        <v>340.41</v>
      </c>
      <c r="J181" s="60">
        <f t="shared" si="18"/>
        <v>2.2706736814192063E-4</v>
      </c>
      <c r="M181" s="128"/>
    </row>
    <row r="182" spans="1:13" ht="36" customHeight="1" x14ac:dyDescent="0.2">
      <c r="A182" s="116" t="s">
        <v>391</v>
      </c>
      <c r="B182" s="1" t="s">
        <v>389</v>
      </c>
      <c r="C182" s="116" t="s">
        <v>20</v>
      </c>
      <c r="D182" s="116" t="s">
        <v>390</v>
      </c>
      <c r="E182" s="2" t="s">
        <v>213</v>
      </c>
      <c r="F182" s="1">
        <v>34.5</v>
      </c>
      <c r="G182" s="61">
        <v>29.24</v>
      </c>
      <c r="H182" s="61">
        <f t="shared" si="25"/>
        <v>37</v>
      </c>
      <c r="I182" s="61">
        <f t="shared" si="26"/>
        <v>1276.5</v>
      </c>
      <c r="J182" s="60">
        <f t="shared" si="18"/>
        <v>8.5147761650116523E-4</v>
      </c>
      <c r="M182" s="128"/>
    </row>
    <row r="183" spans="1:13" ht="24" customHeight="1" x14ac:dyDescent="0.2">
      <c r="A183" s="116" t="s">
        <v>394</v>
      </c>
      <c r="B183" s="1" t="s">
        <v>392</v>
      </c>
      <c r="C183" s="116" t="s">
        <v>20</v>
      </c>
      <c r="D183" s="116" t="s">
        <v>393</v>
      </c>
      <c r="E183" s="2" t="s">
        <v>92</v>
      </c>
      <c r="F183" s="1">
        <v>100</v>
      </c>
      <c r="G183" s="61">
        <v>55.2</v>
      </c>
      <c r="H183" s="61">
        <f t="shared" si="25"/>
        <v>69.86</v>
      </c>
      <c r="I183" s="61">
        <f t="shared" si="26"/>
        <v>6986</v>
      </c>
      <c r="J183" s="60">
        <f t="shared" si="18"/>
        <v>4.6599472219954093E-3</v>
      </c>
      <c r="M183" s="128"/>
    </row>
    <row r="184" spans="1:13" ht="24" customHeight="1" x14ac:dyDescent="0.2">
      <c r="A184" s="116" t="s">
        <v>397</v>
      </c>
      <c r="B184" s="1" t="s">
        <v>1278</v>
      </c>
      <c r="C184" s="116" t="s">
        <v>244</v>
      </c>
      <c r="D184" s="116" t="s">
        <v>1277</v>
      </c>
      <c r="E184" s="2" t="s">
        <v>213</v>
      </c>
      <c r="F184" s="1">
        <v>147</v>
      </c>
      <c r="G184" s="61">
        <v>65.989999999999995</v>
      </c>
      <c r="H184" s="61">
        <f t="shared" si="25"/>
        <v>83.51</v>
      </c>
      <c r="I184" s="61">
        <f t="shared" si="26"/>
        <v>12275.97</v>
      </c>
      <c r="J184" s="60">
        <f t="shared" si="18"/>
        <v>8.1885731890636963E-3</v>
      </c>
      <c r="M184" s="128"/>
    </row>
    <row r="185" spans="1:13" ht="24" customHeight="1" x14ac:dyDescent="0.2">
      <c r="A185" s="116" t="s">
        <v>398</v>
      </c>
      <c r="B185" s="1" t="s">
        <v>399</v>
      </c>
      <c r="C185" s="116" t="s">
        <v>20</v>
      </c>
      <c r="D185" s="116" t="s">
        <v>400</v>
      </c>
      <c r="E185" s="2" t="s">
        <v>246</v>
      </c>
      <c r="F185" s="1">
        <v>7</v>
      </c>
      <c r="G185" s="61">
        <v>405.95</v>
      </c>
      <c r="H185" s="61">
        <f t="shared" si="25"/>
        <v>513.73</v>
      </c>
      <c r="I185" s="61">
        <f t="shared" si="26"/>
        <v>3596.11</v>
      </c>
      <c r="J185" s="60">
        <f t="shared" si="18"/>
        <v>2.3987521907371761E-3</v>
      </c>
      <c r="M185" s="128"/>
    </row>
    <row r="186" spans="1:13" ht="24" customHeight="1" x14ac:dyDescent="0.2">
      <c r="A186" s="116" t="s">
        <v>401</v>
      </c>
      <c r="B186" s="1" t="s">
        <v>402</v>
      </c>
      <c r="C186" s="116" t="s">
        <v>249</v>
      </c>
      <c r="D186" s="116" t="s">
        <v>403</v>
      </c>
      <c r="E186" s="2" t="s">
        <v>236</v>
      </c>
      <c r="F186" s="1">
        <v>7</v>
      </c>
      <c r="G186" s="61">
        <v>84.05</v>
      </c>
      <c r="H186" s="61">
        <f t="shared" si="25"/>
        <v>106.37</v>
      </c>
      <c r="I186" s="61">
        <f t="shared" si="26"/>
        <v>744.59</v>
      </c>
      <c r="J186" s="60">
        <f t="shared" si="18"/>
        <v>4.9667192986337853E-4</v>
      </c>
      <c r="M186" s="128"/>
    </row>
    <row r="187" spans="1:13" ht="24" customHeight="1" x14ac:dyDescent="0.2">
      <c r="A187" s="116" t="s">
        <v>404</v>
      </c>
      <c r="B187" s="1" t="s">
        <v>406</v>
      </c>
      <c r="C187" s="116" t="s">
        <v>20</v>
      </c>
      <c r="D187" s="116" t="s">
        <v>407</v>
      </c>
      <c r="E187" s="2" t="s">
        <v>37</v>
      </c>
      <c r="F187" s="1">
        <v>3</v>
      </c>
      <c r="G187" s="61">
        <v>15.56</v>
      </c>
      <c r="H187" s="61">
        <f t="shared" si="25"/>
        <v>19.690000000000001</v>
      </c>
      <c r="I187" s="61">
        <f t="shared" si="26"/>
        <v>59.07</v>
      </c>
      <c r="J187" s="60">
        <f t="shared" si="18"/>
        <v>3.9402101689560384E-5</v>
      </c>
      <c r="M187" s="128"/>
    </row>
    <row r="188" spans="1:13" ht="24" customHeight="1" x14ac:dyDescent="0.2">
      <c r="A188" s="116" t="s">
        <v>405</v>
      </c>
      <c r="B188" s="1" t="s">
        <v>1276</v>
      </c>
      <c r="C188" s="116" t="s">
        <v>1275</v>
      </c>
      <c r="D188" s="116" t="s">
        <v>1274</v>
      </c>
      <c r="E188" s="2" t="s">
        <v>213</v>
      </c>
      <c r="F188" s="1">
        <v>20</v>
      </c>
      <c r="G188" s="61">
        <v>45.76</v>
      </c>
      <c r="H188" s="61">
        <f t="shared" si="25"/>
        <v>57.91</v>
      </c>
      <c r="I188" s="61">
        <f t="shared" si="26"/>
        <v>1158.2</v>
      </c>
      <c r="J188" s="60">
        <f t="shared" si="18"/>
        <v>7.7256668658961971E-4</v>
      </c>
      <c r="M188" s="128"/>
    </row>
    <row r="189" spans="1:13" ht="24" customHeight="1" x14ac:dyDescent="0.2">
      <c r="A189" s="116" t="s">
        <v>408</v>
      </c>
      <c r="B189" s="1" t="s">
        <v>409</v>
      </c>
      <c r="C189" s="116" t="s">
        <v>25</v>
      </c>
      <c r="D189" s="116" t="s">
        <v>410</v>
      </c>
      <c r="E189" s="2" t="s">
        <v>92</v>
      </c>
      <c r="F189" s="1">
        <v>20</v>
      </c>
      <c r="G189" s="61">
        <v>339.77</v>
      </c>
      <c r="H189" s="61">
        <f t="shared" si="25"/>
        <v>429.98</v>
      </c>
      <c r="I189" s="61">
        <f t="shared" si="26"/>
        <v>8599.6</v>
      </c>
      <c r="J189" s="60">
        <f t="shared" si="18"/>
        <v>5.736284301498959E-3</v>
      </c>
      <c r="M189" s="128"/>
    </row>
    <row r="190" spans="1:13" ht="24" customHeight="1" x14ac:dyDescent="0.2">
      <c r="A190" s="123" t="s">
        <v>412</v>
      </c>
      <c r="B190" s="123"/>
      <c r="C190" s="123"/>
      <c r="D190" s="123" t="s">
        <v>413</v>
      </c>
      <c r="E190" s="123"/>
      <c r="F190" s="3"/>
      <c r="G190" s="123"/>
      <c r="H190" s="123"/>
      <c r="I190" s="63">
        <f>SUM(I191:I205)</f>
        <v>2269.85</v>
      </c>
      <c r="J190" s="62">
        <f t="shared" si="18"/>
        <v>1.5140826226519152E-3</v>
      </c>
      <c r="M190" s="128"/>
    </row>
    <row r="191" spans="1:13" ht="24" customHeight="1" x14ac:dyDescent="0.2">
      <c r="A191" s="116" t="s">
        <v>414</v>
      </c>
      <c r="B191" s="1" t="s">
        <v>415</v>
      </c>
      <c r="C191" s="116" t="s">
        <v>20</v>
      </c>
      <c r="D191" s="116" t="s">
        <v>416</v>
      </c>
      <c r="E191" s="2" t="s">
        <v>213</v>
      </c>
      <c r="F191" s="1">
        <v>1.85</v>
      </c>
      <c r="G191" s="61">
        <v>11.95</v>
      </c>
      <c r="H191" s="61">
        <f t="shared" ref="H191:H205" si="27">ROUND(G191 * (1 + 26.55 / 100), 2)</f>
        <v>15.12</v>
      </c>
      <c r="I191" s="61">
        <f t="shared" ref="I191:I205" si="28">ROUND(F191 * H191, 2)</f>
        <v>27.97</v>
      </c>
      <c r="J191" s="60">
        <f t="shared" si="18"/>
        <v>1.8657131949500657E-5</v>
      </c>
      <c r="M191" s="128"/>
    </row>
    <row r="192" spans="1:13" ht="24" customHeight="1" x14ac:dyDescent="0.2">
      <c r="A192" s="116" t="s">
        <v>417</v>
      </c>
      <c r="B192" s="1" t="s">
        <v>418</v>
      </c>
      <c r="C192" s="116" t="s">
        <v>20</v>
      </c>
      <c r="D192" s="116" t="s">
        <v>419</v>
      </c>
      <c r="E192" s="2" t="s">
        <v>37</v>
      </c>
      <c r="F192" s="1">
        <v>2</v>
      </c>
      <c r="G192" s="61">
        <v>9.67</v>
      </c>
      <c r="H192" s="61">
        <f t="shared" si="27"/>
        <v>12.24</v>
      </c>
      <c r="I192" s="61">
        <f t="shared" si="28"/>
        <v>24.48</v>
      </c>
      <c r="J192" s="60">
        <f t="shared" si="18"/>
        <v>1.6329159460985919E-5</v>
      </c>
      <c r="M192" s="128"/>
    </row>
    <row r="193" spans="1:13" ht="24" customHeight="1" x14ac:dyDescent="0.2">
      <c r="A193" s="116" t="s">
        <v>420</v>
      </c>
      <c r="B193" s="1" t="s">
        <v>421</v>
      </c>
      <c r="C193" s="116" t="s">
        <v>20</v>
      </c>
      <c r="D193" s="116" t="s">
        <v>422</v>
      </c>
      <c r="E193" s="2" t="s">
        <v>213</v>
      </c>
      <c r="F193" s="1">
        <v>16.329999999999998</v>
      </c>
      <c r="G193" s="61">
        <v>16.170000000000002</v>
      </c>
      <c r="H193" s="61">
        <f t="shared" si="27"/>
        <v>20.46</v>
      </c>
      <c r="I193" s="61">
        <f t="shared" si="28"/>
        <v>334.11</v>
      </c>
      <c r="J193" s="60">
        <f t="shared" si="18"/>
        <v>2.2286501092769629E-4</v>
      </c>
      <c r="M193" s="128"/>
    </row>
    <row r="194" spans="1:13" ht="24" customHeight="1" x14ac:dyDescent="0.2">
      <c r="A194" s="116" t="s">
        <v>423</v>
      </c>
      <c r="B194" s="1" t="s">
        <v>424</v>
      </c>
      <c r="C194" s="116" t="s">
        <v>20</v>
      </c>
      <c r="D194" s="116" t="s">
        <v>425</v>
      </c>
      <c r="E194" s="2" t="s">
        <v>37</v>
      </c>
      <c r="F194" s="1">
        <v>4</v>
      </c>
      <c r="G194" s="61">
        <v>6.75</v>
      </c>
      <c r="H194" s="61">
        <f t="shared" si="27"/>
        <v>8.5399999999999991</v>
      </c>
      <c r="I194" s="61">
        <f t="shared" si="28"/>
        <v>34.159999999999997</v>
      </c>
      <c r="J194" s="60">
        <f t="shared" si="18"/>
        <v>2.2786114672682962E-5</v>
      </c>
      <c r="M194" s="128"/>
    </row>
    <row r="195" spans="1:13" ht="24" customHeight="1" x14ac:dyDescent="0.2">
      <c r="A195" s="116" t="s">
        <v>426</v>
      </c>
      <c r="B195" s="1" t="s">
        <v>427</v>
      </c>
      <c r="C195" s="116" t="s">
        <v>20</v>
      </c>
      <c r="D195" s="116" t="s">
        <v>428</v>
      </c>
      <c r="E195" s="2" t="s">
        <v>37</v>
      </c>
      <c r="F195" s="1">
        <v>3</v>
      </c>
      <c r="G195" s="61">
        <v>10.71</v>
      </c>
      <c r="H195" s="61">
        <f t="shared" si="27"/>
        <v>13.55</v>
      </c>
      <c r="I195" s="61">
        <f t="shared" si="28"/>
        <v>40.65</v>
      </c>
      <c r="J195" s="60">
        <f t="shared" si="18"/>
        <v>2.7115209644161664E-5</v>
      </c>
      <c r="M195" s="128"/>
    </row>
    <row r="196" spans="1:13" ht="24" customHeight="1" x14ac:dyDescent="0.2">
      <c r="A196" s="116" t="s">
        <v>429</v>
      </c>
      <c r="B196" s="1" t="s">
        <v>430</v>
      </c>
      <c r="C196" s="116" t="s">
        <v>20</v>
      </c>
      <c r="D196" s="116" t="s">
        <v>431</v>
      </c>
      <c r="E196" s="2" t="s">
        <v>37</v>
      </c>
      <c r="F196" s="1">
        <v>3</v>
      </c>
      <c r="G196" s="61">
        <v>25.21</v>
      </c>
      <c r="H196" s="61">
        <f t="shared" si="27"/>
        <v>31.9</v>
      </c>
      <c r="I196" s="61">
        <f t="shared" si="28"/>
        <v>95.7</v>
      </c>
      <c r="J196" s="60">
        <f t="shared" si="18"/>
        <v>6.3835807206550342E-5</v>
      </c>
      <c r="M196" s="128"/>
    </row>
    <row r="197" spans="1:13" ht="24" customHeight="1" x14ac:dyDescent="0.2">
      <c r="A197" s="116" t="s">
        <v>432</v>
      </c>
      <c r="B197" s="1" t="s">
        <v>433</v>
      </c>
      <c r="C197" s="116" t="s">
        <v>20</v>
      </c>
      <c r="D197" s="116" t="s">
        <v>434</v>
      </c>
      <c r="E197" s="2" t="s">
        <v>37</v>
      </c>
      <c r="F197" s="1">
        <v>2</v>
      </c>
      <c r="G197" s="61">
        <v>18.39</v>
      </c>
      <c r="H197" s="61">
        <f t="shared" si="27"/>
        <v>23.27</v>
      </c>
      <c r="I197" s="61">
        <f t="shared" si="28"/>
        <v>46.54</v>
      </c>
      <c r="J197" s="60">
        <f t="shared" ref="J197:J260" si="29">I197 / 1499158.61</f>
        <v>3.1044080119047576E-5</v>
      </c>
      <c r="M197" s="128"/>
    </row>
    <row r="198" spans="1:13" ht="36" customHeight="1" x14ac:dyDescent="0.2">
      <c r="A198" s="116" t="s">
        <v>435</v>
      </c>
      <c r="B198" s="1" t="s">
        <v>436</v>
      </c>
      <c r="C198" s="116" t="s">
        <v>20</v>
      </c>
      <c r="D198" s="116" t="s">
        <v>437</v>
      </c>
      <c r="E198" s="2" t="s">
        <v>37</v>
      </c>
      <c r="F198" s="1">
        <v>10</v>
      </c>
      <c r="G198" s="61">
        <v>12.21</v>
      </c>
      <c r="H198" s="61">
        <f t="shared" si="27"/>
        <v>15.45</v>
      </c>
      <c r="I198" s="61">
        <f t="shared" si="28"/>
        <v>154.5</v>
      </c>
      <c r="J198" s="60">
        <f t="shared" si="29"/>
        <v>1.0305780787264397E-4</v>
      </c>
      <c r="M198" s="128"/>
    </row>
    <row r="199" spans="1:13" ht="24" customHeight="1" x14ac:dyDescent="0.2">
      <c r="A199" s="116" t="s">
        <v>438</v>
      </c>
      <c r="B199" s="1" t="s">
        <v>439</v>
      </c>
      <c r="C199" s="116" t="s">
        <v>20</v>
      </c>
      <c r="D199" s="116" t="s">
        <v>440</v>
      </c>
      <c r="E199" s="2" t="s">
        <v>37</v>
      </c>
      <c r="F199" s="1">
        <v>3</v>
      </c>
      <c r="G199" s="61">
        <v>20.65</v>
      </c>
      <c r="H199" s="61">
        <f t="shared" si="27"/>
        <v>26.13</v>
      </c>
      <c r="I199" s="61">
        <f t="shared" si="28"/>
        <v>78.39</v>
      </c>
      <c r="J199" s="60">
        <f t="shared" si="29"/>
        <v>5.2289330479848288E-5</v>
      </c>
      <c r="M199" s="128"/>
    </row>
    <row r="200" spans="1:13" ht="24" customHeight="1" x14ac:dyDescent="0.2">
      <c r="A200" s="116" t="s">
        <v>441</v>
      </c>
      <c r="B200" s="1" t="s">
        <v>442</v>
      </c>
      <c r="C200" s="116" t="s">
        <v>20</v>
      </c>
      <c r="D200" s="116" t="s">
        <v>443</v>
      </c>
      <c r="E200" s="2" t="s">
        <v>37</v>
      </c>
      <c r="F200" s="1">
        <v>6</v>
      </c>
      <c r="G200" s="61">
        <v>12.72</v>
      </c>
      <c r="H200" s="61">
        <f t="shared" si="27"/>
        <v>16.100000000000001</v>
      </c>
      <c r="I200" s="61">
        <f t="shared" si="28"/>
        <v>96.6</v>
      </c>
      <c r="J200" s="60">
        <f t="shared" si="29"/>
        <v>6.4436143951439532E-5</v>
      </c>
      <c r="M200" s="128"/>
    </row>
    <row r="201" spans="1:13" ht="24" customHeight="1" x14ac:dyDescent="0.2">
      <c r="A201" s="116" t="s">
        <v>444</v>
      </c>
      <c r="B201" s="1" t="s">
        <v>446</v>
      </c>
      <c r="C201" s="116" t="s">
        <v>20</v>
      </c>
      <c r="D201" s="116" t="s">
        <v>447</v>
      </c>
      <c r="E201" s="2" t="s">
        <v>37</v>
      </c>
      <c r="F201" s="1">
        <v>2</v>
      </c>
      <c r="G201" s="61">
        <v>16.12</v>
      </c>
      <c r="H201" s="61">
        <f t="shared" si="27"/>
        <v>20.399999999999999</v>
      </c>
      <c r="I201" s="61">
        <f t="shared" si="28"/>
        <v>40.799999999999997</v>
      </c>
      <c r="J201" s="60">
        <f t="shared" si="29"/>
        <v>2.7215265768309862E-5</v>
      </c>
      <c r="M201" s="128"/>
    </row>
    <row r="202" spans="1:13" ht="24" customHeight="1" x14ac:dyDescent="0.2">
      <c r="A202" s="116" t="s">
        <v>445</v>
      </c>
      <c r="B202" s="1" t="s">
        <v>449</v>
      </c>
      <c r="C202" s="116" t="s">
        <v>20</v>
      </c>
      <c r="D202" s="116" t="s">
        <v>450</v>
      </c>
      <c r="E202" s="2" t="s">
        <v>37</v>
      </c>
      <c r="F202" s="1">
        <v>3</v>
      </c>
      <c r="G202" s="61">
        <v>48.55</v>
      </c>
      <c r="H202" s="61">
        <f t="shared" si="27"/>
        <v>61.44</v>
      </c>
      <c r="I202" s="61">
        <f t="shared" si="28"/>
        <v>184.32</v>
      </c>
      <c r="J202" s="60">
        <f t="shared" si="29"/>
        <v>1.2294896535330573E-4</v>
      </c>
      <c r="M202" s="128"/>
    </row>
    <row r="203" spans="1:13" ht="24" customHeight="1" x14ac:dyDescent="0.2">
      <c r="A203" s="116" t="s">
        <v>448</v>
      </c>
      <c r="B203" s="1" t="s">
        <v>395</v>
      </c>
      <c r="C203" s="116" t="s">
        <v>20</v>
      </c>
      <c r="D203" s="116" t="s">
        <v>396</v>
      </c>
      <c r="E203" s="2" t="s">
        <v>37</v>
      </c>
      <c r="F203" s="1">
        <v>3</v>
      </c>
      <c r="G203" s="61">
        <v>20.6</v>
      </c>
      <c r="H203" s="61">
        <f t="shared" si="27"/>
        <v>26.07</v>
      </c>
      <c r="I203" s="61">
        <f t="shared" si="28"/>
        <v>78.209999999999994</v>
      </c>
      <c r="J203" s="60">
        <f t="shared" si="29"/>
        <v>5.2169263130870447E-5</v>
      </c>
      <c r="M203" s="128"/>
    </row>
    <row r="204" spans="1:13" ht="24" customHeight="1" x14ac:dyDescent="0.2">
      <c r="A204" s="116" t="s">
        <v>451</v>
      </c>
      <c r="B204" s="1" t="s">
        <v>453</v>
      </c>
      <c r="C204" s="116" t="s">
        <v>20</v>
      </c>
      <c r="D204" s="116" t="s">
        <v>454</v>
      </c>
      <c r="E204" s="2" t="s">
        <v>246</v>
      </c>
      <c r="F204" s="1">
        <v>2</v>
      </c>
      <c r="G204" s="61">
        <v>329.31</v>
      </c>
      <c r="H204" s="61">
        <f t="shared" si="27"/>
        <v>416.74</v>
      </c>
      <c r="I204" s="61">
        <f t="shared" si="28"/>
        <v>833.48</v>
      </c>
      <c r="J204" s="60">
        <f t="shared" si="29"/>
        <v>5.5596518903360057E-4</v>
      </c>
      <c r="M204" s="128"/>
    </row>
    <row r="205" spans="1:13" ht="24" customHeight="1" x14ac:dyDescent="0.2">
      <c r="A205" s="116" t="s">
        <v>452</v>
      </c>
      <c r="B205" s="1" t="s">
        <v>455</v>
      </c>
      <c r="C205" s="116" t="s">
        <v>20</v>
      </c>
      <c r="D205" s="116" t="s">
        <v>456</v>
      </c>
      <c r="E205" s="2" t="s">
        <v>37</v>
      </c>
      <c r="F205" s="1">
        <v>13</v>
      </c>
      <c r="G205" s="61">
        <v>12.15</v>
      </c>
      <c r="H205" s="61">
        <f t="shared" si="27"/>
        <v>15.38</v>
      </c>
      <c r="I205" s="61">
        <f t="shared" si="28"/>
        <v>199.94</v>
      </c>
      <c r="J205" s="60">
        <f t="shared" si="29"/>
        <v>1.3336814308127141E-4</v>
      </c>
      <c r="M205" s="128"/>
    </row>
    <row r="206" spans="1:13" ht="24" customHeight="1" x14ac:dyDescent="0.2">
      <c r="A206" s="123" t="s">
        <v>457</v>
      </c>
      <c r="B206" s="123"/>
      <c r="C206" s="123"/>
      <c r="D206" s="123" t="s">
        <v>458</v>
      </c>
      <c r="E206" s="123"/>
      <c r="F206" s="3"/>
      <c r="G206" s="123"/>
      <c r="H206" s="123"/>
      <c r="I206" s="63">
        <f>SUM(I207:I208)</f>
        <v>2772.69</v>
      </c>
      <c r="J206" s="62">
        <f t="shared" si="29"/>
        <v>1.8494974324297813E-3</v>
      </c>
      <c r="M206" s="128"/>
    </row>
    <row r="207" spans="1:13" ht="24" customHeight="1" x14ac:dyDescent="0.2">
      <c r="A207" s="116" t="s">
        <v>459</v>
      </c>
      <c r="B207" s="1" t="s">
        <v>460</v>
      </c>
      <c r="C207" s="116" t="s">
        <v>20</v>
      </c>
      <c r="D207" s="116" t="s">
        <v>461</v>
      </c>
      <c r="E207" s="2" t="s">
        <v>246</v>
      </c>
      <c r="F207" s="1">
        <v>25</v>
      </c>
      <c r="G207" s="61">
        <v>30.35</v>
      </c>
      <c r="H207" s="61">
        <f>ROUND(G207 * (1 + 26.55 / 100), 2)</f>
        <v>38.409999999999997</v>
      </c>
      <c r="I207" s="61">
        <f>ROUND(F207 * H207, 2)</f>
        <v>960.25</v>
      </c>
      <c r="J207" s="60">
        <f t="shared" si="29"/>
        <v>6.4052595475538106E-4</v>
      </c>
      <c r="M207" s="128"/>
    </row>
    <row r="208" spans="1:13" ht="24" customHeight="1" x14ac:dyDescent="0.2">
      <c r="A208" s="116" t="s">
        <v>462</v>
      </c>
      <c r="B208" s="1" t="s">
        <v>463</v>
      </c>
      <c r="C208" s="116" t="s">
        <v>20</v>
      </c>
      <c r="D208" s="116" t="s">
        <v>464</v>
      </c>
      <c r="E208" s="2" t="s">
        <v>246</v>
      </c>
      <c r="F208" s="1">
        <v>7</v>
      </c>
      <c r="G208" s="61">
        <v>204.6</v>
      </c>
      <c r="H208" s="61">
        <f>ROUND(G208 * (1 + 26.55 / 100), 2)</f>
        <v>258.92</v>
      </c>
      <c r="I208" s="61">
        <f>ROUND(F208 * H208, 2)</f>
        <v>1812.44</v>
      </c>
      <c r="J208" s="60">
        <f t="shared" si="29"/>
        <v>1.2089714776744003E-3</v>
      </c>
      <c r="M208" s="128"/>
    </row>
    <row r="209" spans="1:13" ht="24" customHeight="1" x14ac:dyDescent="0.2">
      <c r="A209" s="123" t="s">
        <v>465</v>
      </c>
      <c r="B209" s="123"/>
      <c r="C209" s="123"/>
      <c r="D209" s="123" t="s">
        <v>466</v>
      </c>
      <c r="E209" s="123"/>
      <c r="F209" s="3"/>
      <c r="G209" s="123"/>
      <c r="H209" s="123"/>
      <c r="I209" s="63">
        <f>SUM(I210:I225)</f>
        <v>2739.7499999999995</v>
      </c>
      <c r="J209" s="62">
        <f t="shared" si="29"/>
        <v>1.8275251075668367E-3</v>
      </c>
      <c r="M209" s="128"/>
    </row>
    <row r="210" spans="1:13" ht="24" customHeight="1" x14ac:dyDescent="0.2">
      <c r="A210" s="116" t="s">
        <v>467</v>
      </c>
      <c r="B210" s="1" t="s">
        <v>468</v>
      </c>
      <c r="C210" s="116" t="s">
        <v>20</v>
      </c>
      <c r="D210" s="116" t="s">
        <v>469</v>
      </c>
      <c r="E210" s="2" t="s">
        <v>213</v>
      </c>
      <c r="F210" s="1">
        <v>8.2200000000000006</v>
      </c>
      <c r="G210" s="61">
        <v>23.97</v>
      </c>
      <c r="H210" s="61">
        <f t="shared" ref="H210:H225" si="30">ROUND(G210 * (1 + 26.55 / 100), 2)</f>
        <v>30.33</v>
      </c>
      <c r="I210" s="61">
        <f t="shared" ref="I210:I225" si="31">ROUND(F210 * H210, 2)</f>
        <v>249.31</v>
      </c>
      <c r="J210" s="60">
        <f t="shared" si="29"/>
        <v>1.6629994874258166E-4</v>
      </c>
      <c r="M210" s="128"/>
    </row>
    <row r="211" spans="1:13" ht="24" customHeight="1" x14ac:dyDescent="0.2">
      <c r="A211" s="116" t="s">
        <v>470</v>
      </c>
      <c r="B211" s="1" t="s">
        <v>472</v>
      </c>
      <c r="C211" s="116" t="s">
        <v>20</v>
      </c>
      <c r="D211" s="116" t="s">
        <v>473</v>
      </c>
      <c r="E211" s="2" t="s">
        <v>37</v>
      </c>
      <c r="F211" s="1">
        <v>5</v>
      </c>
      <c r="G211" s="61">
        <v>20.96</v>
      </c>
      <c r="H211" s="61">
        <f t="shared" si="30"/>
        <v>26.52</v>
      </c>
      <c r="I211" s="61">
        <f t="shared" si="31"/>
        <v>132.6</v>
      </c>
      <c r="J211" s="60">
        <f t="shared" si="29"/>
        <v>8.8449613747007053E-5</v>
      </c>
      <c r="M211" s="128"/>
    </row>
    <row r="212" spans="1:13" ht="24" customHeight="1" x14ac:dyDescent="0.2">
      <c r="A212" s="116" t="s">
        <v>471</v>
      </c>
      <c r="B212" s="1" t="s">
        <v>475</v>
      </c>
      <c r="C212" s="116" t="s">
        <v>20</v>
      </c>
      <c r="D212" s="116" t="s">
        <v>476</v>
      </c>
      <c r="E212" s="2" t="s">
        <v>37</v>
      </c>
      <c r="F212" s="1">
        <v>4</v>
      </c>
      <c r="G212" s="61">
        <v>19.440000000000001</v>
      </c>
      <c r="H212" s="61">
        <f t="shared" si="30"/>
        <v>24.6</v>
      </c>
      <c r="I212" s="61">
        <f t="shared" si="31"/>
        <v>98.4</v>
      </c>
      <c r="J212" s="60">
        <f t="shared" si="29"/>
        <v>6.5636817441217912E-5</v>
      </c>
      <c r="M212" s="128"/>
    </row>
    <row r="213" spans="1:13" ht="24" customHeight="1" x14ac:dyDescent="0.2">
      <c r="A213" s="116" t="s">
        <v>474</v>
      </c>
      <c r="B213" s="1" t="s">
        <v>478</v>
      </c>
      <c r="C213" s="116" t="s">
        <v>20</v>
      </c>
      <c r="D213" s="116" t="s">
        <v>479</v>
      </c>
      <c r="E213" s="2" t="s">
        <v>37</v>
      </c>
      <c r="F213" s="1">
        <v>10</v>
      </c>
      <c r="G213" s="61">
        <v>5.71</v>
      </c>
      <c r="H213" s="61">
        <f t="shared" si="30"/>
        <v>7.23</v>
      </c>
      <c r="I213" s="61">
        <f t="shared" si="31"/>
        <v>72.3</v>
      </c>
      <c r="J213" s="60">
        <f t="shared" si="29"/>
        <v>4.8227051839431447E-5</v>
      </c>
      <c r="M213" s="128"/>
    </row>
    <row r="214" spans="1:13" ht="24" customHeight="1" x14ac:dyDescent="0.2">
      <c r="A214" s="116" t="s">
        <v>477</v>
      </c>
      <c r="B214" s="1" t="s">
        <v>481</v>
      </c>
      <c r="C214" s="116" t="s">
        <v>20</v>
      </c>
      <c r="D214" s="116" t="s">
        <v>482</v>
      </c>
      <c r="E214" s="2" t="s">
        <v>37</v>
      </c>
      <c r="F214" s="1">
        <v>1</v>
      </c>
      <c r="G214" s="61">
        <v>9.6300000000000008</v>
      </c>
      <c r="H214" s="61">
        <f t="shared" si="30"/>
        <v>12.19</v>
      </c>
      <c r="I214" s="61">
        <f t="shared" si="31"/>
        <v>12.19</v>
      </c>
      <c r="J214" s="60">
        <f t="shared" si="29"/>
        <v>8.1312276891102254E-6</v>
      </c>
      <c r="M214" s="128"/>
    </row>
    <row r="215" spans="1:13" ht="24" customHeight="1" x14ac:dyDescent="0.2">
      <c r="A215" s="116" t="s">
        <v>480</v>
      </c>
      <c r="B215" s="1" t="s">
        <v>484</v>
      </c>
      <c r="C215" s="116" t="s">
        <v>20</v>
      </c>
      <c r="D215" s="116" t="s">
        <v>485</v>
      </c>
      <c r="E215" s="2" t="s">
        <v>37</v>
      </c>
      <c r="F215" s="1">
        <v>1</v>
      </c>
      <c r="G215" s="61">
        <v>34.619999999999997</v>
      </c>
      <c r="H215" s="61">
        <f t="shared" si="30"/>
        <v>43.81</v>
      </c>
      <c r="I215" s="61">
        <f t="shared" si="31"/>
        <v>43.81</v>
      </c>
      <c r="J215" s="60">
        <f t="shared" si="29"/>
        <v>2.9223058659550373E-5</v>
      </c>
      <c r="M215" s="128"/>
    </row>
    <row r="216" spans="1:13" ht="24" customHeight="1" x14ac:dyDescent="0.2">
      <c r="A216" s="116" t="s">
        <v>483</v>
      </c>
      <c r="B216" s="1" t="s">
        <v>487</v>
      </c>
      <c r="C216" s="116" t="s">
        <v>20</v>
      </c>
      <c r="D216" s="116" t="s">
        <v>488</v>
      </c>
      <c r="E216" s="2" t="s">
        <v>213</v>
      </c>
      <c r="F216" s="1">
        <v>5.44</v>
      </c>
      <c r="G216" s="61">
        <v>14.26</v>
      </c>
      <c r="H216" s="61">
        <f t="shared" si="30"/>
        <v>18.05</v>
      </c>
      <c r="I216" s="61">
        <f t="shared" si="31"/>
        <v>98.19</v>
      </c>
      <c r="J216" s="60">
        <f t="shared" si="29"/>
        <v>6.5496738867410422E-5</v>
      </c>
      <c r="M216" s="128"/>
    </row>
    <row r="217" spans="1:13" ht="24" customHeight="1" x14ac:dyDescent="0.2">
      <c r="A217" s="116" t="s">
        <v>486</v>
      </c>
      <c r="B217" s="1" t="s">
        <v>490</v>
      </c>
      <c r="C217" s="116" t="s">
        <v>20</v>
      </c>
      <c r="D217" s="116" t="s">
        <v>491</v>
      </c>
      <c r="E217" s="2" t="s">
        <v>37</v>
      </c>
      <c r="F217" s="1">
        <v>3</v>
      </c>
      <c r="G217" s="61">
        <v>7.58</v>
      </c>
      <c r="H217" s="61">
        <f t="shared" si="30"/>
        <v>9.59</v>
      </c>
      <c r="I217" s="61">
        <f t="shared" si="31"/>
        <v>28.77</v>
      </c>
      <c r="J217" s="60">
        <f t="shared" si="29"/>
        <v>1.9190764611624382E-5</v>
      </c>
      <c r="M217" s="128"/>
    </row>
    <row r="218" spans="1:13" ht="24" customHeight="1" x14ac:dyDescent="0.2">
      <c r="A218" s="116" t="s">
        <v>489</v>
      </c>
      <c r="B218" s="1" t="s">
        <v>493</v>
      </c>
      <c r="C218" s="116" t="s">
        <v>20</v>
      </c>
      <c r="D218" s="116" t="s">
        <v>494</v>
      </c>
      <c r="E218" s="2" t="s">
        <v>37</v>
      </c>
      <c r="F218" s="1">
        <v>1</v>
      </c>
      <c r="G218" s="61">
        <v>12.92</v>
      </c>
      <c r="H218" s="61">
        <f t="shared" si="30"/>
        <v>16.350000000000001</v>
      </c>
      <c r="I218" s="61">
        <f t="shared" si="31"/>
        <v>16.350000000000001</v>
      </c>
      <c r="J218" s="60">
        <f t="shared" si="29"/>
        <v>1.0906117532153586E-5</v>
      </c>
      <c r="M218" s="128"/>
    </row>
    <row r="219" spans="1:13" ht="24" customHeight="1" x14ac:dyDescent="0.2">
      <c r="A219" s="116" t="s">
        <v>492</v>
      </c>
      <c r="B219" s="1" t="s">
        <v>496</v>
      </c>
      <c r="C219" s="116" t="s">
        <v>20</v>
      </c>
      <c r="D219" s="116" t="s">
        <v>497</v>
      </c>
      <c r="E219" s="2" t="s">
        <v>37</v>
      </c>
      <c r="F219" s="1">
        <v>1</v>
      </c>
      <c r="G219" s="61">
        <v>241.4</v>
      </c>
      <c r="H219" s="61">
        <f t="shared" si="30"/>
        <v>305.49</v>
      </c>
      <c r="I219" s="61">
        <f t="shared" si="31"/>
        <v>305.49</v>
      </c>
      <c r="J219" s="60">
        <f t="shared" si="29"/>
        <v>2.037743024402201E-4</v>
      </c>
      <c r="M219" s="128"/>
    </row>
    <row r="220" spans="1:13" ht="24" customHeight="1" x14ac:dyDescent="0.2">
      <c r="A220" s="116" t="s">
        <v>495</v>
      </c>
      <c r="B220" s="1" t="s">
        <v>499</v>
      </c>
      <c r="C220" s="116" t="s">
        <v>20</v>
      </c>
      <c r="D220" s="116" t="s">
        <v>500</v>
      </c>
      <c r="E220" s="2" t="s">
        <v>37</v>
      </c>
      <c r="F220" s="1">
        <v>1</v>
      </c>
      <c r="G220" s="61">
        <v>27.99</v>
      </c>
      <c r="H220" s="61">
        <f t="shared" si="30"/>
        <v>35.42</v>
      </c>
      <c r="I220" s="61">
        <f t="shared" si="31"/>
        <v>35.42</v>
      </c>
      <c r="J220" s="60">
        <f t="shared" si="29"/>
        <v>2.362658611552783E-5</v>
      </c>
      <c r="M220" s="128"/>
    </row>
    <row r="221" spans="1:13" ht="24" customHeight="1" x14ac:dyDescent="0.2">
      <c r="A221" s="116" t="s">
        <v>498</v>
      </c>
      <c r="B221" s="1" t="s">
        <v>502</v>
      </c>
      <c r="C221" s="116" t="s">
        <v>20</v>
      </c>
      <c r="D221" s="116" t="s">
        <v>503</v>
      </c>
      <c r="E221" s="2" t="s">
        <v>37</v>
      </c>
      <c r="F221" s="1">
        <v>3</v>
      </c>
      <c r="G221" s="61">
        <v>182.89</v>
      </c>
      <c r="H221" s="61">
        <f t="shared" si="30"/>
        <v>231.45</v>
      </c>
      <c r="I221" s="61">
        <f t="shared" si="31"/>
        <v>694.35</v>
      </c>
      <c r="J221" s="60">
        <f t="shared" si="29"/>
        <v>4.631597986820087E-4</v>
      </c>
      <c r="M221" s="128"/>
    </row>
    <row r="222" spans="1:13" ht="24" customHeight="1" x14ac:dyDescent="0.2">
      <c r="A222" s="116" t="s">
        <v>501</v>
      </c>
      <c r="B222" s="1" t="s">
        <v>505</v>
      </c>
      <c r="C222" s="116" t="s">
        <v>20</v>
      </c>
      <c r="D222" s="116" t="s">
        <v>506</v>
      </c>
      <c r="E222" s="2" t="s">
        <v>37</v>
      </c>
      <c r="F222" s="1">
        <v>1</v>
      </c>
      <c r="G222" s="61">
        <v>50.01</v>
      </c>
      <c r="H222" s="61">
        <f t="shared" si="30"/>
        <v>63.29</v>
      </c>
      <c r="I222" s="61">
        <f t="shared" si="31"/>
        <v>63.29</v>
      </c>
      <c r="J222" s="60">
        <f t="shared" si="29"/>
        <v>4.2217013982263019E-5</v>
      </c>
      <c r="M222" s="128"/>
    </row>
    <row r="223" spans="1:13" ht="24" customHeight="1" x14ac:dyDescent="0.2">
      <c r="A223" s="116" t="s">
        <v>504</v>
      </c>
      <c r="B223" s="1" t="s">
        <v>508</v>
      </c>
      <c r="C223" s="116" t="s">
        <v>20</v>
      </c>
      <c r="D223" s="116" t="s">
        <v>509</v>
      </c>
      <c r="E223" s="2" t="s">
        <v>37</v>
      </c>
      <c r="F223" s="1">
        <v>1</v>
      </c>
      <c r="G223" s="61">
        <v>275.83999999999997</v>
      </c>
      <c r="H223" s="61">
        <f t="shared" si="30"/>
        <v>349.08</v>
      </c>
      <c r="I223" s="61">
        <f t="shared" si="31"/>
        <v>349.08</v>
      </c>
      <c r="J223" s="60">
        <f t="shared" si="29"/>
        <v>2.3285061211768645E-4</v>
      </c>
      <c r="M223" s="128"/>
    </row>
    <row r="224" spans="1:13" ht="24" customHeight="1" x14ac:dyDescent="0.2">
      <c r="A224" s="116" t="s">
        <v>507</v>
      </c>
      <c r="B224" s="1" t="s">
        <v>511</v>
      </c>
      <c r="C224" s="116" t="s">
        <v>20</v>
      </c>
      <c r="D224" s="116" t="s">
        <v>512</v>
      </c>
      <c r="E224" s="2" t="s">
        <v>37</v>
      </c>
      <c r="F224" s="1">
        <v>1</v>
      </c>
      <c r="G224" s="61">
        <v>108.11</v>
      </c>
      <c r="H224" s="61">
        <f t="shared" si="30"/>
        <v>136.81</v>
      </c>
      <c r="I224" s="61">
        <f t="shared" si="31"/>
        <v>136.81</v>
      </c>
      <c r="J224" s="60">
        <f t="shared" si="29"/>
        <v>9.1257855631433148E-5</v>
      </c>
      <c r="M224" s="128"/>
    </row>
    <row r="225" spans="1:13" ht="24" customHeight="1" x14ac:dyDescent="0.2">
      <c r="A225" s="116" t="s">
        <v>510</v>
      </c>
      <c r="B225" s="1" t="s">
        <v>513</v>
      </c>
      <c r="C225" s="116" t="s">
        <v>20</v>
      </c>
      <c r="D225" s="116" t="s">
        <v>514</v>
      </c>
      <c r="E225" s="2" t="s">
        <v>37</v>
      </c>
      <c r="F225" s="1">
        <v>29</v>
      </c>
      <c r="G225" s="61">
        <v>10.99</v>
      </c>
      <c r="H225" s="61">
        <f t="shared" si="30"/>
        <v>13.91</v>
      </c>
      <c r="I225" s="61">
        <f t="shared" si="31"/>
        <v>403.39</v>
      </c>
      <c r="J225" s="60">
        <f t="shared" si="29"/>
        <v>2.690775994676107E-4</v>
      </c>
      <c r="M225" s="128"/>
    </row>
    <row r="226" spans="1:13" ht="24" customHeight="1" x14ac:dyDescent="0.2">
      <c r="A226" s="123" t="s">
        <v>1273</v>
      </c>
      <c r="B226" s="123"/>
      <c r="C226" s="123"/>
      <c r="D226" s="123" t="s">
        <v>1272</v>
      </c>
      <c r="E226" s="123"/>
      <c r="F226" s="3"/>
      <c r="G226" s="123"/>
      <c r="H226" s="123"/>
      <c r="I226" s="63">
        <f>SUM(I227:I230)</f>
        <v>3082.2200000000003</v>
      </c>
      <c r="J226" s="62">
        <f t="shared" si="29"/>
        <v>2.0559665798137263E-3</v>
      </c>
      <c r="M226" s="128"/>
    </row>
    <row r="227" spans="1:13" ht="24" customHeight="1" x14ac:dyDescent="0.2">
      <c r="A227" s="116" t="s">
        <v>1271</v>
      </c>
      <c r="B227" s="1" t="s">
        <v>1270</v>
      </c>
      <c r="C227" s="116" t="s">
        <v>20</v>
      </c>
      <c r="D227" s="116" t="s">
        <v>1269</v>
      </c>
      <c r="E227" s="2" t="s">
        <v>213</v>
      </c>
      <c r="F227" s="1">
        <v>170</v>
      </c>
      <c r="G227" s="61">
        <v>6.14</v>
      </c>
      <c r="H227" s="61">
        <f>ROUND(G227 * (1 + 26.55 / 100), 2)</f>
        <v>7.77</v>
      </c>
      <c r="I227" s="61">
        <f>ROUND(F227 * H227, 2)</f>
        <v>1320.9</v>
      </c>
      <c r="J227" s="60">
        <f t="shared" si="29"/>
        <v>8.8109422924903189E-4</v>
      </c>
      <c r="M227" s="128"/>
    </row>
    <row r="228" spans="1:13" ht="48" customHeight="1" x14ac:dyDescent="0.2">
      <c r="A228" s="116" t="s">
        <v>1268</v>
      </c>
      <c r="B228" s="1" t="s">
        <v>1267</v>
      </c>
      <c r="C228" s="116" t="s">
        <v>20</v>
      </c>
      <c r="D228" s="116" t="s">
        <v>1266</v>
      </c>
      <c r="E228" s="2" t="s">
        <v>92</v>
      </c>
      <c r="F228" s="1">
        <v>40</v>
      </c>
      <c r="G228" s="61">
        <v>11.6</v>
      </c>
      <c r="H228" s="61">
        <f>ROUND(G228 * (1 + 26.55 / 100), 2)</f>
        <v>14.68</v>
      </c>
      <c r="I228" s="61">
        <f>ROUND(F228 * H228, 2)</f>
        <v>587.20000000000005</v>
      </c>
      <c r="J228" s="60">
        <f t="shared" si="29"/>
        <v>3.9168637399881258E-4</v>
      </c>
      <c r="M228" s="128"/>
    </row>
    <row r="229" spans="1:13" ht="36" customHeight="1" x14ac:dyDescent="0.2">
      <c r="A229" s="116" t="s">
        <v>1265</v>
      </c>
      <c r="B229" s="1" t="s">
        <v>1264</v>
      </c>
      <c r="C229" s="116" t="s">
        <v>249</v>
      </c>
      <c r="D229" s="116" t="s">
        <v>1263</v>
      </c>
      <c r="E229" s="2" t="s">
        <v>92</v>
      </c>
      <c r="F229" s="1">
        <v>30</v>
      </c>
      <c r="G229" s="61">
        <v>27.29</v>
      </c>
      <c r="H229" s="61">
        <f>ROUND(G229 * (1 + 26.55 / 100), 2)</f>
        <v>34.54</v>
      </c>
      <c r="I229" s="61">
        <f>ROUND(F229 * H229, 2)</f>
        <v>1036.2</v>
      </c>
      <c r="J229" s="60">
        <f t="shared" si="29"/>
        <v>6.9118770561575203E-4</v>
      </c>
      <c r="M229" s="128"/>
    </row>
    <row r="230" spans="1:13" ht="24" customHeight="1" x14ac:dyDescent="0.2">
      <c r="A230" s="116" t="s">
        <v>1262</v>
      </c>
      <c r="B230" s="1" t="s">
        <v>1261</v>
      </c>
      <c r="C230" s="116" t="s">
        <v>20</v>
      </c>
      <c r="D230" s="116" t="s">
        <v>1260</v>
      </c>
      <c r="E230" s="2" t="s">
        <v>49</v>
      </c>
      <c r="F230" s="1">
        <v>0.72</v>
      </c>
      <c r="G230" s="61">
        <v>151.37</v>
      </c>
      <c r="H230" s="61">
        <f>ROUND(G230 * (1 + 26.55 / 100), 2)</f>
        <v>191.56</v>
      </c>
      <c r="I230" s="61">
        <f>ROUND(F230 * H230, 2)</f>
        <v>137.91999999999999</v>
      </c>
      <c r="J230" s="60">
        <f t="shared" si="29"/>
        <v>9.1998270950129801E-5</v>
      </c>
      <c r="M230" s="128"/>
    </row>
    <row r="231" spans="1:13" ht="24" customHeight="1" x14ac:dyDescent="0.2">
      <c r="A231" s="123" t="s">
        <v>515</v>
      </c>
      <c r="B231" s="123"/>
      <c r="C231" s="123"/>
      <c r="D231" s="123" t="s">
        <v>516</v>
      </c>
      <c r="E231" s="123"/>
      <c r="F231" s="3"/>
      <c r="G231" s="123"/>
      <c r="H231" s="123"/>
      <c r="I231" s="63">
        <f>SUM(I232:I239)</f>
        <v>54755.26</v>
      </c>
      <c r="J231" s="62">
        <f t="shared" si="29"/>
        <v>3.6523993948845743E-2</v>
      </c>
      <c r="M231" s="128"/>
    </row>
    <row r="232" spans="1:13" ht="24" customHeight="1" x14ac:dyDescent="0.2">
      <c r="A232" s="116" t="s">
        <v>517</v>
      </c>
      <c r="B232" s="1" t="s">
        <v>518</v>
      </c>
      <c r="C232" s="116" t="s">
        <v>20</v>
      </c>
      <c r="D232" s="116" t="s">
        <v>519</v>
      </c>
      <c r="E232" s="2" t="s">
        <v>22</v>
      </c>
      <c r="F232" s="1">
        <v>231.93</v>
      </c>
      <c r="G232" s="61">
        <v>44.18</v>
      </c>
      <c r="H232" s="61">
        <f t="shared" ref="H232:H239" si="32">ROUND(G232 * (1 + 26.55 / 100), 2)</f>
        <v>55.91</v>
      </c>
      <c r="I232" s="61">
        <f t="shared" ref="I232:I239" si="33">ROUND(F232 * H232, 2)</f>
        <v>12967.21</v>
      </c>
      <c r="J232" s="60">
        <f t="shared" si="29"/>
        <v>8.6496584907716986E-3</v>
      </c>
      <c r="M232" s="128"/>
    </row>
    <row r="233" spans="1:13" ht="24" customHeight="1" x14ac:dyDescent="0.2">
      <c r="A233" s="116" t="s">
        <v>520</v>
      </c>
      <c r="B233" s="1" t="s">
        <v>521</v>
      </c>
      <c r="C233" s="116" t="s">
        <v>20</v>
      </c>
      <c r="D233" s="116" t="s">
        <v>522</v>
      </c>
      <c r="E233" s="2" t="s">
        <v>22</v>
      </c>
      <c r="F233" s="1">
        <v>9.24</v>
      </c>
      <c r="G233" s="61">
        <v>144.12</v>
      </c>
      <c r="H233" s="61">
        <f t="shared" si="32"/>
        <v>182.38</v>
      </c>
      <c r="I233" s="61">
        <f t="shared" si="33"/>
        <v>1685.19</v>
      </c>
      <c r="J233" s="60">
        <f t="shared" si="29"/>
        <v>1.1240905323553457E-3</v>
      </c>
      <c r="M233" s="128"/>
    </row>
    <row r="234" spans="1:13" ht="24" customHeight="1" x14ac:dyDescent="0.2">
      <c r="A234" s="116" t="s">
        <v>523</v>
      </c>
      <c r="B234" s="1" t="s">
        <v>524</v>
      </c>
      <c r="C234" s="116" t="s">
        <v>25</v>
      </c>
      <c r="D234" s="116" t="s">
        <v>525</v>
      </c>
      <c r="E234" s="2" t="s">
        <v>22</v>
      </c>
      <c r="F234" s="1">
        <v>75.08</v>
      </c>
      <c r="G234" s="61">
        <v>111.68</v>
      </c>
      <c r="H234" s="61">
        <f t="shared" si="32"/>
        <v>141.33000000000001</v>
      </c>
      <c r="I234" s="61">
        <f t="shared" si="33"/>
        <v>10611.06</v>
      </c>
      <c r="J234" s="60">
        <f t="shared" si="29"/>
        <v>7.0780102446931876E-3</v>
      </c>
      <c r="M234" s="128"/>
    </row>
    <row r="235" spans="1:13" ht="24" customHeight="1" x14ac:dyDescent="0.2">
      <c r="A235" s="116" t="s">
        <v>526</v>
      </c>
      <c r="B235" s="1" t="s">
        <v>1259</v>
      </c>
      <c r="C235" s="116" t="s">
        <v>20</v>
      </c>
      <c r="D235" s="116" t="s">
        <v>1258</v>
      </c>
      <c r="E235" s="2" t="s">
        <v>22</v>
      </c>
      <c r="F235" s="1">
        <v>10.25</v>
      </c>
      <c r="G235" s="61">
        <v>124.6</v>
      </c>
      <c r="H235" s="61">
        <f t="shared" si="32"/>
        <v>157.68</v>
      </c>
      <c r="I235" s="61">
        <f t="shared" si="33"/>
        <v>1616.22</v>
      </c>
      <c r="J235" s="60">
        <f t="shared" si="29"/>
        <v>1.0780847264720041E-3</v>
      </c>
      <c r="M235" s="128"/>
    </row>
    <row r="236" spans="1:13" ht="24" customHeight="1" x14ac:dyDescent="0.2">
      <c r="A236" s="116" t="s">
        <v>527</v>
      </c>
      <c r="B236" s="1" t="s">
        <v>528</v>
      </c>
      <c r="C236" s="116" t="s">
        <v>20</v>
      </c>
      <c r="D236" s="116" t="s">
        <v>529</v>
      </c>
      <c r="E236" s="2" t="s">
        <v>22</v>
      </c>
      <c r="F236" s="1">
        <v>40.1</v>
      </c>
      <c r="G236" s="61">
        <v>105.38</v>
      </c>
      <c r="H236" s="61">
        <f t="shared" si="32"/>
        <v>133.36000000000001</v>
      </c>
      <c r="I236" s="61">
        <f t="shared" si="33"/>
        <v>5347.74</v>
      </c>
      <c r="J236" s="60">
        <f t="shared" si="29"/>
        <v>3.5671609156818968E-3</v>
      </c>
      <c r="M236" s="128"/>
    </row>
    <row r="237" spans="1:13" ht="24" customHeight="1" x14ac:dyDescent="0.2">
      <c r="A237" s="116" t="s">
        <v>530</v>
      </c>
      <c r="B237" s="1" t="s">
        <v>1257</v>
      </c>
      <c r="C237" s="116" t="s">
        <v>25</v>
      </c>
      <c r="D237" s="116" t="s">
        <v>1256</v>
      </c>
      <c r="E237" s="2" t="s">
        <v>22</v>
      </c>
      <c r="F237" s="1">
        <v>80.2</v>
      </c>
      <c r="G237" s="61">
        <v>13.56</v>
      </c>
      <c r="H237" s="61">
        <f t="shared" si="32"/>
        <v>17.16</v>
      </c>
      <c r="I237" s="61">
        <f t="shared" si="33"/>
        <v>1376.23</v>
      </c>
      <c r="J237" s="60">
        <f t="shared" si="29"/>
        <v>9.1800159824316388E-4</v>
      </c>
      <c r="M237" s="128"/>
    </row>
    <row r="238" spans="1:13" ht="24" customHeight="1" x14ac:dyDescent="0.2">
      <c r="A238" s="116" t="s">
        <v>533</v>
      </c>
      <c r="B238" s="1" t="s">
        <v>531</v>
      </c>
      <c r="C238" s="116" t="s">
        <v>20</v>
      </c>
      <c r="D238" s="116" t="s">
        <v>532</v>
      </c>
      <c r="E238" s="2" t="s">
        <v>96</v>
      </c>
      <c r="F238" s="1">
        <v>423.87</v>
      </c>
      <c r="G238" s="61">
        <v>21.85</v>
      </c>
      <c r="H238" s="61">
        <f t="shared" si="32"/>
        <v>27.65</v>
      </c>
      <c r="I238" s="61">
        <f t="shared" si="33"/>
        <v>11720.01</v>
      </c>
      <c r="J238" s="60">
        <f t="shared" si="29"/>
        <v>7.8177251705208155E-3</v>
      </c>
      <c r="M238" s="128"/>
    </row>
    <row r="239" spans="1:13" ht="24" customHeight="1" x14ac:dyDescent="0.2">
      <c r="A239" s="116" t="s">
        <v>1255</v>
      </c>
      <c r="B239" s="1" t="s">
        <v>534</v>
      </c>
      <c r="C239" s="116" t="s">
        <v>20</v>
      </c>
      <c r="D239" s="116" t="s">
        <v>535</v>
      </c>
      <c r="E239" s="2" t="s">
        <v>22</v>
      </c>
      <c r="F239" s="1">
        <v>27.3</v>
      </c>
      <c r="G239" s="61">
        <v>273</v>
      </c>
      <c r="H239" s="61">
        <f t="shared" si="32"/>
        <v>345.48</v>
      </c>
      <c r="I239" s="61">
        <f t="shared" si="33"/>
        <v>9431.6</v>
      </c>
      <c r="J239" s="60">
        <f t="shared" si="29"/>
        <v>6.2912622701076304E-3</v>
      </c>
      <c r="M239" s="128"/>
    </row>
    <row r="240" spans="1:13" ht="24" customHeight="1" x14ac:dyDescent="0.2">
      <c r="A240" s="123" t="s">
        <v>536</v>
      </c>
      <c r="B240" s="123"/>
      <c r="C240" s="123"/>
      <c r="D240" s="123" t="s">
        <v>537</v>
      </c>
      <c r="E240" s="123"/>
      <c r="F240" s="3"/>
      <c r="G240" s="123"/>
      <c r="H240" s="123"/>
      <c r="I240" s="63">
        <f>SUM(I241:I249)</f>
        <v>100715.48</v>
      </c>
      <c r="J240" s="62">
        <f t="shared" si="29"/>
        <v>6.7181337136835703E-2</v>
      </c>
      <c r="M240" s="128"/>
    </row>
    <row r="241" spans="1:13" ht="24" customHeight="1" x14ac:dyDescent="0.2">
      <c r="A241" s="116" t="s">
        <v>538</v>
      </c>
      <c r="B241" s="1" t="s">
        <v>539</v>
      </c>
      <c r="C241" s="116" t="s">
        <v>20</v>
      </c>
      <c r="D241" s="116" t="s">
        <v>540</v>
      </c>
      <c r="E241" s="2" t="s">
        <v>22</v>
      </c>
      <c r="F241" s="1">
        <v>551.80999999999995</v>
      </c>
      <c r="G241" s="61">
        <v>4.8</v>
      </c>
      <c r="H241" s="61">
        <f t="shared" ref="H241:H249" si="34">ROUND(G241 * (1 + 26.55 / 100), 2)</f>
        <v>6.07</v>
      </c>
      <c r="I241" s="61">
        <f t="shared" ref="I241:I249" si="35">ROUND(F241 * H241, 2)</f>
        <v>3349.49</v>
      </c>
      <c r="J241" s="60">
        <f t="shared" si="29"/>
        <v>2.2342465818209851E-3</v>
      </c>
      <c r="M241" s="128"/>
    </row>
    <row r="242" spans="1:13" ht="24" customHeight="1" x14ac:dyDescent="0.2">
      <c r="A242" s="116" t="s">
        <v>541</v>
      </c>
      <c r="B242" s="1" t="s">
        <v>542</v>
      </c>
      <c r="C242" s="116" t="s">
        <v>20</v>
      </c>
      <c r="D242" s="116" t="s">
        <v>543</v>
      </c>
      <c r="E242" s="2" t="s">
        <v>22</v>
      </c>
      <c r="F242" s="1">
        <v>1508.99</v>
      </c>
      <c r="G242" s="61">
        <v>13.65</v>
      </c>
      <c r="H242" s="61">
        <f t="shared" si="34"/>
        <v>17.27</v>
      </c>
      <c r="I242" s="61">
        <f t="shared" si="35"/>
        <v>26060.26</v>
      </c>
      <c r="J242" s="60">
        <f t="shared" si="29"/>
        <v>1.738325739929546E-2</v>
      </c>
      <c r="M242" s="128"/>
    </row>
    <row r="243" spans="1:13" ht="24" customHeight="1" x14ac:dyDescent="0.2">
      <c r="A243" s="116" t="s">
        <v>544</v>
      </c>
      <c r="B243" s="1" t="s">
        <v>545</v>
      </c>
      <c r="C243" s="116" t="s">
        <v>20</v>
      </c>
      <c r="D243" s="116" t="s">
        <v>546</v>
      </c>
      <c r="E243" s="2" t="s">
        <v>22</v>
      </c>
      <c r="F243" s="1">
        <v>131.03</v>
      </c>
      <c r="G243" s="61">
        <v>19.16</v>
      </c>
      <c r="H243" s="61">
        <f t="shared" si="34"/>
        <v>24.25</v>
      </c>
      <c r="I243" s="61">
        <f t="shared" si="35"/>
        <v>3177.48</v>
      </c>
      <c r="J243" s="60">
        <f t="shared" si="29"/>
        <v>2.1195088890561087E-3</v>
      </c>
      <c r="M243" s="128"/>
    </row>
    <row r="244" spans="1:13" ht="24" customHeight="1" x14ac:dyDescent="0.2">
      <c r="A244" s="116" t="s">
        <v>547</v>
      </c>
      <c r="B244" s="1" t="s">
        <v>548</v>
      </c>
      <c r="C244" s="116" t="s">
        <v>20</v>
      </c>
      <c r="D244" s="116" t="s">
        <v>549</v>
      </c>
      <c r="E244" s="2" t="s">
        <v>22</v>
      </c>
      <c r="F244" s="1">
        <v>137.80000000000001</v>
      </c>
      <c r="G244" s="61">
        <v>54.76</v>
      </c>
      <c r="H244" s="61">
        <f t="shared" si="34"/>
        <v>69.3</v>
      </c>
      <c r="I244" s="61">
        <f t="shared" si="35"/>
        <v>9549.5400000000009</v>
      </c>
      <c r="J244" s="60">
        <f t="shared" si="29"/>
        <v>6.3699330653212202E-3</v>
      </c>
      <c r="M244" s="128"/>
    </row>
    <row r="245" spans="1:13" ht="36" customHeight="1" x14ac:dyDescent="0.2">
      <c r="A245" s="116" t="s">
        <v>550</v>
      </c>
      <c r="B245" s="1" t="s">
        <v>551</v>
      </c>
      <c r="C245" s="116" t="s">
        <v>20</v>
      </c>
      <c r="D245" s="116" t="s">
        <v>552</v>
      </c>
      <c r="E245" s="2" t="s">
        <v>22</v>
      </c>
      <c r="F245" s="1">
        <v>1796.8</v>
      </c>
      <c r="G245" s="61">
        <v>5.82</v>
      </c>
      <c r="H245" s="61">
        <f t="shared" si="34"/>
        <v>7.37</v>
      </c>
      <c r="I245" s="61">
        <f t="shared" si="35"/>
        <v>13242.42</v>
      </c>
      <c r="J245" s="60">
        <f t="shared" si="29"/>
        <v>8.8332347969505374E-3</v>
      </c>
      <c r="M245" s="128"/>
    </row>
    <row r="246" spans="1:13" ht="24" customHeight="1" x14ac:dyDescent="0.2">
      <c r="A246" s="116" t="s">
        <v>553</v>
      </c>
      <c r="B246" s="1" t="s">
        <v>554</v>
      </c>
      <c r="C246" s="116" t="s">
        <v>20</v>
      </c>
      <c r="D246" s="116" t="s">
        <v>555</v>
      </c>
      <c r="E246" s="2" t="s">
        <v>22</v>
      </c>
      <c r="F246" s="1">
        <v>1796.8</v>
      </c>
      <c r="G246" s="61">
        <v>7.16</v>
      </c>
      <c r="H246" s="61">
        <f t="shared" si="34"/>
        <v>9.06</v>
      </c>
      <c r="I246" s="61">
        <f t="shared" si="35"/>
        <v>16279.01</v>
      </c>
      <c r="J246" s="60">
        <f t="shared" si="29"/>
        <v>1.0858764303798382E-2</v>
      </c>
      <c r="M246" s="128"/>
    </row>
    <row r="247" spans="1:13" ht="24" customHeight="1" x14ac:dyDescent="0.2">
      <c r="A247" s="116" t="s">
        <v>556</v>
      </c>
      <c r="B247" s="1" t="s">
        <v>557</v>
      </c>
      <c r="C247" s="116" t="s">
        <v>20</v>
      </c>
      <c r="D247" s="116" t="s">
        <v>558</v>
      </c>
      <c r="E247" s="2" t="s">
        <v>22</v>
      </c>
      <c r="F247" s="1">
        <v>1796.8</v>
      </c>
      <c r="G247" s="61">
        <v>1.71</v>
      </c>
      <c r="H247" s="61">
        <f t="shared" si="34"/>
        <v>2.16</v>
      </c>
      <c r="I247" s="61">
        <f t="shared" si="35"/>
        <v>3881.09</v>
      </c>
      <c r="J247" s="60">
        <f t="shared" si="29"/>
        <v>2.5888454858021995E-3</v>
      </c>
      <c r="M247" s="128"/>
    </row>
    <row r="248" spans="1:13" ht="24" customHeight="1" x14ac:dyDescent="0.2">
      <c r="A248" s="116" t="s">
        <v>559</v>
      </c>
      <c r="B248" s="1" t="s">
        <v>560</v>
      </c>
      <c r="C248" s="116" t="s">
        <v>244</v>
      </c>
      <c r="D248" s="116" t="s">
        <v>561</v>
      </c>
      <c r="E248" s="2" t="s">
        <v>22</v>
      </c>
      <c r="F248" s="1">
        <v>79.81</v>
      </c>
      <c r="G248" s="61">
        <v>103.98</v>
      </c>
      <c r="H248" s="61">
        <f t="shared" si="34"/>
        <v>131.59</v>
      </c>
      <c r="I248" s="61">
        <f t="shared" si="35"/>
        <v>10502.2</v>
      </c>
      <c r="J248" s="60">
        <f t="shared" si="29"/>
        <v>7.0053961801947026E-3</v>
      </c>
      <c r="M248" s="128"/>
    </row>
    <row r="249" spans="1:13" ht="24" customHeight="1" x14ac:dyDescent="0.2">
      <c r="A249" s="116" t="s">
        <v>562</v>
      </c>
      <c r="B249" s="1" t="s">
        <v>563</v>
      </c>
      <c r="C249" s="116" t="s">
        <v>20</v>
      </c>
      <c r="D249" s="116" t="s">
        <v>564</v>
      </c>
      <c r="E249" s="2" t="s">
        <v>22</v>
      </c>
      <c r="F249" s="1">
        <v>969.22</v>
      </c>
      <c r="G249" s="61">
        <v>11.96</v>
      </c>
      <c r="H249" s="61">
        <f t="shared" si="34"/>
        <v>15.14</v>
      </c>
      <c r="I249" s="61">
        <f t="shared" si="35"/>
        <v>14673.99</v>
      </c>
      <c r="J249" s="60">
        <f t="shared" si="29"/>
        <v>9.7881504345961098E-3</v>
      </c>
      <c r="M249" s="128"/>
    </row>
    <row r="250" spans="1:13" ht="24" customHeight="1" x14ac:dyDescent="0.2">
      <c r="A250" s="123" t="s">
        <v>565</v>
      </c>
      <c r="B250" s="123"/>
      <c r="C250" s="123"/>
      <c r="D250" s="123" t="s">
        <v>566</v>
      </c>
      <c r="E250" s="123"/>
      <c r="F250" s="3"/>
      <c r="G250" s="123"/>
      <c r="H250" s="123"/>
      <c r="I250" s="63">
        <f>SUM(I251:I255)</f>
        <v>13853.429999999998</v>
      </c>
      <c r="J250" s="62">
        <f t="shared" si="29"/>
        <v>9.2408034130558054E-3</v>
      </c>
      <c r="M250" s="128"/>
    </row>
    <row r="251" spans="1:13" ht="24" customHeight="1" x14ac:dyDescent="0.2">
      <c r="A251" s="116" t="s">
        <v>567</v>
      </c>
      <c r="B251" s="1" t="s">
        <v>568</v>
      </c>
      <c r="C251" s="116" t="s">
        <v>25</v>
      </c>
      <c r="D251" s="116" t="s">
        <v>569</v>
      </c>
      <c r="E251" s="2" t="s">
        <v>22</v>
      </c>
      <c r="F251" s="1">
        <v>60</v>
      </c>
      <c r="G251" s="61">
        <v>37.659999999999997</v>
      </c>
      <c r="H251" s="61">
        <f>ROUND(G251 * (1 + 26.55 / 100), 2)</f>
        <v>47.66</v>
      </c>
      <c r="I251" s="61">
        <f>ROUND(F251 * H251, 2)</f>
        <v>2859.6</v>
      </c>
      <c r="J251" s="60">
        <f t="shared" si="29"/>
        <v>1.9074699507612473E-3</v>
      </c>
      <c r="M251" s="128"/>
    </row>
    <row r="252" spans="1:13" ht="36" customHeight="1" x14ac:dyDescent="0.2">
      <c r="A252" s="116" t="s">
        <v>570</v>
      </c>
      <c r="B252" s="1" t="s">
        <v>571</v>
      </c>
      <c r="C252" s="116" t="s">
        <v>20</v>
      </c>
      <c r="D252" s="116" t="s">
        <v>572</v>
      </c>
      <c r="E252" s="2" t="s">
        <v>22</v>
      </c>
      <c r="F252" s="1">
        <v>67.760000000000005</v>
      </c>
      <c r="G252" s="61">
        <v>82.3</v>
      </c>
      <c r="H252" s="61">
        <f>ROUND(G252 * (1 + 26.55 / 100), 2)</f>
        <v>104.15</v>
      </c>
      <c r="I252" s="61">
        <f>ROUND(F252 * H252, 2)</f>
        <v>7057.2</v>
      </c>
      <c r="J252" s="60">
        <f t="shared" si="29"/>
        <v>4.707440528924421E-3</v>
      </c>
      <c r="M252" s="128"/>
    </row>
    <row r="253" spans="1:13" ht="48" customHeight="1" x14ac:dyDescent="0.2">
      <c r="A253" s="116" t="s">
        <v>573</v>
      </c>
      <c r="B253" s="1" t="s">
        <v>574</v>
      </c>
      <c r="C253" s="116" t="s">
        <v>20</v>
      </c>
      <c r="D253" s="116" t="s">
        <v>575</v>
      </c>
      <c r="E253" s="2" t="s">
        <v>22</v>
      </c>
      <c r="F253" s="1">
        <v>41.83</v>
      </c>
      <c r="G253" s="61">
        <v>14.06</v>
      </c>
      <c r="H253" s="61">
        <f>ROUND(G253 * (1 + 26.55 / 100), 2)</f>
        <v>17.79</v>
      </c>
      <c r="I253" s="61">
        <f>ROUND(F253 * H253, 2)</f>
        <v>744.16</v>
      </c>
      <c r="J253" s="60">
        <f t="shared" si="29"/>
        <v>4.9638510230748693E-4</v>
      </c>
      <c r="M253" s="128"/>
    </row>
    <row r="254" spans="1:13" ht="24" customHeight="1" x14ac:dyDescent="0.2">
      <c r="A254" s="116" t="s">
        <v>576</v>
      </c>
      <c r="B254" s="1" t="s">
        <v>577</v>
      </c>
      <c r="C254" s="116" t="s">
        <v>20</v>
      </c>
      <c r="D254" s="116" t="s">
        <v>578</v>
      </c>
      <c r="E254" s="2" t="s">
        <v>22</v>
      </c>
      <c r="F254" s="1">
        <v>11.4</v>
      </c>
      <c r="G254" s="61">
        <v>28.04</v>
      </c>
      <c r="H254" s="61">
        <f>ROUND(G254 * (1 + 26.55 / 100), 2)</f>
        <v>35.479999999999997</v>
      </c>
      <c r="I254" s="61">
        <f>ROUND(F254 * H254, 2)</f>
        <v>404.47</v>
      </c>
      <c r="J254" s="60">
        <f t="shared" si="29"/>
        <v>2.6979800356147774E-4</v>
      </c>
      <c r="M254" s="128"/>
    </row>
    <row r="255" spans="1:13" ht="24" customHeight="1" x14ac:dyDescent="0.2">
      <c r="A255" s="116" t="s">
        <v>1254</v>
      </c>
      <c r="B255" s="1" t="s">
        <v>1253</v>
      </c>
      <c r="C255" s="116" t="s">
        <v>20</v>
      </c>
      <c r="D255" s="116" t="s">
        <v>1252</v>
      </c>
      <c r="E255" s="2" t="s">
        <v>22</v>
      </c>
      <c r="F255" s="1">
        <v>100</v>
      </c>
      <c r="G255" s="61">
        <v>22.03</v>
      </c>
      <c r="H255" s="61">
        <f>ROUND(G255 * (1 + 26.55 / 100), 2)</f>
        <v>27.88</v>
      </c>
      <c r="I255" s="61">
        <f>ROUND(F255 * H255, 2)</f>
        <v>2788</v>
      </c>
      <c r="J255" s="60">
        <f t="shared" si="29"/>
        <v>1.8597098275011741E-3</v>
      </c>
      <c r="M255" s="128"/>
    </row>
    <row r="256" spans="1:13" ht="24" customHeight="1" x14ac:dyDescent="0.2">
      <c r="A256" s="123" t="s">
        <v>579</v>
      </c>
      <c r="B256" s="123"/>
      <c r="C256" s="123"/>
      <c r="D256" s="123" t="s">
        <v>580</v>
      </c>
      <c r="E256" s="123"/>
      <c r="F256" s="3"/>
      <c r="G256" s="123"/>
      <c r="H256" s="123"/>
      <c r="I256" s="63">
        <f>SUM(I257:I263)</f>
        <v>108654.55</v>
      </c>
      <c r="J256" s="62">
        <f t="shared" si="29"/>
        <v>7.2477020960443936E-2</v>
      </c>
      <c r="M256" s="128"/>
    </row>
    <row r="257" spans="1:13" ht="36" customHeight="1" x14ac:dyDescent="0.2">
      <c r="A257" s="116" t="s">
        <v>581</v>
      </c>
      <c r="B257" s="1" t="s">
        <v>582</v>
      </c>
      <c r="C257" s="116" t="s">
        <v>25</v>
      </c>
      <c r="D257" s="116" t="s">
        <v>583</v>
      </c>
      <c r="E257" s="2" t="s">
        <v>22</v>
      </c>
      <c r="F257" s="1">
        <v>155.35</v>
      </c>
      <c r="G257" s="61">
        <v>56.56</v>
      </c>
      <c r="H257" s="61">
        <f t="shared" ref="H257:H263" si="36">ROUND(G257 * (1 + 26.55 / 100), 2)</f>
        <v>71.58</v>
      </c>
      <c r="I257" s="61">
        <f t="shared" ref="I257:I263" si="37">ROUND(F257 * H257, 2)</f>
        <v>11119.95</v>
      </c>
      <c r="J257" s="60">
        <f t="shared" si="29"/>
        <v>7.417460651478365E-3</v>
      </c>
      <c r="M257" s="128"/>
    </row>
    <row r="258" spans="1:13" ht="24" customHeight="1" x14ac:dyDescent="0.2">
      <c r="A258" s="116" t="s">
        <v>584</v>
      </c>
      <c r="B258" s="1" t="s">
        <v>585</v>
      </c>
      <c r="C258" s="116" t="s">
        <v>25</v>
      </c>
      <c r="D258" s="116" t="s">
        <v>586</v>
      </c>
      <c r="E258" s="2" t="s">
        <v>22</v>
      </c>
      <c r="F258" s="1">
        <v>155.35</v>
      </c>
      <c r="G258" s="61">
        <v>269.31</v>
      </c>
      <c r="H258" s="61">
        <f t="shared" si="36"/>
        <v>340.81</v>
      </c>
      <c r="I258" s="61">
        <f t="shared" si="37"/>
        <v>52944.83</v>
      </c>
      <c r="J258" s="60">
        <f t="shared" si="29"/>
        <v>3.5316363223234934E-2</v>
      </c>
      <c r="M258" s="128"/>
    </row>
    <row r="259" spans="1:13" ht="48" customHeight="1" x14ac:dyDescent="0.2">
      <c r="A259" s="116" t="s">
        <v>587</v>
      </c>
      <c r="B259" s="1" t="s">
        <v>1209</v>
      </c>
      <c r="C259" s="116" t="s">
        <v>25</v>
      </c>
      <c r="D259" s="116" t="s">
        <v>1208</v>
      </c>
      <c r="E259" s="2" t="s">
        <v>22</v>
      </c>
      <c r="F259" s="1">
        <v>77.680000000000007</v>
      </c>
      <c r="G259" s="61">
        <v>39.08</v>
      </c>
      <c r="H259" s="61">
        <f t="shared" si="36"/>
        <v>49.46</v>
      </c>
      <c r="I259" s="61">
        <f t="shared" si="37"/>
        <v>3842.05</v>
      </c>
      <c r="J259" s="60">
        <f t="shared" si="29"/>
        <v>2.5628042118905616E-3</v>
      </c>
      <c r="M259" s="128"/>
    </row>
    <row r="260" spans="1:13" ht="24" customHeight="1" x14ac:dyDescent="0.2">
      <c r="A260" s="116" t="s">
        <v>588</v>
      </c>
      <c r="B260" s="1" t="s">
        <v>1227</v>
      </c>
      <c r="C260" s="116" t="s">
        <v>249</v>
      </c>
      <c r="D260" s="116" t="s">
        <v>1226</v>
      </c>
      <c r="E260" s="2" t="s">
        <v>22</v>
      </c>
      <c r="F260" s="1">
        <v>78.92</v>
      </c>
      <c r="G260" s="61">
        <v>259.60000000000002</v>
      </c>
      <c r="H260" s="61">
        <f t="shared" si="36"/>
        <v>328.52</v>
      </c>
      <c r="I260" s="61">
        <f t="shared" si="37"/>
        <v>25926.799999999999</v>
      </c>
      <c r="J260" s="60">
        <f t="shared" si="29"/>
        <v>1.729423413043667E-2</v>
      </c>
      <c r="M260" s="128"/>
    </row>
    <row r="261" spans="1:13" ht="24" customHeight="1" x14ac:dyDescent="0.2">
      <c r="A261" s="116" t="s">
        <v>591</v>
      </c>
      <c r="B261" s="1" t="s">
        <v>589</v>
      </c>
      <c r="C261" s="116" t="s">
        <v>20</v>
      </c>
      <c r="D261" s="116" t="s">
        <v>590</v>
      </c>
      <c r="E261" s="2" t="s">
        <v>22</v>
      </c>
      <c r="F261" s="1">
        <v>42.29</v>
      </c>
      <c r="G261" s="61">
        <v>91.45</v>
      </c>
      <c r="H261" s="61">
        <f t="shared" si="36"/>
        <v>115.73</v>
      </c>
      <c r="I261" s="61">
        <f t="shared" si="37"/>
        <v>4894.22</v>
      </c>
      <c r="J261" s="60">
        <f t="shared" ref="J261:J324" si="38">I261 / 1499158.61</f>
        <v>3.2646445595239586E-3</v>
      </c>
      <c r="M261" s="128"/>
    </row>
    <row r="262" spans="1:13" ht="24" customHeight="1" x14ac:dyDescent="0.2">
      <c r="A262" s="116" t="s">
        <v>594</v>
      </c>
      <c r="B262" s="1" t="s">
        <v>592</v>
      </c>
      <c r="C262" s="116" t="s">
        <v>20</v>
      </c>
      <c r="D262" s="116" t="s">
        <v>593</v>
      </c>
      <c r="E262" s="2" t="s">
        <v>22</v>
      </c>
      <c r="F262" s="1">
        <v>67.27</v>
      </c>
      <c r="G262" s="61">
        <v>84.71</v>
      </c>
      <c r="H262" s="61">
        <f t="shared" si="36"/>
        <v>107.2</v>
      </c>
      <c r="I262" s="61">
        <f t="shared" si="37"/>
        <v>7211.34</v>
      </c>
      <c r="J262" s="60">
        <f t="shared" si="38"/>
        <v>4.8102582020991096E-3</v>
      </c>
      <c r="M262" s="128"/>
    </row>
    <row r="263" spans="1:13" ht="24" customHeight="1" x14ac:dyDescent="0.2">
      <c r="A263" s="116" t="s">
        <v>1251</v>
      </c>
      <c r="B263" s="1" t="s">
        <v>595</v>
      </c>
      <c r="C263" s="116" t="s">
        <v>20</v>
      </c>
      <c r="D263" s="116" t="s">
        <v>596</v>
      </c>
      <c r="E263" s="2" t="s">
        <v>22</v>
      </c>
      <c r="F263" s="1">
        <v>40.18</v>
      </c>
      <c r="G263" s="61">
        <v>53.4</v>
      </c>
      <c r="H263" s="61">
        <f t="shared" si="36"/>
        <v>67.58</v>
      </c>
      <c r="I263" s="61">
        <f t="shared" si="37"/>
        <v>2715.36</v>
      </c>
      <c r="J263" s="60">
        <f t="shared" si="38"/>
        <v>1.8112559817803401E-3</v>
      </c>
      <c r="M263" s="128"/>
    </row>
    <row r="264" spans="1:13" ht="24" customHeight="1" x14ac:dyDescent="0.2">
      <c r="A264" s="123" t="s">
        <v>597</v>
      </c>
      <c r="B264" s="123"/>
      <c r="C264" s="123"/>
      <c r="D264" s="123" t="s">
        <v>598</v>
      </c>
      <c r="E264" s="123"/>
      <c r="F264" s="3"/>
      <c r="G264" s="123"/>
      <c r="H264" s="123"/>
      <c r="I264" s="63">
        <f>SUM(I265:I277)</f>
        <v>178410.59</v>
      </c>
      <c r="J264" s="62">
        <f t="shared" si="38"/>
        <v>0.11900714761595504</v>
      </c>
      <c r="M264" s="128"/>
    </row>
    <row r="265" spans="1:13" ht="24" customHeight="1" x14ac:dyDescent="0.2">
      <c r="A265" s="116" t="s">
        <v>599</v>
      </c>
      <c r="B265" s="1" t="s">
        <v>1627</v>
      </c>
      <c r="C265" s="116" t="s">
        <v>25</v>
      </c>
      <c r="D265" s="116" t="s">
        <v>1626</v>
      </c>
      <c r="E265" s="2" t="s">
        <v>22</v>
      </c>
      <c r="F265" s="1">
        <v>748.52</v>
      </c>
      <c r="G265" s="61">
        <v>37.880000000000003</v>
      </c>
      <c r="H265" s="61">
        <f t="shared" ref="H265:H277" si="39">ROUND(G265 * (1 + 26.55 / 100), 2)</f>
        <v>47.94</v>
      </c>
      <c r="I265" s="61">
        <f t="shared" ref="I265:I277" si="40">ROUND(F265 * H265, 2)</f>
        <v>35884.050000000003</v>
      </c>
      <c r="J265" s="60">
        <f t="shared" si="38"/>
        <v>2.3936126411600971E-2</v>
      </c>
      <c r="M265" s="128"/>
    </row>
    <row r="266" spans="1:13" ht="36" customHeight="1" x14ac:dyDescent="0.2">
      <c r="A266" s="116" t="s">
        <v>600</v>
      </c>
      <c r="B266" s="1" t="s">
        <v>1625</v>
      </c>
      <c r="C266" s="116" t="s">
        <v>25</v>
      </c>
      <c r="D266" s="116" t="s">
        <v>1624</v>
      </c>
      <c r="E266" s="2" t="s">
        <v>22</v>
      </c>
      <c r="F266" s="1">
        <v>560.16</v>
      </c>
      <c r="G266" s="61">
        <v>111.5</v>
      </c>
      <c r="H266" s="61">
        <f t="shared" si="39"/>
        <v>141.1</v>
      </c>
      <c r="I266" s="61">
        <f t="shared" si="40"/>
        <v>79038.58</v>
      </c>
      <c r="J266" s="60">
        <f t="shared" si="38"/>
        <v>5.2721959819848549E-2</v>
      </c>
      <c r="M266" s="128"/>
    </row>
    <row r="267" spans="1:13" ht="24" customHeight="1" x14ac:dyDescent="0.2">
      <c r="A267" s="116" t="s">
        <v>603</v>
      </c>
      <c r="B267" s="1" t="s">
        <v>601</v>
      </c>
      <c r="C267" s="116" t="s">
        <v>20</v>
      </c>
      <c r="D267" s="116" t="s">
        <v>602</v>
      </c>
      <c r="E267" s="2" t="s">
        <v>213</v>
      </c>
      <c r="F267" s="1">
        <v>450</v>
      </c>
      <c r="G267" s="61">
        <v>13.9</v>
      </c>
      <c r="H267" s="61">
        <f t="shared" si="39"/>
        <v>17.59</v>
      </c>
      <c r="I267" s="61">
        <f t="shared" si="40"/>
        <v>7915.5</v>
      </c>
      <c r="J267" s="60">
        <f t="shared" si="38"/>
        <v>5.2799616713004099E-3</v>
      </c>
      <c r="M267" s="128"/>
    </row>
    <row r="268" spans="1:13" ht="36" customHeight="1" x14ac:dyDescent="0.2">
      <c r="A268" s="116" t="s">
        <v>606</v>
      </c>
      <c r="B268" s="1" t="s">
        <v>604</v>
      </c>
      <c r="C268" s="116" t="s">
        <v>20</v>
      </c>
      <c r="D268" s="116" t="s">
        <v>605</v>
      </c>
      <c r="E268" s="2" t="s">
        <v>22</v>
      </c>
      <c r="F268" s="1">
        <v>56.36</v>
      </c>
      <c r="G268" s="61">
        <v>61.68</v>
      </c>
      <c r="H268" s="61">
        <f t="shared" si="39"/>
        <v>78.06</v>
      </c>
      <c r="I268" s="61">
        <f t="shared" si="40"/>
        <v>4399.46</v>
      </c>
      <c r="J268" s="60">
        <f t="shared" si="38"/>
        <v>2.9346194396335421E-3</v>
      </c>
      <c r="M268" s="128"/>
    </row>
    <row r="269" spans="1:13" ht="24" customHeight="1" x14ac:dyDescent="0.2">
      <c r="A269" s="116" t="s">
        <v>609</v>
      </c>
      <c r="B269" s="1" t="s">
        <v>607</v>
      </c>
      <c r="C269" s="116" t="s">
        <v>20</v>
      </c>
      <c r="D269" s="116" t="s">
        <v>608</v>
      </c>
      <c r="E269" s="2" t="s">
        <v>22</v>
      </c>
      <c r="F269" s="1">
        <v>132</v>
      </c>
      <c r="G269" s="61">
        <v>62</v>
      </c>
      <c r="H269" s="61">
        <f t="shared" si="39"/>
        <v>78.459999999999994</v>
      </c>
      <c r="I269" s="61">
        <f t="shared" si="40"/>
        <v>10356.719999999999</v>
      </c>
      <c r="J269" s="60">
        <f t="shared" si="38"/>
        <v>6.9083550805875025E-3</v>
      </c>
      <c r="M269" s="128"/>
    </row>
    <row r="270" spans="1:13" ht="24" customHeight="1" x14ac:dyDescent="0.2">
      <c r="A270" s="116" t="s">
        <v>612</v>
      </c>
      <c r="B270" s="1" t="s">
        <v>610</v>
      </c>
      <c r="C270" s="116" t="s">
        <v>20</v>
      </c>
      <c r="D270" s="116" t="s">
        <v>611</v>
      </c>
      <c r="E270" s="2" t="s">
        <v>49</v>
      </c>
      <c r="F270" s="1">
        <v>5.59</v>
      </c>
      <c r="G270" s="61">
        <v>151.37</v>
      </c>
      <c r="H270" s="61">
        <f t="shared" si="39"/>
        <v>191.56</v>
      </c>
      <c r="I270" s="61">
        <f t="shared" si="40"/>
        <v>1070.82</v>
      </c>
      <c r="J270" s="60">
        <f t="shared" si="38"/>
        <v>7.1428065906915599E-4</v>
      </c>
      <c r="M270" s="128"/>
    </row>
    <row r="271" spans="1:13" ht="24" customHeight="1" x14ac:dyDescent="0.2">
      <c r="A271" s="116" t="s">
        <v>615</v>
      </c>
      <c r="B271" s="1" t="s">
        <v>613</v>
      </c>
      <c r="C271" s="116" t="s">
        <v>20</v>
      </c>
      <c r="D271" s="116" t="s">
        <v>614</v>
      </c>
      <c r="E271" s="2" t="s">
        <v>22</v>
      </c>
      <c r="F271" s="1">
        <v>81.709999999999994</v>
      </c>
      <c r="G271" s="61">
        <v>41.46</v>
      </c>
      <c r="H271" s="61">
        <f t="shared" si="39"/>
        <v>52.47</v>
      </c>
      <c r="I271" s="61">
        <f t="shared" si="40"/>
        <v>4287.32</v>
      </c>
      <c r="J271" s="60">
        <f t="shared" si="38"/>
        <v>2.8598174812203489E-3</v>
      </c>
      <c r="M271" s="128"/>
    </row>
    <row r="272" spans="1:13" ht="24" customHeight="1" x14ac:dyDescent="0.2">
      <c r="A272" s="116" t="s">
        <v>618</v>
      </c>
      <c r="B272" s="1" t="s">
        <v>616</v>
      </c>
      <c r="C272" s="116" t="s">
        <v>25</v>
      </c>
      <c r="D272" s="116" t="s">
        <v>617</v>
      </c>
      <c r="E272" s="2" t="s">
        <v>22</v>
      </c>
      <c r="F272" s="1">
        <v>48.69</v>
      </c>
      <c r="G272" s="61">
        <v>108.04</v>
      </c>
      <c r="H272" s="61">
        <f t="shared" si="39"/>
        <v>136.72</v>
      </c>
      <c r="I272" s="61">
        <f t="shared" si="40"/>
        <v>6656.9</v>
      </c>
      <c r="J272" s="60">
        <f t="shared" si="38"/>
        <v>4.4404240856142632E-3</v>
      </c>
      <c r="M272" s="128"/>
    </row>
    <row r="273" spans="1:13" ht="24" customHeight="1" x14ac:dyDescent="0.2">
      <c r="A273" s="116" t="s">
        <v>621</v>
      </c>
      <c r="B273" s="1" t="s">
        <v>619</v>
      </c>
      <c r="C273" s="116" t="s">
        <v>20</v>
      </c>
      <c r="D273" s="116" t="s">
        <v>620</v>
      </c>
      <c r="E273" s="2" t="s">
        <v>22</v>
      </c>
      <c r="F273" s="1">
        <v>111.23</v>
      </c>
      <c r="G273" s="61">
        <v>53.48</v>
      </c>
      <c r="H273" s="61">
        <f t="shared" si="39"/>
        <v>67.680000000000007</v>
      </c>
      <c r="I273" s="61">
        <f t="shared" si="40"/>
        <v>7528.05</v>
      </c>
      <c r="J273" s="60">
        <f t="shared" si="38"/>
        <v>5.021516702625615E-3</v>
      </c>
      <c r="M273" s="128"/>
    </row>
    <row r="274" spans="1:13" ht="24" customHeight="1" x14ac:dyDescent="0.2">
      <c r="A274" s="116" t="s">
        <v>624</v>
      </c>
      <c r="B274" s="1" t="s">
        <v>622</v>
      </c>
      <c r="C274" s="116" t="s">
        <v>20</v>
      </c>
      <c r="D274" s="116" t="s">
        <v>623</v>
      </c>
      <c r="E274" s="2" t="s">
        <v>22</v>
      </c>
      <c r="F274" s="1">
        <v>61.65</v>
      </c>
      <c r="G274" s="61">
        <v>230.8</v>
      </c>
      <c r="H274" s="61">
        <f t="shared" si="39"/>
        <v>292.08</v>
      </c>
      <c r="I274" s="61">
        <f t="shared" si="40"/>
        <v>18006.73</v>
      </c>
      <c r="J274" s="60">
        <f t="shared" si="38"/>
        <v>1.201122408255388E-2</v>
      </c>
      <c r="M274" s="128"/>
    </row>
    <row r="275" spans="1:13" ht="24" customHeight="1" x14ac:dyDescent="0.2">
      <c r="A275" s="116" t="s">
        <v>627</v>
      </c>
      <c r="B275" s="1" t="s">
        <v>625</v>
      </c>
      <c r="C275" s="116" t="s">
        <v>20</v>
      </c>
      <c r="D275" s="116" t="s">
        <v>626</v>
      </c>
      <c r="E275" s="2" t="s">
        <v>22</v>
      </c>
      <c r="F275" s="1">
        <v>1.8</v>
      </c>
      <c r="G275" s="61">
        <v>465.13</v>
      </c>
      <c r="H275" s="61">
        <f t="shared" si="39"/>
        <v>588.62</v>
      </c>
      <c r="I275" s="61">
        <f t="shared" si="40"/>
        <v>1059.52</v>
      </c>
      <c r="J275" s="60">
        <f t="shared" si="38"/>
        <v>7.0674309771665846E-4</v>
      </c>
      <c r="M275" s="128"/>
    </row>
    <row r="276" spans="1:13" ht="24" customHeight="1" x14ac:dyDescent="0.2">
      <c r="A276" s="116" t="s">
        <v>630</v>
      </c>
      <c r="B276" s="1" t="s">
        <v>628</v>
      </c>
      <c r="C276" s="116" t="s">
        <v>20</v>
      </c>
      <c r="D276" s="116" t="s">
        <v>629</v>
      </c>
      <c r="E276" s="2" t="s">
        <v>22</v>
      </c>
      <c r="F276" s="1">
        <v>50.78</v>
      </c>
      <c r="G276" s="61">
        <v>14.73</v>
      </c>
      <c r="H276" s="61">
        <f t="shared" si="39"/>
        <v>18.64</v>
      </c>
      <c r="I276" s="61">
        <f t="shared" si="40"/>
        <v>946.54</v>
      </c>
      <c r="J276" s="60">
        <f t="shared" si="38"/>
        <v>6.3138082500823573E-4</v>
      </c>
      <c r="M276" s="128"/>
    </row>
    <row r="277" spans="1:13" ht="24" customHeight="1" x14ac:dyDescent="0.2">
      <c r="A277" s="116" t="s">
        <v>1623</v>
      </c>
      <c r="B277" s="1" t="s">
        <v>631</v>
      </c>
      <c r="C277" s="116" t="s">
        <v>25</v>
      </c>
      <c r="D277" s="116" t="s">
        <v>632</v>
      </c>
      <c r="E277" s="2" t="s">
        <v>22</v>
      </c>
      <c r="F277" s="1">
        <v>20</v>
      </c>
      <c r="G277" s="61">
        <v>49.8</v>
      </c>
      <c r="H277" s="61">
        <f t="shared" si="39"/>
        <v>63.02</v>
      </c>
      <c r="I277" s="61">
        <f t="shared" si="40"/>
        <v>1260.4000000000001</v>
      </c>
      <c r="J277" s="60">
        <f t="shared" si="38"/>
        <v>8.4073825917592535E-4</v>
      </c>
      <c r="M277" s="128"/>
    </row>
    <row r="278" spans="1:13" ht="24" customHeight="1" x14ac:dyDescent="0.2">
      <c r="A278" s="123" t="s">
        <v>633</v>
      </c>
      <c r="B278" s="123"/>
      <c r="C278" s="123"/>
      <c r="D278" s="123" t="s">
        <v>634</v>
      </c>
      <c r="E278" s="123"/>
      <c r="F278" s="3"/>
      <c r="G278" s="123"/>
      <c r="H278" s="123"/>
      <c r="I278" s="63">
        <f>I279+I302+I324+I327</f>
        <v>325379.64999999997</v>
      </c>
      <c r="J278" s="62">
        <f t="shared" si="38"/>
        <v>0.21704151103798147</v>
      </c>
      <c r="M278" s="128"/>
    </row>
    <row r="279" spans="1:13" ht="24" customHeight="1" x14ac:dyDescent="0.2">
      <c r="A279" s="123" t="s">
        <v>635</v>
      </c>
      <c r="B279" s="123"/>
      <c r="C279" s="123"/>
      <c r="D279" s="123" t="s">
        <v>636</v>
      </c>
      <c r="E279" s="123"/>
      <c r="F279" s="3"/>
      <c r="G279" s="123"/>
      <c r="H279" s="123"/>
      <c r="I279" s="63">
        <f>SUM(I280:I301)</f>
        <v>92315.659999999989</v>
      </c>
      <c r="J279" s="62">
        <f t="shared" si="38"/>
        <v>6.1578314251885584E-2</v>
      </c>
      <c r="M279" s="128"/>
    </row>
    <row r="280" spans="1:13" ht="24" customHeight="1" x14ac:dyDescent="0.2">
      <c r="A280" s="116" t="s">
        <v>637</v>
      </c>
      <c r="B280" s="1" t="s">
        <v>638</v>
      </c>
      <c r="C280" s="116" t="s">
        <v>20</v>
      </c>
      <c r="D280" s="116" t="s">
        <v>639</v>
      </c>
      <c r="E280" s="2" t="s">
        <v>22</v>
      </c>
      <c r="F280" s="1">
        <v>1.26</v>
      </c>
      <c r="G280" s="61">
        <v>1108.1199999999999</v>
      </c>
      <c r="H280" s="61">
        <f t="shared" ref="H280:H301" si="41">ROUND(G280 * (1 + 26.55 / 100), 2)</f>
        <v>1402.33</v>
      </c>
      <c r="I280" s="61">
        <f t="shared" ref="I280:I301" si="42">ROUND(F280 * H280, 2)</f>
        <v>1766.94</v>
      </c>
      <c r="J280" s="60">
        <f t="shared" si="38"/>
        <v>1.1786211200161135E-3</v>
      </c>
      <c r="M280" s="128"/>
    </row>
    <row r="281" spans="1:13" ht="24" customHeight="1" x14ac:dyDescent="0.2">
      <c r="A281" s="116" t="s">
        <v>640</v>
      </c>
      <c r="B281" s="1" t="s">
        <v>638</v>
      </c>
      <c r="C281" s="116" t="s">
        <v>20</v>
      </c>
      <c r="D281" s="116" t="s">
        <v>641</v>
      </c>
      <c r="E281" s="2" t="s">
        <v>22</v>
      </c>
      <c r="F281" s="1">
        <v>1.47</v>
      </c>
      <c r="G281" s="61">
        <v>1108.1199999999999</v>
      </c>
      <c r="H281" s="61">
        <f t="shared" si="41"/>
        <v>1402.33</v>
      </c>
      <c r="I281" s="61">
        <f t="shared" si="42"/>
        <v>2061.4299999999998</v>
      </c>
      <c r="J281" s="60">
        <f t="shared" si="38"/>
        <v>1.3750579733521322E-3</v>
      </c>
      <c r="M281" s="128"/>
    </row>
    <row r="282" spans="1:13" ht="24" customHeight="1" x14ac:dyDescent="0.2">
      <c r="A282" s="116" t="s">
        <v>642</v>
      </c>
      <c r="B282" s="1" t="s">
        <v>638</v>
      </c>
      <c r="C282" s="116" t="s">
        <v>20</v>
      </c>
      <c r="D282" s="116" t="s">
        <v>643</v>
      </c>
      <c r="E282" s="2" t="s">
        <v>22</v>
      </c>
      <c r="F282" s="1">
        <v>18.48</v>
      </c>
      <c r="G282" s="61">
        <v>1108.1199999999999</v>
      </c>
      <c r="H282" s="61">
        <f t="shared" si="41"/>
        <v>1402.33</v>
      </c>
      <c r="I282" s="61">
        <f t="shared" si="42"/>
        <v>25915.06</v>
      </c>
      <c r="J282" s="60">
        <f t="shared" si="38"/>
        <v>1.7286403071120005E-2</v>
      </c>
      <c r="M282" s="128"/>
    </row>
    <row r="283" spans="1:13" ht="24" customHeight="1" x14ac:dyDescent="0.2">
      <c r="A283" s="116" t="s">
        <v>644</v>
      </c>
      <c r="B283" s="1" t="s">
        <v>638</v>
      </c>
      <c r="C283" s="116" t="s">
        <v>20</v>
      </c>
      <c r="D283" s="116" t="s">
        <v>645</v>
      </c>
      <c r="E283" s="2" t="s">
        <v>22</v>
      </c>
      <c r="F283" s="1">
        <v>13.23</v>
      </c>
      <c r="G283" s="61">
        <v>1108.1199999999999</v>
      </c>
      <c r="H283" s="61">
        <f t="shared" si="41"/>
        <v>1402.33</v>
      </c>
      <c r="I283" s="61">
        <f t="shared" si="42"/>
        <v>18552.830000000002</v>
      </c>
      <c r="J283" s="60">
        <f t="shared" si="38"/>
        <v>1.2375495078536086E-2</v>
      </c>
      <c r="M283" s="128"/>
    </row>
    <row r="284" spans="1:13" ht="24" customHeight="1" x14ac:dyDescent="0.2">
      <c r="A284" s="116" t="s">
        <v>646</v>
      </c>
      <c r="B284" s="1" t="s">
        <v>647</v>
      </c>
      <c r="C284" s="116" t="s">
        <v>20</v>
      </c>
      <c r="D284" s="116" t="s">
        <v>648</v>
      </c>
      <c r="E284" s="2" t="s">
        <v>246</v>
      </c>
      <c r="F284" s="1">
        <v>11</v>
      </c>
      <c r="G284" s="61">
        <v>751.58</v>
      </c>
      <c r="H284" s="61">
        <f t="shared" si="41"/>
        <v>951.12</v>
      </c>
      <c r="I284" s="61">
        <f t="shared" si="42"/>
        <v>10462.32</v>
      </c>
      <c r="J284" s="60">
        <f t="shared" si="38"/>
        <v>6.9787945919878346E-3</v>
      </c>
      <c r="M284" s="128"/>
    </row>
    <row r="285" spans="1:13" ht="24" customHeight="1" x14ac:dyDescent="0.2">
      <c r="A285" s="116" t="s">
        <v>649</v>
      </c>
      <c r="B285" s="1" t="s">
        <v>647</v>
      </c>
      <c r="C285" s="116" t="s">
        <v>20</v>
      </c>
      <c r="D285" s="116" t="s">
        <v>650</v>
      </c>
      <c r="E285" s="2" t="s">
        <v>246</v>
      </c>
      <c r="F285" s="1">
        <v>1</v>
      </c>
      <c r="G285" s="61">
        <v>751.58</v>
      </c>
      <c r="H285" s="61">
        <f t="shared" si="41"/>
        <v>951.12</v>
      </c>
      <c r="I285" s="61">
        <f t="shared" si="42"/>
        <v>951.12</v>
      </c>
      <c r="J285" s="60">
        <f t="shared" si="38"/>
        <v>6.3443587199889402E-4</v>
      </c>
      <c r="M285" s="128"/>
    </row>
    <row r="286" spans="1:13" ht="24" customHeight="1" x14ac:dyDescent="0.2">
      <c r="A286" s="116" t="s">
        <v>651</v>
      </c>
      <c r="B286" s="1" t="s">
        <v>652</v>
      </c>
      <c r="C286" s="116" t="s">
        <v>20</v>
      </c>
      <c r="D286" s="116" t="s">
        <v>653</v>
      </c>
      <c r="E286" s="2" t="s">
        <v>246</v>
      </c>
      <c r="F286" s="1">
        <v>3</v>
      </c>
      <c r="G286" s="61">
        <v>772.46</v>
      </c>
      <c r="H286" s="61">
        <f t="shared" si="41"/>
        <v>977.55</v>
      </c>
      <c r="I286" s="61">
        <f t="shared" si="42"/>
        <v>2932.65</v>
      </c>
      <c r="J286" s="60">
        <f t="shared" si="38"/>
        <v>1.9561972832214196E-3</v>
      </c>
      <c r="M286" s="128"/>
    </row>
    <row r="287" spans="1:13" ht="24" customHeight="1" x14ac:dyDescent="0.2">
      <c r="A287" s="116" t="s">
        <v>654</v>
      </c>
      <c r="B287" s="1" t="s">
        <v>652</v>
      </c>
      <c r="C287" s="116" t="s">
        <v>20</v>
      </c>
      <c r="D287" s="116" t="s">
        <v>655</v>
      </c>
      <c r="E287" s="2" t="s">
        <v>246</v>
      </c>
      <c r="F287" s="1">
        <v>1</v>
      </c>
      <c r="G287" s="61">
        <v>772.46</v>
      </c>
      <c r="H287" s="61">
        <f t="shared" si="41"/>
        <v>977.55</v>
      </c>
      <c r="I287" s="61">
        <f t="shared" si="42"/>
        <v>977.55</v>
      </c>
      <c r="J287" s="60">
        <f t="shared" si="38"/>
        <v>6.5206576107380647E-4</v>
      </c>
      <c r="M287" s="128"/>
    </row>
    <row r="288" spans="1:13" ht="24" customHeight="1" x14ac:dyDescent="0.2">
      <c r="A288" s="116" t="s">
        <v>656</v>
      </c>
      <c r="B288" s="1" t="s">
        <v>657</v>
      </c>
      <c r="C288" s="116" t="s">
        <v>20</v>
      </c>
      <c r="D288" s="116" t="s">
        <v>658</v>
      </c>
      <c r="E288" s="2" t="s">
        <v>22</v>
      </c>
      <c r="F288" s="1">
        <v>3.3</v>
      </c>
      <c r="G288" s="61">
        <v>796.69</v>
      </c>
      <c r="H288" s="61">
        <f t="shared" si="41"/>
        <v>1008.21</v>
      </c>
      <c r="I288" s="61">
        <f t="shared" si="42"/>
        <v>3327.09</v>
      </c>
      <c r="J288" s="60">
        <f t="shared" si="38"/>
        <v>2.2193048672815214E-3</v>
      </c>
      <c r="M288" s="128"/>
    </row>
    <row r="289" spans="1:13" ht="24" customHeight="1" x14ac:dyDescent="0.2">
      <c r="A289" s="116" t="s">
        <v>659</v>
      </c>
      <c r="B289" s="1" t="s">
        <v>652</v>
      </c>
      <c r="C289" s="116" t="s">
        <v>20</v>
      </c>
      <c r="D289" s="116" t="s">
        <v>660</v>
      </c>
      <c r="E289" s="2" t="s">
        <v>246</v>
      </c>
      <c r="F289" s="1">
        <v>1</v>
      </c>
      <c r="G289" s="61">
        <v>772.46</v>
      </c>
      <c r="H289" s="61">
        <f t="shared" si="41"/>
        <v>977.55</v>
      </c>
      <c r="I289" s="61">
        <f t="shared" si="42"/>
        <v>977.55</v>
      </c>
      <c r="J289" s="60">
        <f t="shared" si="38"/>
        <v>6.5206576107380647E-4</v>
      </c>
      <c r="M289" s="128"/>
    </row>
    <row r="290" spans="1:13" ht="24" customHeight="1" x14ac:dyDescent="0.2">
      <c r="A290" s="116" t="s">
        <v>661</v>
      </c>
      <c r="B290" s="1" t="s">
        <v>657</v>
      </c>
      <c r="C290" s="116" t="s">
        <v>20</v>
      </c>
      <c r="D290" s="116" t="s">
        <v>662</v>
      </c>
      <c r="E290" s="2" t="s">
        <v>22</v>
      </c>
      <c r="F290" s="1">
        <v>3.15</v>
      </c>
      <c r="G290" s="61">
        <v>796.69</v>
      </c>
      <c r="H290" s="61">
        <f t="shared" si="41"/>
        <v>1008.21</v>
      </c>
      <c r="I290" s="61">
        <f t="shared" si="42"/>
        <v>3175.86</v>
      </c>
      <c r="J290" s="60">
        <f t="shared" si="38"/>
        <v>2.1184282829153078E-3</v>
      </c>
      <c r="M290" s="128"/>
    </row>
    <row r="291" spans="1:13" ht="24" customHeight="1" x14ac:dyDescent="0.2">
      <c r="A291" s="116" t="s">
        <v>663</v>
      </c>
      <c r="B291" s="1" t="s">
        <v>647</v>
      </c>
      <c r="C291" s="116" t="s">
        <v>20</v>
      </c>
      <c r="D291" s="116" t="s">
        <v>664</v>
      </c>
      <c r="E291" s="2" t="s">
        <v>246</v>
      </c>
      <c r="F291" s="1">
        <v>2</v>
      </c>
      <c r="G291" s="61">
        <v>751.58</v>
      </c>
      <c r="H291" s="61">
        <f t="shared" si="41"/>
        <v>951.12</v>
      </c>
      <c r="I291" s="61">
        <f t="shared" si="42"/>
        <v>1902.24</v>
      </c>
      <c r="J291" s="60">
        <f t="shared" si="38"/>
        <v>1.268871743997788E-3</v>
      </c>
      <c r="M291" s="128"/>
    </row>
    <row r="292" spans="1:13" ht="36" customHeight="1" x14ac:dyDescent="0.2">
      <c r="A292" s="116" t="s">
        <v>665</v>
      </c>
      <c r="B292" s="1" t="s">
        <v>666</v>
      </c>
      <c r="C292" s="116" t="s">
        <v>20</v>
      </c>
      <c r="D292" s="116" t="s">
        <v>667</v>
      </c>
      <c r="E292" s="2" t="s">
        <v>246</v>
      </c>
      <c r="F292" s="1">
        <v>2</v>
      </c>
      <c r="G292" s="61">
        <v>665.8</v>
      </c>
      <c r="H292" s="61">
        <f t="shared" si="41"/>
        <v>842.57</v>
      </c>
      <c r="I292" s="61">
        <f t="shared" si="42"/>
        <v>1685.14</v>
      </c>
      <c r="J292" s="60">
        <f t="shared" si="38"/>
        <v>1.1240571803139629E-3</v>
      </c>
      <c r="M292" s="128"/>
    </row>
    <row r="293" spans="1:13" ht="24" customHeight="1" x14ac:dyDescent="0.2">
      <c r="A293" s="116" t="s">
        <v>668</v>
      </c>
      <c r="B293" s="1" t="s">
        <v>657</v>
      </c>
      <c r="C293" s="116" t="s">
        <v>20</v>
      </c>
      <c r="D293" s="116" t="s">
        <v>669</v>
      </c>
      <c r="E293" s="2" t="s">
        <v>22</v>
      </c>
      <c r="F293" s="1">
        <v>3.36</v>
      </c>
      <c r="G293" s="61">
        <v>796.69</v>
      </c>
      <c r="H293" s="61">
        <f t="shared" si="41"/>
        <v>1008.21</v>
      </c>
      <c r="I293" s="61">
        <f t="shared" si="42"/>
        <v>3387.59</v>
      </c>
      <c r="J293" s="60">
        <f t="shared" si="38"/>
        <v>2.2596608373546276E-3</v>
      </c>
      <c r="M293" s="128"/>
    </row>
    <row r="294" spans="1:13" ht="72" customHeight="1" x14ac:dyDescent="0.2">
      <c r="A294" s="116" t="s">
        <v>670</v>
      </c>
      <c r="B294" s="1" t="s">
        <v>638</v>
      </c>
      <c r="C294" s="116" t="s">
        <v>20</v>
      </c>
      <c r="D294" s="116" t="s">
        <v>671</v>
      </c>
      <c r="E294" s="2" t="s">
        <v>22</v>
      </c>
      <c r="F294" s="1">
        <v>0.8</v>
      </c>
      <c r="G294" s="61">
        <v>1108.1199999999999</v>
      </c>
      <c r="H294" s="61">
        <f t="shared" si="41"/>
        <v>1402.33</v>
      </c>
      <c r="I294" s="61">
        <f t="shared" si="42"/>
        <v>1121.8599999999999</v>
      </c>
      <c r="J294" s="60">
        <f t="shared" si="38"/>
        <v>7.4832642291264957E-4</v>
      </c>
      <c r="M294" s="128"/>
    </row>
    <row r="295" spans="1:13" ht="48" customHeight="1" x14ac:dyDescent="0.2">
      <c r="A295" s="116" t="s">
        <v>672</v>
      </c>
      <c r="B295" s="1" t="s">
        <v>638</v>
      </c>
      <c r="C295" s="116" t="s">
        <v>20</v>
      </c>
      <c r="D295" s="116" t="s">
        <v>673</v>
      </c>
      <c r="E295" s="2" t="s">
        <v>22</v>
      </c>
      <c r="F295" s="1">
        <v>1.68</v>
      </c>
      <c r="G295" s="61">
        <v>1108.1199999999999</v>
      </c>
      <c r="H295" s="61">
        <f t="shared" si="41"/>
        <v>1402.33</v>
      </c>
      <c r="I295" s="61">
        <f t="shared" si="42"/>
        <v>2355.91</v>
      </c>
      <c r="J295" s="60">
        <f t="shared" si="38"/>
        <v>1.5714881562798747E-3</v>
      </c>
      <c r="M295" s="128"/>
    </row>
    <row r="296" spans="1:13" ht="24" customHeight="1" x14ac:dyDescent="0.2">
      <c r="A296" s="116" t="s">
        <v>674</v>
      </c>
      <c r="B296" s="1" t="s">
        <v>675</v>
      </c>
      <c r="C296" s="116" t="s">
        <v>20</v>
      </c>
      <c r="D296" s="116" t="s">
        <v>676</v>
      </c>
      <c r="E296" s="2" t="s">
        <v>37</v>
      </c>
      <c r="F296" s="1">
        <v>42</v>
      </c>
      <c r="G296" s="61">
        <v>13.13</v>
      </c>
      <c r="H296" s="61">
        <f t="shared" si="41"/>
        <v>16.62</v>
      </c>
      <c r="I296" s="61">
        <f t="shared" si="42"/>
        <v>698.04</v>
      </c>
      <c r="J296" s="60">
        <f t="shared" si="38"/>
        <v>4.656211793360543E-4</v>
      </c>
      <c r="M296" s="128"/>
    </row>
    <row r="297" spans="1:13" ht="24" customHeight="1" x14ac:dyDescent="0.2">
      <c r="A297" s="116" t="s">
        <v>677</v>
      </c>
      <c r="B297" s="1" t="s">
        <v>678</v>
      </c>
      <c r="C297" s="116" t="s">
        <v>20</v>
      </c>
      <c r="D297" s="116" t="s">
        <v>679</v>
      </c>
      <c r="E297" s="2" t="s">
        <v>37</v>
      </c>
      <c r="F297" s="1">
        <v>20</v>
      </c>
      <c r="G297" s="61">
        <v>140.97</v>
      </c>
      <c r="H297" s="61">
        <f t="shared" si="41"/>
        <v>178.4</v>
      </c>
      <c r="I297" s="61">
        <f t="shared" si="42"/>
        <v>3568</v>
      </c>
      <c r="J297" s="60">
        <f t="shared" si="38"/>
        <v>2.3800016730718037E-3</v>
      </c>
      <c r="M297" s="128"/>
    </row>
    <row r="298" spans="1:13" ht="24" customHeight="1" x14ac:dyDescent="0.2">
      <c r="A298" s="116" t="s">
        <v>680</v>
      </c>
      <c r="B298" s="1" t="s">
        <v>681</v>
      </c>
      <c r="C298" s="116" t="s">
        <v>25</v>
      </c>
      <c r="D298" s="116" t="s">
        <v>682</v>
      </c>
      <c r="E298" s="2" t="s">
        <v>92</v>
      </c>
      <c r="F298" s="1">
        <v>8</v>
      </c>
      <c r="G298" s="61">
        <v>38.840000000000003</v>
      </c>
      <c r="H298" s="61">
        <f t="shared" si="41"/>
        <v>49.15</v>
      </c>
      <c r="I298" s="61">
        <f t="shared" si="42"/>
        <v>393.2</v>
      </c>
      <c r="J298" s="60">
        <f t="shared" si="38"/>
        <v>2.6228045343380975E-4</v>
      </c>
      <c r="M298" s="128"/>
    </row>
    <row r="299" spans="1:13" ht="24" customHeight="1" x14ac:dyDescent="0.2">
      <c r="A299" s="116" t="s">
        <v>683</v>
      </c>
      <c r="B299" s="1" t="s">
        <v>684</v>
      </c>
      <c r="C299" s="116" t="s">
        <v>20</v>
      </c>
      <c r="D299" s="116" t="s">
        <v>685</v>
      </c>
      <c r="E299" s="2" t="s">
        <v>49</v>
      </c>
      <c r="F299" s="1">
        <v>1.1599999999999999</v>
      </c>
      <c r="G299" s="61">
        <v>2652.27</v>
      </c>
      <c r="H299" s="61">
        <f t="shared" si="41"/>
        <v>3356.45</v>
      </c>
      <c r="I299" s="61">
        <f t="shared" si="42"/>
        <v>3893.48</v>
      </c>
      <c r="J299" s="60">
        <f t="shared" si="38"/>
        <v>2.5971101216568405E-3</v>
      </c>
      <c r="M299" s="128"/>
    </row>
    <row r="300" spans="1:13" ht="24" customHeight="1" x14ac:dyDescent="0.2">
      <c r="A300" s="116" t="s">
        <v>1250</v>
      </c>
      <c r="B300" s="1" t="s">
        <v>1249</v>
      </c>
      <c r="C300" s="116" t="s">
        <v>25</v>
      </c>
      <c r="D300" s="116" t="s">
        <v>1248</v>
      </c>
      <c r="E300" s="2" t="s">
        <v>1247</v>
      </c>
      <c r="F300" s="1">
        <v>13</v>
      </c>
      <c r="G300" s="61">
        <v>130</v>
      </c>
      <c r="H300" s="61">
        <f t="shared" si="41"/>
        <v>164.52</v>
      </c>
      <c r="I300" s="61">
        <f t="shared" si="42"/>
        <v>2138.7600000000002</v>
      </c>
      <c r="J300" s="60">
        <f t="shared" si="38"/>
        <v>1.426640240554667E-3</v>
      </c>
      <c r="M300" s="128"/>
    </row>
    <row r="301" spans="1:13" ht="24" customHeight="1" x14ac:dyDescent="0.2">
      <c r="A301" s="116" t="s">
        <v>1246</v>
      </c>
      <c r="B301" s="1" t="s">
        <v>1245</v>
      </c>
      <c r="C301" s="116" t="s">
        <v>25</v>
      </c>
      <c r="D301" s="116" t="s">
        <v>1244</v>
      </c>
      <c r="E301" s="2" t="s">
        <v>92</v>
      </c>
      <c r="F301" s="1">
        <v>11.9</v>
      </c>
      <c r="G301" s="61">
        <v>4.72</v>
      </c>
      <c r="H301" s="61">
        <f t="shared" si="41"/>
        <v>5.97</v>
      </c>
      <c r="I301" s="61">
        <f t="shared" si="42"/>
        <v>71.040000000000006</v>
      </c>
      <c r="J301" s="60">
        <f t="shared" si="38"/>
        <v>4.7386580396586589E-5</v>
      </c>
      <c r="M301" s="128"/>
    </row>
    <row r="302" spans="1:13" ht="24" customHeight="1" x14ac:dyDescent="0.2">
      <c r="A302" s="123" t="s">
        <v>686</v>
      </c>
      <c r="B302" s="123"/>
      <c r="C302" s="123"/>
      <c r="D302" s="123" t="s">
        <v>687</v>
      </c>
      <c r="E302" s="123"/>
      <c r="F302" s="3"/>
      <c r="G302" s="123"/>
      <c r="H302" s="123"/>
      <c r="I302" s="63">
        <f>SUM(I303:I323)</f>
        <v>150236.24</v>
      </c>
      <c r="J302" s="62">
        <f t="shared" si="38"/>
        <v>0.10021370587332316</v>
      </c>
      <c r="M302" s="128"/>
    </row>
    <row r="303" spans="1:13" ht="24" customHeight="1" x14ac:dyDescent="0.2">
      <c r="A303" s="116" t="s">
        <v>688</v>
      </c>
      <c r="B303" s="1" t="s">
        <v>1608</v>
      </c>
      <c r="C303" s="116" t="s">
        <v>20</v>
      </c>
      <c r="D303" s="116" t="s">
        <v>1622</v>
      </c>
      <c r="E303" s="2" t="s">
        <v>22</v>
      </c>
      <c r="F303" s="1">
        <v>2.8</v>
      </c>
      <c r="G303" s="61">
        <v>947.9</v>
      </c>
      <c r="H303" s="61">
        <f t="shared" ref="H303:H323" si="43">ROUND(G303 * (1 + 26.55 / 100), 2)</f>
        <v>1199.57</v>
      </c>
      <c r="I303" s="61">
        <f t="shared" ref="I303:I323" si="44">ROUND(F303 * H303, 2)</f>
        <v>3358.8</v>
      </c>
      <c r="J303" s="60">
        <f t="shared" si="38"/>
        <v>2.2404567319264505E-3</v>
      </c>
      <c r="M303" s="128"/>
    </row>
    <row r="304" spans="1:13" ht="24" customHeight="1" x14ac:dyDescent="0.2">
      <c r="A304" s="116" t="s">
        <v>689</v>
      </c>
      <c r="B304" s="1" t="s">
        <v>1608</v>
      </c>
      <c r="C304" s="116" t="s">
        <v>20</v>
      </c>
      <c r="D304" s="116" t="s">
        <v>1621</v>
      </c>
      <c r="E304" s="2" t="s">
        <v>22</v>
      </c>
      <c r="F304" s="1">
        <v>4.3499999999999996</v>
      </c>
      <c r="G304" s="61">
        <v>947.9</v>
      </c>
      <c r="H304" s="61">
        <f t="shared" si="43"/>
        <v>1199.57</v>
      </c>
      <c r="I304" s="61">
        <f t="shared" si="44"/>
        <v>5218.13</v>
      </c>
      <c r="J304" s="60">
        <f t="shared" si="38"/>
        <v>3.4807057540095772E-3</v>
      </c>
      <c r="M304" s="128"/>
    </row>
    <row r="305" spans="1:13" ht="24" customHeight="1" x14ac:dyDescent="0.2">
      <c r="A305" s="116" t="s">
        <v>690</v>
      </c>
      <c r="B305" s="1" t="s">
        <v>1608</v>
      </c>
      <c r="C305" s="116" t="s">
        <v>20</v>
      </c>
      <c r="D305" s="116" t="s">
        <v>1620</v>
      </c>
      <c r="E305" s="2" t="s">
        <v>22</v>
      </c>
      <c r="F305" s="1">
        <v>4.3</v>
      </c>
      <c r="G305" s="61">
        <v>947.9</v>
      </c>
      <c r="H305" s="61">
        <f t="shared" si="43"/>
        <v>1199.57</v>
      </c>
      <c r="I305" s="61">
        <f t="shared" si="44"/>
        <v>5158.1499999999996</v>
      </c>
      <c r="J305" s="60">
        <f t="shared" si="38"/>
        <v>3.440696645166851E-3</v>
      </c>
      <c r="M305" s="128"/>
    </row>
    <row r="306" spans="1:13" ht="24" customHeight="1" x14ac:dyDescent="0.2">
      <c r="A306" s="116" t="s">
        <v>691</v>
      </c>
      <c r="B306" s="1" t="s">
        <v>1608</v>
      </c>
      <c r="C306" s="116" t="s">
        <v>20</v>
      </c>
      <c r="D306" s="116" t="s">
        <v>1619</v>
      </c>
      <c r="E306" s="2" t="s">
        <v>22</v>
      </c>
      <c r="F306" s="1">
        <v>4.0599999999999996</v>
      </c>
      <c r="G306" s="61">
        <v>947.9</v>
      </c>
      <c r="H306" s="61">
        <f t="shared" si="43"/>
        <v>1199.57</v>
      </c>
      <c r="I306" s="61">
        <f t="shared" si="44"/>
        <v>4870.25</v>
      </c>
      <c r="J306" s="60">
        <f t="shared" si="38"/>
        <v>3.2486555908850761E-3</v>
      </c>
      <c r="M306" s="128"/>
    </row>
    <row r="307" spans="1:13" ht="24" customHeight="1" x14ac:dyDescent="0.2">
      <c r="A307" s="116" t="s">
        <v>692</v>
      </c>
      <c r="B307" s="1" t="s">
        <v>1608</v>
      </c>
      <c r="C307" s="116" t="s">
        <v>20</v>
      </c>
      <c r="D307" s="116" t="s">
        <v>1618</v>
      </c>
      <c r="E307" s="2" t="s">
        <v>22</v>
      </c>
      <c r="F307" s="1">
        <v>2.08</v>
      </c>
      <c r="G307" s="61">
        <v>947.9</v>
      </c>
      <c r="H307" s="61">
        <f t="shared" si="43"/>
        <v>1199.57</v>
      </c>
      <c r="I307" s="61">
        <f t="shared" si="44"/>
        <v>2495.11</v>
      </c>
      <c r="J307" s="60">
        <f t="shared" si="38"/>
        <v>1.6643402394894025E-3</v>
      </c>
      <c r="M307" s="128"/>
    </row>
    <row r="308" spans="1:13" ht="24" customHeight="1" x14ac:dyDescent="0.2">
      <c r="A308" s="116" t="s">
        <v>693</v>
      </c>
      <c r="B308" s="1" t="s">
        <v>1608</v>
      </c>
      <c r="C308" s="116" t="s">
        <v>20</v>
      </c>
      <c r="D308" s="116" t="s">
        <v>1617</v>
      </c>
      <c r="E308" s="2" t="s">
        <v>22</v>
      </c>
      <c r="F308" s="1">
        <v>3.45</v>
      </c>
      <c r="G308" s="61">
        <v>947.9</v>
      </c>
      <c r="H308" s="61">
        <f t="shared" si="43"/>
        <v>1199.57</v>
      </c>
      <c r="I308" s="61">
        <f t="shared" si="44"/>
        <v>4138.5200000000004</v>
      </c>
      <c r="J308" s="60">
        <f t="shared" si="38"/>
        <v>2.7605618060653368E-3</v>
      </c>
      <c r="M308" s="128"/>
    </row>
    <row r="309" spans="1:13" ht="24" customHeight="1" x14ac:dyDescent="0.2">
      <c r="A309" s="116" t="s">
        <v>694</v>
      </c>
      <c r="B309" s="1" t="s">
        <v>1608</v>
      </c>
      <c r="C309" s="116" t="s">
        <v>20</v>
      </c>
      <c r="D309" s="116" t="s">
        <v>1616</v>
      </c>
      <c r="E309" s="2" t="s">
        <v>22</v>
      </c>
      <c r="F309" s="1">
        <v>8.0399999999999991</v>
      </c>
      <c r="G309" s="61">
        <v>947.9</v>
      </c>
      <c r="H309" s="61">
        <f t="shared" si="43"/>
        <v>1199.57</v>
      </c>
      <c r="I309" s="61">
        <f t="shared" si="44"/>
        <v>9644.5400000000009</v>
      </c>
      <c r="J309" s="60">
        <f t="shared" si="38"/>
        <v>6.4333019439484123E-3</v>
      </c>
      <c r="M309" s="128"/>
    </row>
    <row r="310" spans="1:13" ht="24" customHeight="1" x14ac:dyDescent="0.2">
      <c r="A310" s="116" t="s">
        <v>695</v>
      </c>
      <c r="B310" s="1" t="s">
        <v>1608</v>
      </c>
      <c r="C310" s="116" t="s">
        <v>20</v>
      </c>
      <c r="D310" s="116" t="s">
        <v>1615</v>
      </c>
      <c r="E310" s="2" t="s">
        <v>22</v>
      </c>
      <c r="F310" s="1">
        <v>4.3</v>
      </c>
      <c r="G310" s="61">
        <v>947.9</v>
      </c>
      <c r="H310" s="61">
        <f t="shared" si="43"/>
        <v>1199.57</v>
      </c>
      <c r="I310" s="61">
        <f t="shared" si="44"/>
        <v>5158.1499999999996</v>
      </c>
      <c r="J310" s="60">
        <f t="shared" si="38"/>
        <v>3.440696645166851E-3</v>
      </c>
      <c r="M310" s="128"/>
    </row>
    <row r="311" spans="1:13" ht="24" customHeight="1" x14ac:dyDescent="0.2">
      <c r="A311" s="116" t="s">
        <v>696</v>
      </c>
      <c r="B311" s="1" t="s">
        <v>1608</v>
      </c>
      <c r="C311" s="116" t="s">
        <v>20</v>
      </c>
      <c r="D311" s="116" t="s">
        <v>1614</v>
      </c>
      <c r="E311" s="2" t="s">
        <v>22</v>
      </c>
      <c r="F311" s="1">
        <v>1.9</v>
      </c>
      <c r="G311" s="61">
        <v>947.9</v>
      </c>
      <c r="H311" s="61">
        <f t="shared" si="43"/>
        <v>1199.57</v>
      </c>
      <c r="I311" s="61">
        <f t="shared" si="44"/>
        <v>2279.1799999999998</v>
      </c>
      <c r="J311" s="60">
        <f t="shared" si="38"/>
        <v>1.5203061135739332E-3</v>
      </c>
      <c r="M311" s="128"/>
    </row>
    <row r="312" spans="1:13" ht="24" customHeight="1" x14ac:dyDescent="0.2">
      <c r="A312" s="116" t="s">
        <v>697</v>
      </c>
      <c r="B312" s="1" t="s">
        <v>1608</v>
      </c>
      <c r="C312" s="116" t="s">
        <v>20</v>
      </c>
      <c r="D312" s="116" t="s">
        <v>1613</v>
      </c>
      <c r="E312" s="2" t="s">
        <v>22</v>
      </c>
      <c r="F312" s="1">
        <v>6.38</v>
      </c>
      <c r="G312" s="61">
        <v>947.9</v>
      </c>
      <c r="H312" s="61">
        <f t="shared" si="43"/>
        <v>1199.57</v>
      </c>
      <c r="I312" s="61">
        <f t="shared" si="44"/>
        <v>7653.26</v>
      </c>
      <c r="J312" s="60">
        <f t="shared" si="38"/>
        <v>5.1050368846562539E-3</v>
      </c>
      <c r="M312" s="128"/>
    </row>
    <row r="313" spans="1:13" ht="24" customHeight="1" x14ac:dyDescent="0.2">
      <c r="A313" s="116" t="s">
        <v>698</v>
      </c>
      <c r="B313" s="1" t="s">
        <v>1608</v>
      </c>
      <c r="C313" s="116" t="s">
        <v>20</v>
      </c>
      <c r="D313" s="116" t="s">
        <v>1612</v>
      </c>
      <c r="E313" s="2" t="s">
        <v>22</v>
      </c>
      <c r="F313" s="1">
        <v>5.89</v>
      </c>
      <c r="G313" s="61">
        <v>947.9</v>
      </c>
      <c r="H313" s="61">
        <f t="shared" si="43"/>
        <v>1199.57</v>
      </c>
      <c r="I313" s="61">
        <f t="shared" si="44"/>
        <v>7065.47</v>
      </c>
      <c r="J313" s="60">
        <f t="shared" si="38"/>
        <v>4.712956956569125E-3</v>
      </c>
      <c r="M313" s="128"/>
    </row>
    <row r="314" spans="1:13" ht="24" customHeight="1" x14ac:dyDescent="0.2">
      <c r="A314" s="116" t="s">
        <v>699</v>
      </c>
      <c r="B314" s="1" t="s">
        <v>1608</v>
      </c>
      <c r="C314" s="116" t="s">
        <v>20</v>
      </c>
      <c r="D314" s="116" t="s">
        <v>1611</v>
      </c>
      <c r="E314" s="2" t="s">
        <v>22</v>
      </c>
      <c r="F314" s="1">
        <v>5.42</v>
      </c>
      <c r="G314" s="61">
        <v>947.9</v>
      </c>
      <c r="H314" s="61">
        <f t="shared" si="43"/>
        <v>1199.57</v>
      </c>
      <c r="I314" s="61">
        <f t="shared" si="44"/>
        <v>6501.67</v>
      </c>
      <c r="J314" s="60">
        <f t="shared" si="38"/>
        <v>4.3368793379374316E-3</v>
      </c>
      <c r="M314" s="128"/>
    </row>
    <row r="315" spans="1:13" ht="24" customHeight="1" x14ac:dyDescent="0.2">
      <c r="A315" s="116" t="s">
        <v>700</v>
      </c>
      <c r="B315" s="1" t="s">
        <v>1608</v>
      </c>
      <c r="C315" s="116" t="s">
        <v>20</v>
      </c>
      <c r="D315" s="116" t="s">
        <v>1610</v>
      </c>
      <c r="E315" s="2" t="s">
        <v>22</v>
      </c>
      <c r="F315" s="1">
        <v>11.4</v>
      </c>
      <c r="G315" s="61">
        <v>947.9</v>
      </c>
      <c r="H315" s="61">
        <f t="shared" si="43"/>
        <v>1199.57</v>
      </c>
      <c r="I315" s="61">
        <f t="shared" si="44"/>
        <v>13675.1</v>
      </c>
      <c r="J315" s="60">
        <f t="shared" si="38"/>
        <v>9.1218500222601528E-3</v>
      </c>
      <c r="M315" s="128"/>
    </row>
    <row r="316" spans="1:13" ht="24" customHeight="1" x14ac:dyDescent="0.2">
      <c r="A316" s="116" t="s">
        <v>701</v>
      </c>
      <c r="B316" s="1" t="s">
        <v>1608</v>
      </c>
      <c r="C316" s="116" t="s">
        <v>20</v>
      </c>
      <c r="D316" s="116" t="s">
        <v>1609</v>
      </c>
      <c r="E316" s="2" t="s">
        <v>22</v>
      </c>
      <c r="F316" s="1">
        <v>5.39</v>
      </c>
      <c r="G316" s="61">
        <v>947.9</v>
      </c>
      <c r="H316" s="61">
        <f t="shared" si="43"/>
        <v>1199.57</v>
      </c>
      <c r="I316" s="61">
        <f t="shared" si="44"/>
        <v>6465.68</v>
      </c>
      <c r="J316" s="60">
        <f t="shared" si="38"/>
        <v>4.31287253855014E-3</v>
      </c>
      <c r="M316" s="128"/>
    </row>
    <row r="317" spans="1:13" ht="36" customHeight="1" x14ac:dyDescent="0.2">
      <c r="A317" s="116" t="s">
        <v>702</v>
      </c>
      <c r="B317" s="1" t="s">
        <v>1608</v>
      </c>
      <c r="C317" s="116" t="s">
        <v>20</v>
      </c>
      <c r="D317" s="116" t="s">
        <v>1607</v>
      </c>
      <c r="E317" s="2" t="s">
        <v>22</v>
      </c>
      <c r="F317" s="1">
        <v>4.09</v>
      </c>
      <c r="G317" s="61">
        <v>947.9</v>
      </c>
      <c r="H317" s="61">
        <f t="shared" si="43"/>
        <v>1199.57</v>
      </c>
      <c r="I317" s="61">
        <f t="shared" si="44"/>
        <v>4906.24</v>
      </c>
      <c r="J317" s="60">
        <f t="shared" si="38"/>
        <v>3.2726623902723673E-3</v>
      </c>
      <c r="M317" s="128"/>
    </row>
    <row r="318" spans="1:13" ht="24" customHeight="1" x14ac:dyDescent="0.2">
      <c r="A318" s="116" t="s">
        <v>703</v>
      </c>
      <c r="B318" s="1" t="s">
        <v>704</v>
      </c>
      <c r="C318" s="116" t="s">
        <v>25</v>
      </c>
      <c r="D318" s="116" t="s">
        <v>705</v>
      </c>
      <c r="E318" s="2" t="s">
        <v>22</v>
      </c>
      <c r="F318" s="1">
        <v>4.96</v>
      </c>
      <c r="G318" s="61">
        <v>650.78</v>
      </c>
      <c r="H318" s="61">
        <f t="shared" si="43"/>
        <v>823.56</v>
      </c>
      <c r="I318" s="61">
        <f t="shared" si="44"/>
        <v>4084.86</v>
      </c>
      <c r="J318" s="60">
        <f t="shared" si="38"/>
        <v>2.724768395253388E-3</v>
      </c>
      <c r="M318" s="128"/>
    </row>
    <row r="319" spans="1:13" ht="24" customHeight="1" x14ac:dyDescent="0.2">
      <c r="A319" s="116" t="s">
        <v>706</v>
      </c>
      <c r="B319" s="1" t="s">
        <v>704</v>
      </c>
      <c r="C319" s="116" t="s">
        <v>25</v>
      </c>
      <c r="D319" s="116" t="s">
        <v>707</v>
      </c>
      <c r="E319" s="2" t="s">
        <v>22</v>
      </c>
      <c r="F319" s="1">
        <v>6.24</v>
      </c>
      <c r="G319" s="61">
        <v>650.78</v>
      </c>
      <c r="H319" s="61">
        <f t="shared" si="43"/>
        <v>823.56</v>
      </c>
      <c r="I319" s="61">
        <f t="shared" si="44"/>
        <v>5139.01</v>
      </c>
      <c r="J319" s="60">
        <f t="shared" si="38"/>
        <v>3.4279294837255411E-3</v>
      </c>
      <c r="M319" s="128"/>
    </row>
    <row r="320" spans="1:13" ht="24" customHeight="1" x14ac:dyDescent="0.2">
      <c r="A320" s="116" t="s">
        <v>708</v>
      </c>
      <c r="B320" s="1" t="s">
        <v>704</v>
      </c>
      <c r="C320" s="116" t="s">
        <v>25</v>
      </c>
      <c r="D320" s="116" t="s">
        <v>709</v>
      </c>
      <c r="E320" s="2" t="s">
        <v>22</v>
      </c>
      <c r="F320" s="1">
        <v>7.98</v>
      </c>
      <c r="G320" s="61">
        <v>650.78</v>
      </c>
      <c r="H320" s="61">
        <f t="shared" si="43"/>
        <v>823.56</v>
      </c>
      <c r="I320" s="61">
        <f t="shared" si="44"/>
        <v>6572.01</v>
      </c>
      <c r="J320" s="60">
        <f t="shared" si="38"/>
        <v>4.3837989897546597E-3</v>
      </c>
      <c r="M320" s="128"/>
    </row>
    <row r="321" spans="1:13" ht="24" customHeight="1" x14ac:dyDescent="0.2">
      <c r="A321" s="116" t="s">
        <v>710</v>
      </c>
      <c r="B321" s="1" t="s">
        <v>1243</v>
      </c>
      <c r="C321" s="116" t="s">
        <v>25</v>
      </c>
      <c r="D321" s="116" t="s">
        <v>1242</v>
      </c>
      <c r="E321" s="2" t="s">
        <v>22</v>
      </c>
      <c r="F321" s="1">
        <v>95.16</v>
      </c>
      <c r="G321" s="61">
        <v>196.58</v>
      </c>
      <c r="H321" s="61">
        <f t="shared" si="43"/>
        <v>248.77</v>
      </c>
      <c r="I321" s="61">
        <f t="shared" si="44"/>
        <v>23672.95</v>
      </c>
      <c r="J321" s="60">
        <f t="shared" si="38"/>
        <v>1.5790824161027232E-2</v>
      </c>
      <c r="M321" s="128"/>
    </row>
    <row r="322" spans="1:13" ht="24" customHeight="1" x14ac:dyDescent="0.2">
      <c r="A322" s="116" t="s">
        <v>711</v>
      </c>
      <c r="B322" s="1" t="s">
        <v>684</v>
      </c>
      <c r="C322" s="116" t="s">
        <v>20</v>
      </c>
      <c r="D322" s="116" t="s">
        <v>685</v>
      </c>
      <c r="E322" s="2" t="s">
        <v>49</v>
      </c>
      <c r="F322" s="1">
        <v>3.46</v>
      </c>
      <c r="G322" s="61">
        <v>2652.27</v>
      </c>
      <c r="H322" s="61">
        <f t="shared" si="43"/>
        <v>3356.45</v>
      </c>
      <c r="I322" s="61">
        <f t="shared" si="44"/>
        <v>11613.32</v>
      </c>
      <c r="J322" s="60">
        <f t="shared" si="38"/>
        <v>7.7465585846183405E-3</v>
      </c>
      <c r="M322" s="128"/>
    </row>
    <row r="323" spans="1:13" ht="48" customHeight="1" x14ac:dyDescent="0.2">
      <c r="A323" s="116" t="s">
        <v>712</v>
      </c>
      <c r="B323" s="1" t="s">
        <v>713</v>
      </c>
      <c r="C323" s="116" t="s">
        <v>25</v>
      </c>
      <c r="D323" s="116" t="s">
        <v>714</v>
      </c>
      <c r="E323" s="2" t="s">
        <v>92</v>
      </c>
      <c r="F323" s="1">
        <v>61.85</v>
      </c>
      <c r="G323" s="61">
        <v>134.99</v>
      </c>
      <c r="H323" s="61">
        <f t="shared" si="43"/>
        <v>170.83</v>
      </c>
      <c r="I323" s="61">
        <f t="shared" si="44"/>
        <v>10565.84</v>
      </c>
      <c r="J323" s="60">
        <f t="shared" si="38"/>
        <v>7.047846658466644E-3</v>
      </c>
      <c r="M323" s="128"/>
    </row>
    <row r="324" spans="1:13" ht="24" customHeight="1" x14ac:dyDescent="0.2">
      <c r="A324" s="123" t="s">
        <v>715</v>
      </c>
      <c r="B324" s="123"/>
      <c r="C324" s="123"/>
      <c r="D324" s="123" t="s">
        <v>716</v>
      </c>
      <c r="E324" s="123"/>
      <c r="F324" s="3"/>
      <c r="G324" s="123"/>
      <c r="H324" s="123"/>
      <c r="I324" s="63">
        <f>SUM(I325:I326)</f>
        <v>40963.160000000003</v>
      </c>
      <c r="J324" s="62">
        <f t="shared" si="38"/>
        <v>2.7324100149749998E-2</v>
      </c>
      <c r="M324" s="128"/>
    </row>
    <row r="325" spans="1:13" ht="24" customHeight="1" x14ac:dyDescent="0.2">
      <c r="A325" s="116" t="s">
        <v>717</v>
      </c>
      <c r="B325" s="1" t="s">
        <v>704</v>
      </c>
      <c r="C325" s="116" t="s">
        <v>25</v>
      </c>
      <c r="D325" s="116" t="s">
        <v>718</v>
      </c>
      <c r="E325" s="2" t="s">
        <v>22</v>
      </c>
      <c r="F325" s="1">
        <v>35.04</v>
      </c>
      <c r="G325" s="61">
        <v>650.78</v>
      </c>
      <c r="H325" s="61">
        <f>ROUND(G325 * (1 + 26.55 / 100), 2)</f>
        <v>823.56</v>
      </c>
      <c r="I325" s="61">
        <f>ROUND(F325 * H325, 2)</f>
        <v>28857.54</v>
      </c>
      <c r="J325" s="60">
        <f t="shared" ref="J325:J356" si="45">I325 / 1499158.61</f>
        <v>1.9249157365677269E-2</v>
      </c>
      <c r="M325" s="128"/>
    </row>
    <row r="326" spans="1:13" ht="24" customHeight="1" x14ac:dyDescent="0.2">
      <c r="A326" s="116" t="s">
        <v>719</v>
      </c>
      <c r="B326" s="1" t="s">
        <v>534</v>
      </c>
      <c r="C326" s="116" t="s">
        <v>20</v>
      </c>
      <c r="D326" s="116" t="s">
        <v>535</v>
      </c>
      <c r="E326" s="2" t="s">
        <v>22</v>
      </c>
      <c r="F326" s="1">
        <v>35.04</v>
      </c>
      <c r="G326" s="61">
        <v>273</v>
      </c>
      <c r="H326" s="61">
        <f>ROUND(G326 * (1 + 26.55 / 100), 2)</f>
        <v>345.48</v>
      </c>
      <c r="I326" s="61">
        <f>ROUND(F326 * H326, 2)</f>
        <v>12105.62</v>
      </c>
      <c r="J326" s="60">
        <f t="shared" si="45"/>
        <v>8.0749427840727268E-3</v>
      </c>
      <c r="M326" s="128"/>
    </row>
    <row r="327" spans="1:13" ht="24" customHeight="1" x14ac:dyDescent="0.2">
      <c r="A327" s="123" t="s">
        <v>720</v>
      </c>
      <c r="B327" s="123"/>
      <c r="C327" s="123"/>
      <c r="D327" s="123" t="s">
        <v>721</v>
      </c>
      <c r="E327" s="123"/>
      <c r="F327" s="3"/>
      <c r="G327" s="123"/>
      <c r="H327" s="123"/>
      <c r="I327" s="63">
        <f>SUM(I328:I329)</f>
        <v>41864.590000000004</v>
      </c>
      <c r="J327" s="62">
        <f t="shared" si="45"/>
        <v>2.7925390763022733E-2</v>
      </c>
      <c r="M327" s="128"/>
    </row>
    <row r="328" spans="1:13" ht="24" customHeight="1" x14ac:dyDescent="0.2">
      <c r="A328" s="116" t="s">
        <v>722</v>
      </c>
      <c r="B328" s="1" t="s">
        <v>723</v>
      </c>
      <c r="C328" s="116" t="s">
        <v>25</v>
      </c>
      <c r="D328" s="116" t="s">
        <v>724</v>
      </c>
      <c r="E328" s="2" t="s">
        <v>22</v>
      </c>
      <c r="F328" s="1">
        <v>51.25</v>
      </c>
      <c r="G328" s="61">
        <v>606.41</v>
      </c>
      <c r="H328" s="61">
        <f>ROUND(G328 * (1 + 26.55 / 100), 2)</f>
        <v>767.41</v>
      </c>
      <c r="I328" s="61">
        <f>ROUND(F328 * H328, 2)</f>
        <v>39329.760000000002</v>
      </c>
      <c r="J328" s="60">
        <f t="shared" si="45"/>
        <v>2.6234555661858887E-2</v>
      </c>
      <c r="M328" s="128"/>
    </row>
    <row r="329" spans="1:13" ht="24" customHeight="1" x14ac:dyDescent="0.2">
      <c r="A329" s="116" t="s">
        <v>1241</v>
      </c>
      <c r="B329" s="1" t="s">
        <v>1209</v>
      </c>
      <c r="C329" s="116" t="s">
        <v>25</v>
      </c>
      <c r="D329" s="116" t="s">
        <v>1208</v>
      </c>
      <c r="E329" s="2" t="s">
        <v>22</v>
      </c>
      <c r="F329" s="1">
        <v>51.25</v>
      </c>
      <c r="G329" s="61">
        <v>39.08</v>
      </c>
      <c r="H329" s="61">
        <f>ROUND(G329 * (1 + 26.55 / 100), 2)</f>
        <v>49.46</v>
      </c>
      <c r="I329" s="61">
        <f>ROUND(F329 * H329, 2)</f>
        <v>2534.83</v>
      </c>
      <c r="J329" s="60">
        <f t="shared" si="45"/>
        <v>1.6908351011638454E-3</v>
      </c>
      <c r="M329" s="128"/>
    </row>
    <row r="330" spans="1:13" ht="24" customHeight="1" x14ac:dyDescent="0.2">
      <c r="A330" s="123" t="s">
        <v>725</v>
      </c>
      <c r="B330" s="123"/>
      <c r="C330" s="123"/>
      <c r="D330" s="123" t="s">
        <v>726</v>
      </c>
      <c r="E330" s="123"/>
      <c r="F330" s="3"/>
      <c r="G330" s="123"/>
      <c r="H330" s="123"/>
      <c r="I330" s="63">
        <f>I331</f>
        <v>58302.35</v>
      </c>
      <c r="J330" s="62">
        <f t="shared" si="45"/>
        <v>3.8890047798211286E-2</v>
      </c>
      <c r="M330" s="128"/>
    </row>
    <row r="331" spans="1:13" ht="24" customHeight="1" x14ac:dyDescent="0.2">
      <c r="A331" s="123" t="s">
        <v>727</v>
      </c>
      <c r="B331" s="123"/>
      <c r="C331" s="123"/>
      <c r="D331" s="123" t="s">
        <v>728</v>
      </c>
      <c r="E331" s="123"/>
      <c r="F331" s="3"/>
      <c r="G331" s="123"/>
      <c r="H331" s="123"/>
      <c r="I331" s="63">
        <f>SUM(I332:I333)</f>
        <v>58302.35</v>
      </c>
      <c r="J331" s="62">
        <f t="shared" si="45"/>
        <v>3.8890047798211286E-2</v>
      </c>
      <c r="M331" s="128"/>
    </row>
    <row r="332" spans="1:13" ht="24" customHeight="1" x14ac:dyDescent="0.2">
      <c r="A332" s="116" t="s">
        <v>729</v>
      </c>
      <c r="B332" s="1" t="s">
        <v>1240</v>
      </c>
      <c r="C332" s="116" t="s">
        <v>20</v>
      </c>
      <c r="D332" s="116" t="s">
        <v>1239</v>
      </c>
      <c r="E332" s="2" t="s">
        <v>22</v>
      </c>
      <c r="F332" s="1">
        <v>568.65</v>
      </c>
      <c r="G332" s="61">
        <v>59.22</v>
      </c>
      <c r="H332" s="61">
        <f>ROUND(G332 * (1 + 26.55 / 100), 2)</f>
        <v>74.94</v>
      </c>
      <c r="I332" s="61">
        <f>ROUND(F332 * H332, 2)</f>
        <v>42614.63</v>
      </c>
      <c r="J332" s="60">
        <f t="shared" si="45"/>
        <v>2.8425698065396826E-2</v>
      </c>
      <c r="M332" s="128"/>
    </row>
    <row r="333" spans="1:13" ht="24" customHeight="1" x14ac:dyDescent="0.2">
      <c r="A333" s="116" t="s">
        <v>730</v>
      </c>
      <c r="B333" s="1" t="s">
        <v>1238</v>
      </c>
      <c r="C333" s="116" t="s">
        <v>20</v>
      </c>
      <c r="D333" s="116" t="s">
        <v>1237</v>
      </c>
      <c r="E333" s="2" t="s">
        <v>213</v>
      </c>
      <c r="F333" s="1">
        <v>663.89</v>
      </c>
      <c r="G333" s="61">
        <v>18.670000000000002</v>
      </c>
      <c r="H333" s="61">
        <f>ROUND(G333 * (1 + 26.55 / 100), 2)</f>
        <v>23.63</v>
      </c>
      <c r="I333" s="61">
        <f>ROUND(F333 * H333, 2)</f>
        <v>15687.72</v>
      </c>
      <c r="J333" s="60">
        <f t="shared" si="45"/>
        <v>1.0464349732814461E-2</v>
      </c>
      <c r="M333" s="128"/>
    </row>
    <row r="334" spans="1:13" ht="24" customHeight="1" x14ac:dyDescent="0.2">
      <c r="A334" s="123" t="s">
        <v>731</v>
      </c>
      <c r="B334" s="123"/>
      <c r="C334" s="123"/>
      <c r="D334" s="123" t="s">
        <v>1236</v>
      </c>
      <c r="E334" s="123"/>
      <c r="F334" s="3"/>
      <c r="G334" s="123"/>
      <c r="H334" s="123"/>
      <c r="I334" s="63">
        <f>SUM(I335:I344)</f>
        <v>1942.82</v>
      </c>
      <c r="J334" s="62">
        <f t="shared" si="45"/>
        <v>1.2959402607840139E-3</v>
      </c>
      <c r="M334" s="128"/>
    </row>
    <row r="335" spans="1:13" ht="24" customHeight="1" x14ac:dyDescent="0.2">
      <c r="A335" s="116" t="s">
        <v>733</v>
      </c>
      <c r="B335" s="1" t="s">
        <v>1235</v>
      </c>
      <c r="C335" s="116" t="s">
        <v>20</v>
      </c>
      <c r="D335" s="116" t="s">
        <v>1234</v>
      </c>
      <c r="E335" s="2" t="s">
        <v>22</v>
      </c>
      <c r="F335" s="1">
        <v>0.63</v>
      </c>
      <c r="G335" s="61">
        <v>85.09</v>
      </c>
      <c r="H335" s="61">
        <f t="shared" ref="H335:H344" si="46">ROUND(G335 * (1 + 26.55 / 100), 2)</f>
        <v>107.68</v>
      </c>
      <c r="I335" s="61">
        <f t="shared" ref="I335:I344" si="47">ROUND(F335 * H335, 2)</f>
        <v>67.84</v>
      </c>
      <c r="J335" s="60">
        <f t="shared" si="45"/>
        <v>4.52520497480917E-5</v>
      </c>
      <c r="M335" s="128"/>
    </row>
    <row r="336" spans="1:13" ht="24" customHeight="1" x14ac:dyDescent="0.2">
      <c r="A336" s="116" t="s">
        <v>736</v>
      </c>
      <c r="B336" s="1" t="s">
        <v>539</v>
      </c>
      <c r="C336" s="116" t="s">
        <v>20</v>
      </c>
      <c r="D336" s="116" t="s">
        <v>540</v>
      </c>
      <c r="E336" s="2" t="s">
        <v>22</v>
      </c>
      <c r="F336" s="1">
        <v>1.26</v>
      </c>
      <c r="G336" s="61">
        <v>4.8</v>
      </c>
      <c r="H336" s="61">
        <f t="shared" si="46"/>
        <v>6.07</v>
      </c>
      <c r="I336" s="61">
        <f t="shared" si="47"/>
        <v>7.65</v>
      </c>
      <c r="J336" s="60">
        <f t="shared" si="45"/>
        <v>5.1028623315580996E-6</v>
      </c>
      <c r="M336" s="128"/>
    </row>
    <row r="337" spans="1:13" ht="24" customHeight="1" x14ac:dyDescent="0.2">
      <c r="A337" s="116" t="s">
        <v>737</v>
      </c>
      <c r="B337" s="1" t="s">
        <v>542</v>
      </c>
      <c r="C337" s="116" t="s">
        <v>20</v>
      </c>
      <c r="D337" s="116" t="s">
        <v>543</v>
      </c>
      <c r="E337" s="2" t="s">
        <v>22</v>
      </c>
      <c r="F337" s="1">
        <v>1.26</v>
      </c>
      <c r="G337" s="61">
        <v>13.65</v>
      </c>
      <c r="H337" s="61">
        <f t="shared" si="46"/>
        <v>17.27</v>
      </c>
      <c r="I337" s="61">
        <f t="shared" si="47"/>
        <v>21.76</v>
      </c>
      <c r="J337" s="60">
        <f t="shared" si="45"/>
        <v>1.4514808409765262E-5</v>
      </c>
      <c r="M337" s="128"/>
    </row>
    <row r="338" spans="1:13" ht="24" customHeight="1" x14ac:dyDescent="0.2">
      <c r="A338" s="116" t="s">
        <v>740</v>
      </c>
      <c r="B338" s="1" t="s">
        <v>1233</v>
      </c>
      <c r="C338" s="116" t="s">
        <v>20</v>
      </c>
      <c r="D338" s="116" t="s">
        <v>1232</v>
      </c>
      <c r="E338" s="2" t="s">
        <v>22</v>
      </c>
      <c r="F338" s="1">
        <v>24.15</v>
      </c>
      <c r="G338" s="61">
        <v>11.32</v>
      </c>
      <c r="H338" s="61">
        <f t="shared" si="46"/>
        <v>14.33</v>
      </c>
      <c r="I338" s="61">
        <f t="shared" si="47"/>
        <v>346.07</v>
      </c>
      <c r="J338" s="60">
        <f t="shared" si="45"/>
        <v>2.3084281922644594E-4</v>
      </c>
      <c r="M338" s="128"/>
    </row>
    <row r="339" spans="1:13" ht="24" customHeight="1" x14ac:dyDescent="0.2">
      <c r="A339" s="116" t="s">
        <v>743</v>
      </c>
      <c r="B339" s="1" t="s">
        <v>1231</v>
      </c>
      <c r="C339" s="116" t="s">
        <v>20</v>
      </c>
      <c r="D339" s="116" t="s">
        <v>1230</v>
      </c>
      <c r="E339" s="2" t="s">
        <v>22</v>
      </c>
      <c r="F339" s="1">
        <v>24.15</v>
      </c>
      <c r="G339" s="61">
        <v>10.61</v>
      </c>
      <c r="H339" s="61">
        <f t="shared" si="46"/>
        <v>13.43</v>
      </c>
      <c r="I339" s="61">
        <f t="shared" si="47"/>
        <v>324.33</v>
      </c>
      <c r="J339" s="60">
        <f t="shared" si="45"/>
        <v>2.1634135163323376E-4</v>
      </c>
      <c r="M339" s="128"/>
    </row>
    <row r="340" spans="1:13" ht="24" customHeight="1" x14ac:dyDescent="0.2">
      <c r="A340" s="116" t="s">
        <v>746</v>
      </c>
      <c r="B340" s="1" t="s">
        <v>1229</v>
      </c>
      <c r="C340" s="116" t="s">
        <v>249</v>
      </c>
      <c r="D340" s="116" t="s">
        <v>1228</v>
      </c>
      <c r="E340" s="2" t="s">
        <v>22</v>
      </c>
      <c r="F340" s="1">
        <v>16.899999999999999</v>
      </c>
      <c r="G340" s="61">
        <v>13.21</v>
      </c>
      <c r="H340" s="61">
        <f t="shared" si="46"/>
        <v>16.72</v>
      </c>
      <c r="I340" s="61">
        <f t="shared" si="47"/>
        <v>282.57</v>
      </c>
      <c r="J340" s="60">
        <f t="shared" si="45"/>
        <v>1.8848572667037544E-4</v>
      </c>
      <c r="M340" s="128"/>
    </row>
    <row r="341" spans="1:13" ht="24" customHeight="1" x14ac:dyDescent="0.2">
      <c r="A341" s="116" t="s">
        <v>749</v>
      </c>
      <c r="B341" s="1" t="s">
        <v>1227</v>
      </c>
      <c r="C341" s="116" t="s">
        <v>249</v>
      </c>
      <c r="D341" s="116" t="s">
        <v>1226</v>
      </c>
      <c r="E341" s="2" t="s">
        <v>22</v>
      </c>
      <c r="F341" s="1">
        <v>1</v>
      </c>
      <c r="G341" s="61">
        <v>259.60000000000002</v>
      </c>
      <c r="H341" s="61">
        <f t="shared" si="46"/>
        <v>328.52</v>
      </c>
      <c r="I341" s="61">
        <f t="shared" si="47"/>
        <v>328.52</v>
      </c>
      <c r="J341" s="60">
        <f t="shared" si="45"/>
        <v>2.1913625270110677E-4</v>
      </c>
      <c r="M341" s="128"/>
    </row>
    <row r="342" spans="1:13" ht="60" customHeight="1" x14ac:dyDescent="0.2">
      <c r="A342" s="116" t="s">
        <v>1225</v>
      </c>
      <c r="B342" s="1" t="s">
        <v>1224</v>
      </c>
      <c r="C342" s="116" t="s">
        <v>20</v>
      </c>
      <c r="D342" s="116" t="s">
        <v>1223</v>
      </c>
      <c r="E342" s="2" t="s">
        <v>37</v>
      </c>
      <c r="F342" s="1">
        <v>2</v>
      </c>
      <c r="G342" s="61">
        <v>98.42</v>
      </c>
      <c r="H342" s="61">
        <f t="shared" si="46"/>
        <v>124.55</v>
      </c>
      <c r="I342" s="61">
        <f t="shared" si="47"/>
        <v>249.1</v>
      </c>
      <c r="J342" s="60">
        <f t="shared" si="45"/>
        <v>1.661598701687742E-4</v>
      </c>
      <c r="M342" s="128"/>
    </row>
    <row r="343" spans="1:13" ht="48" customHeight="1" x14ac:dyDescent="0.2">
      <c r="A343" s="116" t="s">
        <v>1222</v>
      </c>
      <c r="B343" s="1" t="s">
        <v>1221</v>
      </c>
      <c r="C343" s="116" t="s">
        <v>20</v>
      </c>
      <c r="D343" s="116" t="s">
        <v>1220</v>
      </c>
      <c r="E343" s="2" t="s">
        <v>92</v>
      </c>
      <c r="F343" s="1">
        <v>12</v>
      </c>
      <c r="G343" s="61">
        <v>8.01</v>
      </c>
      <c r="H343" s="61">
        <f t="shared" si="46"/>
        <v>10.14</v>
      </c>
      <c r="I343" s="61">
        <f t="shared" si="47"/>
        <v>121.68</v>
      </c>
      <c r="J343" s="60">
        <f t="shared" si="45"/>
        <v>8.1165527909018244E-5</v>
      </c>
      <c r="M343" s="128"/>
    </row>
    <row r="344" spans="1:13" ht="24" customHeight="1" x14ac:dyDescent="0.2">
      <c r="A344" s="116" t="s">
        <v>1219</v>
      </c>
      <c r="B344" s="1" t="s">
        <v>1218</v>
      </c>
      <c r="C344" s="116" t="s">
        <v>20</v>
      </c>
      <c r="D344" s="116" t="s">
        <v>1217</v>
      </c>
      <c r="E344" s="2" t="s">
        <v>37</v>
      </c>
      <c r="F344" s="1">
        <v>2</v>
      </c>
      <c r="G344" s="61">
        <v>76.37</v>
      </c>
      <c r="H344" s="61">
        <f t="shared" si="46"/>
        <v>96.65</v>
      </c>
      <c r="I344" s="61">
        <f t="shared" si="47"/>
        <v>193.3</v>
      </c>
      <c r="J344" s="60">
        <f t="shared" si="45"/>
        <v>1.2893899198564452E-4</v>
      </c>
      <c r="M344" s="128"/>
    </row>
    <row r="345" spans="1:13" ht="24" customHeight="1" x14ac:dyDescent="0.2">
      <c r="A345" s="123" t="s">
        <v>1216</v>
      </c>
      <c r="B345" s="123"/>
      <c r="C345" s="123"/>
      <c r="D345" s="123" t="s">
        <v>732</v>
      </c>
      <c r="E345" s="123"/>
      <c r="F345" s="3"/>
      <c r="G345" s="123"/>
      <c r="H345" s="123"/>
      <c r="I345" s="63">
        <f>SUM(I346:I356)</f>
        <v>139174.66</v>
      </c>
      <c r="J345" s="62">
        <f t="shared" si="45"/>
        <v>9.2835180394955003E-2</v>
      </c>
      <c r="M345" s="128"/>
    </row>
    <row r="346" spans="1:13" ht="24" customHeight="1" x14ac:dyDescent="0.2">
      <c r="A346" s="116" t="s">
        <v>1215</v>
      </c>
      <c r="B346" s="1" t="s">
        <v>734</v>
      </c>
      <c r="C346" s="116" t="s">
        <v>20</v>
      </c>
      <c r="D346" s="116" t="s">
        <v>735</v>
      </c>
      <c r="E346" s="2" t="s">
        <v>22</v>
      </c>
      <c r="F346" s="1">
        <v>48.32</v>
      </c>
      <c r="G346" s="61">
        <v>456.13</v>
      </c>
      <c r="H346" s="61">
        <f t="shared" ref="H346:H356" si="48">ROUND(G346 * (1 + 26.55 / 100), 2)</f>
        <v>577.23</v>
      </c>
      <c r="I346" s="61">
        <f t="shared" ref="I346:I356" si="49">ROUND(F346 * H346, 2)</f>
        <v>27891.75</v>
      </c>
      <c r="J346" s="60">
        <f t="shared" si="45"/>
        <v>1.8604936004736682E-2</v>
      </c>
      <c r="M346" s="128"/>
    </row>
    <row r="347" spans="1:13" ht="24" customHeight="1" x14ac:dyDescent="0.2">
      <c r="A347" s="116" t="s">
        <v>1214</v>
      </c>
      <c r="B347" s="1" t="s">
        <v>1213</v>
      </c>
      <c r="C347" s="116" t="s">
        <v>244</v>
      </c>
      <c r="D347" s="116" t="s">
        <v>1212</v>
      </c>
      <c r="E347" s="2" t="s">
        <v>213</v>
      </c>
      <c r="F347" s="1">
        <v>238.9</v>
      </c>
      <c r="G347" s="61">
        <v>181.71</v>
      </c>
      <c r="H347" s="61">
        <f t="shared" si="48"/>
        <v>229.95</v>
      </c>
      <c r="I347" s="61">
        <f t="shared" si="49"/>
        <v>54935.06</v>
      </c>
      <c r="J347" s="60">
        <f t="shared" si="45"/>
        <v>3.6643927889658048E-2</v>
      </c>
      <c r="M347" s="128"/>
    </row>
    <row r="348" spans="1:13" ht="24" customHeight="1" x14ac:dyDescent="0.2">
      <c r="A348" s="116" t="s">
        <v>1211</v>
      </c>
      <c r="B348" s="1" t="s">
        <v>738</v>
      </c>
      <c r="C348" s="116" t="s">
        <v>25</v>
      </c>
      <c r="D348" s="116" t="s">
        <v>739</v>
      </c>
      <c r="E348" s="2" t="s">
        <v>92</v>
      </c>
      <c r="F348" s="1">
        <v>25.5</v>
      </c>
      <c r="G348" s="61">
        <v>574.05999999999995</v>
      </c>
      <c r="H348" s="61">
        <f t="shared" si="48"/>
        <v>726.47</v>
      </c>
      <c r="I348" s="61">
        <f t="shared" si="49"/>
        <v>18524.990000000002</v>
      </c>
      <c r="J348" s="60">
        <f t="shared" si="45"/>
        <v>1.235692466189418E-2</v>
      </c>
      <c r="M348" s="128"/>
    </row>
    <row r="349" spans="1:13" ht="24" customHeight="1" x14ac:dyDescent="0.2">
      <c r="A349" s="116" t="s">
        <v>1210</v>
      </c>
      <c r="B349" s="1" t="s">
        <v>1209</v>
      </c>
      <c r="C349" s="116" t="s">
        <v>25</v>
      </c>
      <c r="D349" s="116" t="s">
        <v>1208</v>
      </c>
      <c r="E349" s="2" t="s">
        <v>22</v>
      </c>
      <c r="F349" s="1">
        <v>73.819999999999993</v>
      </c>
      <c r="G349" s="61">
        <v>39.08</v>
      </c>
      <c r="H349" s="61">
        <f t="shared" si="48"/>
        <v>49.46</v>
      </c>
      <c r="I349" s="61">
        <f t="shared" si="49"/>
        <v>3651.14</v>
      </c>
      <c r="J349" s="60">
        <f t="shared" si="45"/>
        <v>2.4354594474830116E-3</v>
      </c>
      <c r="M349" s="128"/>
    </row>
    <row r="350" spans="1:13" ht="24" customHeight="1" x14ac:dyDescent="0.2">
      <c r="A350" s="116" t="s">
        <v>1207</v>
      </c>
      <c r="B350" s="1" t="s">
        <v>1206</v>
      </c>
      <c r="C350" s="116" t="s">
        <v>25</v>
      </c>
      <c r="D350" s="116" t="s">
        <v>1205</v>
      </c>
      <c r="E350" s="2" t="s">
        <v>236</v>
      </c>
      <c r="F350" s="1">
        <v>17</v>
      </c>
      <c r="G350" s="61">
        <v>291.74</v>
      </c>
      <c r="H350" s="61">
        <f t="shared" si="48"/>
        <v>369.2</v>
      </c>
      <c r="I350" s="61">
        <f t="shared" si="49"/>
        <v>6276.4</v>
      </c>
      <c r="J350" s="60">
        <f t="shared" si="45"/>
        <v>4.1866150506916673E-3</v>
      </c>
      <c r="M350" s="128"/>
    </row>
    <row r="351" spans="1:13" x14ac:dyDescent="0.2">
      <c r="A351" s="116" t="s">
        <v>1204</v>
      </c>
      <c r="B351" s="1" t="s">
        <v>741</v>
      </c>
      <c r="C351" s="116" t="s">
        <v>20</v>
      </c>
      <c r="D351" s="116" t="s">
        <v>742</v>
      </c>
      <c r="E351" s="2" t="s">
        <v>22</v>
      </c>
      <c r="F351" s="1">
        <v>9.4</v>
      </c>
      <c r="G351" s="61">
        <v>545.83000000000004</v>
      </c>
      <c r="H351" s="61">
        <f t="shared" si="48"/>
        <v>690.75</v>
      </c>
      <c r="I351" s="61">
        <f t="shared" si="49"/>
        <v>6493.05</v>
      </c>
      <c r="J351" s="60">
        <f t="shared" si="45"/>
        <v>4.3311294460030483E-3</v>
      </c>
      <c r="M351" s="128"/>
    </row>
    <row r="352" spans="1:13" x14ac:dyDescent="0.2">
      <c r="A352" s="116" t="s">
        <v>1203</v>
      </c>
      <c r="B352" s="1" t="s">
        <v>1202</v>
      </c>
      <c r="C352" s="116" t="s">
        <v>244</v>
      </c>
      <c r="D352" s="116" t="s">
        <v>1201</v>
      </c>
      <c r="E352" s="2" t="s">
        <v>22</v>
      </c>
      <c r="F352" s="1">
        <v>3.6</v>
      </c>
      <c r="G352" s="61">
        <v>483.12</v>
      </c>
      <c r="H352" s="61">
        <f t="shared" si="48"/>
        <v>611.39</v>
      </c>
      <c r="I352" s="61">
        <f t="shared" si="49"/>
        <v>2201</v>
      </c>
      <c r="J352" s="60">
        <f t="shared" si="45"/>
        <v>1.4681568616678924E-3</v>
      </c>
      <c r="M352" s="128"/>
    </row>
    <row r="353" spans="1:13" x14ac:dyDescent="0.2">
      <c r="A353" s="116" t="s">
        <v>1200</v>
      </c>
      <c r="B353" s="1" t="s">
        <v>744</v>
      </c>
      <c r="C353" s="116" t="s">
        <v>20</v>
      </c>
      <c r="D353" s="116" t="s">
        <v>745</v>
      </c>
      <c r="E353" s="2" t="s">
        <v>22</v>
      </c>
      <c r="F353" s="1">
        <v>907.15</v>
      </c>
      <c r="G353" s="61">
        <v>2.65</v>
      </c>
      <c r="H353" s="61">
        <f t="shared" si="48"/>
        <v>3.35</v>
      </c>
      <c r="I353" s="61">
        <f t="shared" si="49"/>
        <v>3038.95</v>
      </c>
      <c r="J353" s="60">
        <f t="shared" si="45"/>
        <v>2.0271037232011094E-3</v>
      </c>
      <c r="M353" s="128"/>
    </row>
    <row r="354" spans="1:13" x14ac:dyDescent="0.2">
      <c r="A354" s="116" t="s">
        <v>1199</v>
      </c>
      <c r="B354" s="1" t="s">
        <v>747</v>
      </c>
      <c r="C354" s="116" t="s">
        <v>20</v>
      </c>
      <c r="D354" s="116" t="s">
        <v>748</v>
      </c>
      <c r="E354" s="2" t="s">
        <v>37</v>
      </c>
      <c r="F354" s="1">
        <v>2</v>
      </c>
      <c r="G354" s="61">
        <v>804.87</v>
      </c>
      <c r="H354" s="61">
        <f t="shared" si="48"/>
        <v>1018.56</v>
      </c>
      <c r="I354" s="61">
        <f t="shared" si="49"/>
        <v>2037.12</v>
      </c>
      <c r="J354" s="60">
        <f t="shared" si="45"/>
        <v>1.3588422108318477E-3</v>
      </c>
      <c r="M354" s="128"/>
    </row>
    <row r="355" spans="1:13" x14ac:dyDescent="0.2">
      <c r="A355" s="116" t="s">
        <v>1198</v>
      </c>
      <c r="B355" s="1" t="s">
        <v>750</v>
      </c>
      <c r="C355" s="116" t="s">
        <v>20</v>
      </c>
      <c r="D355" s="116" t="s">
        <v>751</v>
      </c>
      <c r="E355" s="2" t="s">
        <v>213</v>
      </c>
      <c r="F355" s="1">
        <v>20</v>
      </c>
      <c r="G355" s="61">
        <v>507.45</v>
      </c>
      <c r="H355" s="61">
        <f t="shared" si="48"/>
        <v>642.17999999999995</v>
      </c>
      <c r="I355" s="61">
        <f t="shared" si="49"/>
        <v>12843.6</v>
      </c>
      <c r="J355" s="60">
        <f t="shared" si="45"/>
        <v>8.5672055740653088E-3</v>
      </c>
      <c r="M355" s="128"/>
    </row>
    <row r="356" spans="1:13" ht="25.5" x14ac:dyDescent="0.2">
      <c r="A356" s="116" t="s">
        <v>1197</v>
      </c>
      <c r="B356" s="1" t="s">
        <v>2843</v>
      </c>
      <c r="C356" s="116" t="s">
        <v>411</v>
      </c>
      <c r="D356" s="116" t="s">
        <v>1196</v>
      </c>
      <c r="E356" s="2" t="s">
        <v>92</v>
      </c>
      <c r="F356" s="1">
        <v>48</v>
      </c>
      <c r="G356" s="61">
        <v>21.1</v>
      </c>
      <c r="H356" s="61">
        <f t="shared" si="48"/>
        <v>26.7</v>
      </c>
      <c r="I356" s="61">
        <f t="shared" si="49"/>
        <v>1281.5999999999999</v>
      </c>
      <c r="J356" s="60">
        <f t="shared" si="45"/>
        <v>8.5487952472220385E-4</v>
      </c>
      <c r="M356" s="128"/>
    </row>
    <row r="357" spans="1:13" x14ac:dyDescent="0.2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</row>
    <row r="358" spans="1:13" x14ac:dyDescent="0.2">
      <c r="A358" s="130"/>
      <c r="B358" s="130"/>
      <c r="C358" s="130"/>
      <c r="D358" s="59"/>
      <c r="E358" s="100"/>
      <c r="F358" s="131" t="s">
        <v>752</v>
      </c>
      <c r="G358" s="130"/>
      <c r="H358" s="132">
        <f>H360-H359</f>
        <v>1184623.3599999999</v>
      </c>
      <c r="I358" s="130"/>
      <c r="J358" s="130"/>
      <c r="M358" s="129"/>
    </row>
    <row r="359" spans="1:13" x14ac:dyDescent="0.2">
      <c r="A359" s="130"/>
      <c r="B359" s="130"/>
      <c r="C359" s="130"/>
      <c r="D359" s="59"/>
      <c r="E359" s="100"/>
      <c r="F359" s="131" t="s">
        <v>753</v>
      </c>
      <c r="G359" s="130"/>
      <c r="H359" s="132">
        <v>314535.25</v>
      </c>
      <c r="I359" s="130"/>
      <c r="J359" s="130"/>
      <c r="M359" s="129"/>
    </row>
    <row r="360" spans="1:13" x14ac:dyDescent="0.2">
      <c r="A360" s="130"/>
      <c r="B360" s="130"/>
      <c r="C360" s="130"/>
      <c r="D360" s="59"/>
      <c r="E360" s="100"/>
      <c r="F360" s="131" t="s">
        <v>754</v>
      </c>
      <c r="G360" s="130"/>
      <c r="H360" s="132">
        <f>I345+I334+I330+I278+I264+I256+I250+I240+I231+I155+I90+I54+I24+I5</f>
        <v>1499158.6099999999</v>
      </c>
      <c r="I360" s="130"/>
      <c r="J360" s="130"/>
      <c r="M360" s="129"/>
    </row>
  </sheetData>
  <mergeCells count="16">
    <mergeCell ref="A3:J3"/>
    <mergeCell ref="E1:F1"/>
    <mergeCell ref="G1:H1"/>
    <mergeCell ref="I1:J1"/>
    <mergeCell ref="E2:F2"/>
    <mergeCell ref="G2:H2"/>
    <mergeCell ref="I2:J2"/>
    <mergeCell ref="A360:C360"/>
    <mergeCell ref="F360:G360"/>
    <mergeCell ref="A358:C358"/>
    <mergeCell ref="F358:G358"/>
    <mergeCell ref="H360:J360"/>
    <mergeCell ref="A359:C359"/>
    <mergeCell ref="F359:G359"/>
    <mergeCell ref="H359:J359"/>
    <mergeCell ref="H358:J358"/>
  </mergeCells>
  <pageMargins left="0.51181102362204722" right="0.51181102362204722" top="0.98425196850393704" bottom="0.98425196850393704" header="0.51181102362204722" footer="0.51181102362204722"/>
  <pageSetup paperSize="9" scale="70" fitToHeight="0" orientation="landscape" r:id="rId1"/>
  <headerFooter>
    <oddFooter>&amp;L&amp;A&amp;CPágina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opLeftCell="I10" workbookViewId="0">
      <selection activeCell="H360" sqref="H360:J360"/>
    </sheetView>
  </sheetViews>
  <sheetFormatPr defaultColWidth="0" defaultRowHeight="13.15" customHeight="1" zeroHeight="1" x14ac:dyDescent="0.2"/>
  <cols>
    <col min="1" max="1" width="27.25" style="66" hidden="1" customWidth="1"/>
    <col min="2" max="3" width="8.25" style="66" hidden="1" customWidth="1"/>
    <col min="4" max="4" width="21.25" style="66" hidden="1" customWidth="1"/>
    <col min="5" max="8" width="8.25" style="66" hidden="1" customWidth="1"/>
    <col min="9" max="18" width="9.625" style="66" customWidth="1"/>
    <col min="19" max="19" width="4" style="66" hidden="1" customWidth="1"/>
    <col min="20" max="21" width="8.25" style="66" hidden="1" customWidth="1"/>
    <col min="22" max="16384" width="0" style="66" hidden="1"/>
  </cols>
  <sheetData>
    <row r="1" spans="1:19" ht="12.75" hidden="1" x14ac:dyDescent="0.2">
      <c r="E1" s="67" t="s">
        <v>1550</v>
      </c>
      <c r="F1" s="67" t="s">
        <v>1551</v>
      </c>
      <c r="G1" s="67" t="s">
        <v>1552</v>
      </c>
      <c r="N1" s="68"/>
      <c r="Q1" s="206" t="s">
        <v>1553</v>
      </c>
      <c r="R1" s="207"/>
    </row>
    <row r="2" spans="1:19" ht="15.75" hidden="1" x14ac:dyDescent="0.25">
      <c r="A2" s="66" t="s">
        <v>1554</v>
      </c>
      <c r="B2" s="69" t="s">
        <v>1555</v>
      </c>
      <c r="C2" s="66" t="str">
        <f t="shared" ref="C2:C49" si="0">CONCATENATE(A2,"-",B2)</f>
        <v>Construção e Reforma de Edifícios-AC</v>
      </c>
      <c r="E2" s="70">
        <v>0.03</v>
      </c>
      <c r="F2" s="70">
        <v>0.04</v>
      </c>
      <c r="G2" s="70">
        <v>5.5E-2</v>
      </c>
      <c r="N2" s="71"/>
      <c r="Q2" s="208" t="s">
        <v>1556</v>
      </c>
      <c r="R2" s="209"/>
    </row>
    <row r="3" spans="1:19" ht="12.75" hidden="1" x14ac:dyDescent="0.2">
      <c r="A3" s="66" t="str">
        <f>A2</f>
        <v>Construção e Reforma de Edifícios</v>
      </c>
      <c r="B3" s="69" t="s">
        <v>1557</v>
      </c>
      <c r="C3" s="66" t="str">
        <f t="shared" si="0"/>
        <v>Construção e Reforma de Edifícios-SG</v>
      </c>
      <c r="E3" s="70">
        <v>8.0000000000000002E-3</v>
      </c>
      <c r="F3" s="70">
        <v>8.0000000000000002E-3</v>
      </c>
      <c r="G3" s="70">
        <v>0.01</v>
      </c>
    </row>
    <row r="4" spans="1:19" ht="12.75" hidden="1" x14ac:dyDescent="0.2">
      <c r="A4" s="66" t="str">
        <f>A3</f>
        <v>Construção e Reforma de Edifícios</v>
      </c>
      <c r="B4" s="69" t="s">
        <v>1558</v>
      </c>
      <c r="C4" s="66" t="str">
        <f t="shared" si="0"/>
        <v>Construção e Reforma de Edifícios-R</v>
      </c>
      <c r="E4" s="70">
        <v>9.7000000000000003E-3</v>
      </c>
      <c r="F4" s="70">
        <v>1.2699999999999999E-2</v>
      </c>
      <c r="G4" s="70">
        <v>1.2699999999999999E-2</v>
      </c>
      <c r="I4" s="197" t="s">
        <v>1559</v>
      </c>
      <c r="J4" s="199"/>
      <c r="K4" s="197" t="s">
        <v>1560</v>
      </c>
      <c r="L4" s="198"/>
      <c r="M4" s="198"/>
      <c r="N4" s="198"/>
      <c r="O4" s="198"/>
      <c r="P4" s="198"/>
      <c r="Q4" s="198"/>
      <c r="R4" s="199"/>
    </row>
    <row r="5" spans="1:19" ht="19.5" hidden="1" x14ac:dyDescent="0.3">
      <c r="A5" s="66" t="str">
        <f>A4</f>
        <v>Construção e Reforma de Edifícios</v>
      </c>
      <c r="B5" s="69" t="s">
        <v>1561</v>
      </c>
      <c r="C5" s="66" t="str">
        <f t="shared" si="0"/>
        <v>Construção e Reforma de Edifícios-DF</v>
      </c>
      <c r="E5" s="70">
        <v>5.8999999999999999E-3</v>
      </c>
      <c r="F5" s="70">
        <v>1.23E-2</v>
      </c>
      <c r="G5" s="70">
        <v>1.3899999999999999E-2</v>
      </c>
      <c r="I5" s="210" t="e">
        <f>[1]DADOS!A23</f>
        <v>#REF!</v>
      </c>
      <c r="J5" s="211"/>
      <c r="K5" s="212"/>
      <c r="L5" s="213"/>
      <c r="M5" s="213"/>
      <c r="N5" s="213"/>
      <c r="O5" s="213"/>
      <c r="P5" s="213"/>
      <c r="Q5" s="213"/>
      <c r="R5" s="211"/>
      <c r="S5" s="72"/>
    </row>
    <row r="6" spans="1:19" ht="12.75" hidden="1" x14ac:dyDescent="0.2">
      <c r="A6" s="66" t="str">
        <f>A5</f>
        <v>Construção e Reforma de Edifícios</v>
      </c>
      <c r="B6" s="69" t="s">
        <v>1562</v>
      </c>
      <c r="C6" s="66" t="str">
        <f t="shared" si="0"/>
        <v>Construção e Reforma de Edifícios-L</v>
      </c>
      <c r="E6" s="70">
        <v>6.1600000000000002E-2</v>
      </c>
      <c r="F6" s="70">
        <v>7.400000000000001E-2</v>
      </c>
      <c r="G6" s="70">
        <v>8.9600000000000013E-2</v>
      </c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9" ht="12.75" hidden="1" x14ac:dyDescent="0.2">
      <c r="A7" s="66" t="str">
        <f>A6</f>
        <v>Construção e Reforma de Edifícios</v>
      </c>
      <c r="B7" s="74" t="s">
        <v>1563</v>
      </c>
      <c r="C7" s="66" t="str">
        <f t="shared" si="0"/>
        <v>Construção e Reforma de Edifícios-BDI PAD</v>
      </c>
      <c r="E7" s="70">
        <v>0.2034</v>
      </c>
      <c r="F7" s="70">
        <v>0.22120000000000001</v>
      </c>
      <c r="G7" s="70">
        <v>0.25</v>
      </c>
      <c r="I7" s="197" t="s">
        <v>1564</v>
      </c>
      <c r="J7" s="198"/>
      <c r="K7" s="198"/>
      <c r="L7" s="198"/>
      <c r="M7" s="198"/>
      <c r="N7" s="198"/>
      <c r="O7" s="198"/>
      <c r="P7" s="198"/>
      <c r="Q7" s="198"/>
      <c r="R7" s="199"/>
    </row>
    <row r="8" spans="1:19" ht="12.75" hidden="1" x14ac:dyDescent="0.2">
      <c r="A8" s="66" t="s">
        <v>1565</v>
      </c>
      <c r="B8" s="69" t="s">
        <v>1555</v>
      </c>
      <c r="C8" s="66" t="str">
        <f t="shared" si="0"/>
        <v>Construção de Praças Urbanas, Rodovias, Ferrovias e recapeamento e pavimentação de vias urbanas-AC</v>
      </c>
      <c r="E8" s="70">
        <v>3.7999999999999999E-2</v>
      </c>
      <c r="F8" s="70">
        <v>4.0099999999999997E-2</v>
      </c>
      <c r="G8" s="70">
        <v>4.6699999999999998E-2</v>
      </c>
      <c r="I8" s="200"/>
      <c r="J8" s="200"/>
      <c r="K8" s="200"/>
      <c r="L8" s="200"/>
      <c r="M8" s="200"/>
      <c r="N8" s="200"/>
      <c r="O8" s="200"/>
      <c r="P8" s="200"/>
      <c r="Q8" s="200"/>
      <c r="R8" s="200"/>
    </row>
    <row r="9" spans="1:19" ht="12.75" hidden="1" x14ac:dyDescent="0.2">
      <c r="A9" s="66" t="s">
        <v>1565</v>
      </c>
      <c r="B9" s="69" t="s">
        <v>1557</v>
      </c>
      <c r="C9" s="66" t="str">
        <f t="shared" si="0"/>
        <v>Construção de Praças Urbanas, Rodovias, Ferrovias e recapeamento e pavimentação de vias urbanas-SG</v>
      </c>
      <c r="E9" s="70">
        <v>3.2000000000000002E-3</v>
      </c>
      <c r="F9" s="70">
        <v>4.0000000000000001E-3</v>
      </c>
      <c r="G9" s="70">
        <v>7.4000000000000003E-3</v>
      </c>
      <c r="I9" s="73"/>
      <c r="J9" s="73"/>
      <c r="K9" s="73"/>
      <c r="L9" s="73"/>
      <c r="M9" s="73"/>
      <c r="N9" s="73"/>
      <c r="O9" s="73"/>
      <c r="P9" s="73"/>
      <c r="Q9" s="73"/>
      <c r="R9" s="73"/>
    </row>
    <row r="10" spans="1:19" ht="12.75" x14ac:dyDescent="0.2">
      <c r="A10" s="66" t="s">
        <v>1565</v>
      </c>
      <c r="B10" s="69" t="s">
        <v>1558</v>
      </c>
      <c r="C10" s="66" t="str">
        <f t="shared" si="0"/>
        <v>Construção de Praças Urbanas, Rodovias, Ferrovias e recapeamento e pavimentação de vias urbanas-R</v>
      </c>
      <c r="E10" s="70">
        <v>5.0000000000000001E-3</v>
      </c>
      <c r="F10" s="70">
        <v>5.6000000000000008E-3</v>
      </c>
      <c r="G10" s="70">
        <v>9.7000000000000003E-3</v>
      </c>
      <c r="I10" s="197" t="s">
        <v>1566</v>
      </c>
      <c r="J10" s="198"/>
      <c r="K10" s="198"/>
      <c r="L10" s="198"/>
      <c r="M10" s="198"/>
      <c r="N10" s="198"/>
      <c r="O10" s="198"/>
      <c r="P10" s="198"/>
      <c r="Q10" s="197" t="s">
        <v>1567</v>
      </c>
      <c r="R10" s="199"/>
    </row>
    <row r="11" spans="1:19" ht="12.75" x14ac:dyDescent="0.2">
      <c r="A11" s="66" t="s">
        <v>1565</v>
      </c>
      <c r="B11" s="69" t="s">
        <v>1561</v>
      </c>
      <c r="C11" s="66" t="str">
        <f t="shared" si="0"/>
        <v>Construção de Praças Urbanas, Rodovias, Ferrovias e recapeamento e pavimentação de vias urbanas-DF</v>
      </c>
      <c r="E11" s="70">
        <v>1.0200000000000001E-2</v>
      </c>
      <c r="F11" s="70">
        <v>1.11E-2</v>
      </c>
      <c r="G11" s="70">
        <v>1.21E-2</v>
      </c>
      <c r="I11" s="201" t="s">
        <v>1554</v>
      </c>
      <c r="J11" s="202"/>
      <c r="K11" s="202"/>
      <c r="L11" s="202"/>
      <c r="M11" s="202"/>
      <c r="N11" s="202"/>
      <c r="O11" s="202"/>
      <c r="P11" s="203"/>
      <c r="Q11" s="204" t="str">
        <f>IF([1]DADOS!C36&lt;&gt;"",[1]DADOS!C36,"")</f>
        <v>Sim</v>
      </c>
      <c r="R11" s="205"/>
    </row>
    <row r="12" spans="1:19" ht="12.75" x14ac:dyDescent="0.2">
      <c r="A12" s="66" t="s">
        <v>1565</v>
      </c>
      <c r="B12" s="69" t="s">
        <v>1562</v>
      </c>
      <c r="C12" s="66" t="str">
        <f t="shared" si="0"/>
        <v>Construção de Praças Urbanas, Rodovias, Ferrovias e recapeamento e pavimentação de vias urbanas-L</v>
      </c>
      <c r="E12" s="70">
        <v>6.6400000000000001E-2</v>
      </c>
      <c r="F12" s="70">
        <v>7.2999999999999995E-2</v>
      </c>
      <c r="G12" s="70">
        <v>8.6899999999999991E-2</v>
      </c>
    </row>
    <row r="13" spans="1:19" ht="15" customHeight="1" x14ac:dyDescent="0.2">
      <c r="A13" s="66" t="s">
        <v>1565</v>
      </c>
      <c r="B13" s="74" t="s">
        <v>1563</v>
      </c>
      <c r="C13" s="66" t="str">
        <f t="shared" si="0"/>
        <v>Construção de Praças Urbanas, Rodovias, Ferrovias e recapeamento e pavimentação de vias urbanas-BDI PAD</v>
      </c>
      <c r="E13" s="70">
        <v>0.19600000000000001</v>
      </c>
      <c r="F13" s="70">
        <v>0.2097</v>
      </c>
      <c r="G13" s="70">
        <v>0.24230000000000002</v>
      </c>
      <c r="I13" s="191" t="s">
        <v>1568</v>
      </c>
      <c r="J13" s="191"/>
      <c r="K13" s="191"/>
      <c r="L13" s="191"/>
      <c r="M13" s="191"/>
      <c r="N13" s="191"/>
      <c r="O13" s="191"/>
      <c r="P13" s="191"/>
      <c r="Q13" s="192">
        <v>1</v>
      </c>
      <c r="R13" s="192"/>
    </row>
    <row r="14" spans="1:19" ht="12.75" x14ac:dyDescent="0.2">
      <c r="A14" s="66" t="s">
        <v>1569</v>
      </c>
      <c r="B14" s="69" t="s">
        <v>1555</v>
      </c>
      <c r="C14" s="66" t="str">
        <f t="shared" si="0"/>
        <v>Construção de Redes de Abastecimento de Água, Coleta de Esgoto-AC</v>
      </c>
      <c r="E14" s="70">
        <v>3.4300000000000004E-2</v>
      </c>
      <c r="F14" s="70">
        <v>4.9299999999999997E-2</v>
      </c>
      <c r="G14" s="70">
        <v>6.7099999999999993E-2</v>
      </c>
      <c r="I14" s="193" t="s">
        <v>1570</v>
      </c>
      <c r="J14" s="193"/>
      <c r="K14" s="193"/>
      <c r="L14" s="193"/>
      <c r="M14" s="193"/>
      <c r="N14" s="193"/>
      <c r="O14" s="193"/>
      <c r="P14" s="193"/>
      <c r="Q14" s="192">
        <v>2.5000000000000001E-2</v>
      </c>
      <c r="R14" s="192"/>
    </row>
    <row r="15" spans="1:19" ht="12.75" x14ac:dyDescent="0.2">
      <c r="A15" s="66" t="str">
        <f>A14</f>
        <v>Construção de Redes de Abastecimento de Água, Coleta de Esgoto</v>
      </c>
      <c r="B15" s="69" t="s">
        <v>1557</v>
      </c>
      <c r="C15" s="66" t="str">
        <f t="shared" si="0"/>
        <v>Construção de Redes de Abastecimento de Água, Coleta de Esgoto-SG</v>
      </c>
      <c r="E15" s="70">
        <v>2.8000000000000004E-3</v>
      </c>
      <c r="F15" s="70">
        <v>4.8999999999999998E-3</v>
      </c>
      <c r="G15" s="70">
        <v>7.4999999999999997E-3</v>
      </c>
    </row>
    <row r="16" spans="1:19" ht="15" x14ac:dyDescent="0.25">
      <c r="B16" s="69"/>
      <c r="E16" s="70"/>
      <c r="F16" s="70"/>
      <c r="G16" s="70"/>
      <c r="I16" s="194" t="s">
        <v>1571</v>
      </c>
      <c r="J16" s="194"/>
      <c r="K16" s="194"/>
      <c r="L16" s="194"/>
      <c r="M16" s="194" t="s">
        <v>1572</v>
      </c>
      <c r="N16" s="195" t="s">
        <v>1573</v>
      </c>
      <c r="O16" s="195" t="s">
        <v>1574</v>
      </c>
      <c r="P16" s="196" t="s">
        <v>1575</v>
      </c>
      <c r="Q16" s="196"/>
      <c r="R16" s="196"/>
    </row>
    <row r="17" spans="1:18" ht="15" x14ac:dyDescent="0.2">
      <c r="A17" s="66" t="str">
        <f>A15</f>
        <v>Construção de Redes de Abastecimento de Água, Coleta de Esgoto</v>
      </c>
      <c r="B17" s="69" t="s">
        <v>1558</v>
      </c>
      <c r="C17" s="66" t="str">
        <f t="shared" si="0"/>
        <v>Construção de Redes de Abastecimento de Água, Coleta de Esgoto-R</v>
      </c>
      <c r="E17" s="70">
        <v>0.01</v>
      </c>
      <c r="F17" s="70">
        <v>1.3899999999999999E-2</v>
      </c>
      <c r="G17" s="70">
        <v>1.7399999999999999E-2</v>
      </c>
      <c r="I17" s="194"/>
      <c r="J17" s="194"/>
      <c r="K17" s="194"/>
      <c r="L17" s="194"/>
      <c r="M17" s="194"/>
      <c r="N17" s="195"/>
      <c r="O17" s="195"/>
      <c r="P17" s="75" t="s">
        <v>1576</v>
      </c>
      <c r="Q17" s="75" t="s">
        <v>1577</v>
      </c>
      <c r="R17" s="76" t="s">
        <v>1578</v>
      </c>
    </row>
    <row r="18" spans="1:18" ht="30.75" customHeight="1" x14ac:dyDescent="0.2">
      <c r="A18" s="66" t="str">
        <f>A17</f>
        <v>Construção de Redes de Abastecimento de Água, Coleta de Esgoto</v>
      </c>
      <c r="B18" s="69" t="s">
        <v>1561</v>
      </c>
      <c r="C18" s="66" t="str">
        <f t="shared" si="0"/>
        <v>Construção de Redes de Abastecimento de Água, Coleta de Esgoto-DF</v>
      </c>
      <c r="E18" s="70">
        <v>9.3999999999999986E-3</v>
      </c>
      <c r="F18" s="70">
        <v>9.8999999999999991E-3</v>
      </c>
      <c r="G18" s="70">
        <v>1.1699999999999999E-2</v>
      </c>
      <c r="I18" s="187" t="str">
        <f>IF($I$11=$A$58,"Encargos Sociais incidentes sobre a mão de obra","Administração Central")</f>
        <v>Administração Central</v>
      </c>
      <c r="J18" s="187"/>
      <c r="K18" s="187"/>
      <c r="L18" s="187"/>
      <c r="M18" s="77" t="str">
        <f>IF($I$11=$A$58,"K1","AC")</f>
        <v>AC</v>
      </c>
      <c r="N18" s="78">
        <v>0.04</v>
      </c>
      <c r="O18" s="79" t="s">
        <v>1579</v>
      </c>
      <c r="P18" s="80">
        <f>VLOOKUP(CONCATENATE(I$11,"-",M18),$C$2:$G$49,3,FALSE)</f>
        <v>0.03</v>
      </c>
      <c r="Q18" s="80">
        <f>VLOOKUP(CONCATENATE(I$11,"-",M18),$C$2:$G$49,4,FALSE)</f>
        <v>0.04</v>
      </c>
      <c r="R18" s="80">
        <f>VLOOKUP(CONCATENATE(I$11,"-",M18),$C$2:$G$49,5,FALSE)</f>
        <v>5.5E-2</v>
      </c>
    </row>
    <row r="19" spans="1:18" ht="30.75" customHeight="1" x14ac:dyDescent="0.2">
      <c r="A19" s="66" t="str">
        <f>A18</f>
        <v>Construção de Redes de Abastecimento de Água, Coleta de Esgoto</v>
      </c>
      <c r="B19" s="69" t="s">
        <v>1562</v>
      </c>
      <c r="C19" s="66" t="str">
        <f t="shared" si="0"/>
        <v>Construção de Redes de Abastecimento de Água, Coleta de Esgoto-L</v>
      </c>
      <c r="E19" s="70">
        <v>6.7400000000000002E-2</v>
      </c>
      <c r="F19" s="70">
        <v>8.0399999999999985E-2</v>
      </c>
      <c r="G19" s="70">
        <v>9.4E-2</v>
      </c>
      <c r="I19" s="187" t="str">
        <f>IF($I$11=$A$58,"Administração Central da empresa ou consultoria - overhead","Seguro e Garantia")</f>
        <v>Seguro e Garantia</v>
      </c>
      <c r="J19" s="187"/>
      <c r="K19" s="187"/>
      <c r="L19" s="187"/>
      <c r="M19" s="77" t="str">
        <f>IF($I$11=$A$58,"K2","SG")</f>
        <v>SG</v>
      </c>
      <c r="N19" s="78">
        <v>1.1999999999999999E-3</v>
      </c>
      <c r="O19" s="79" t="s">
        <v>1579</v>
      </c>
      <c r="P19" s="80">
        <f>VLOOKUP(CONCATENATE(I$11,"-",M19),$C$2:$G$49,3,FALSE)</f>
        <v>8.0000000000000002E-3</v>
      </c>
      <c r="Q19" s="80">
        <f>VLOOKUP(CONCATENATE(I$11,"-",M19),$C$2:$G$49,4,FALSE)</f>
        <v>8.0000000000000002E-3</v>
      </c>
      <c r="R19" s="80">
        <f>VLOOKUP(CONCATENATE(I$11,"-",M19),$C$2:$G$49,5,FALSE)</f>
        <v>0.01</v>
      </c>
    </row>
    <row r="20" spans="1:18" ht="30.75" customHeight="1" x14ac:dyDescent="0.2">
      <c r="A20" s="66" t="str">
        <f>A19</f>
        <v>Construção de Redes de Abastecimento de Água, Coleta de Esgoto</v>
      </c>
      <c r="B20" s="74" t="s">
        <v>1563</v>
      </c>
      <c r="C20" s="66" t="str">
        <f t="shared" si="0"/>
        <v>Construção de Redes de Abastecimento de Água, Coleta de Esgoto-BDI PAD</v>
      </c>
      <c r="E20" s="70">
        <v>0.20760000000000001</v>
      </c>
      <c r="F20" s="70">
        <v>0.24179999999999999</v>
      </c>
      <c r="G20" s="70">
        <v>0.26440000000000002</v>
      </c>
      <c r="I20" s="187" t="str">
        <f>IF($I$11=$A$58,"","Risco")</f>
        <v>Risco</v>
      </c>
      <c r="J20" s="187"/>
      <c r="K20" s="187"/>
      <c r="L20" s="187"/>
      <c r="M20" s="77" t="str">
        <f>IF($I$11=$A$58,"","R")</f>
        <v>R</v>
      </c>
      <c r="N20" s="78">
        <v>9.7000000000000003E-3</v>
      </c>
      <c r="O20" s="79" t="s">
        <v>1579</v>
      </c>
      <c r="P20" s="80">
        <f>VLOOKUP(CONCATENATE(I$11,"-",M20),$C$2:$G$49,3,FALSE)</f>
        <v>9.7000000000000003E-3</v>
      </c>
      <c r="Q20" s="80">
        <f>VLOOKUP(CONCATENATE(I$11,"-",M20),$C$2:$G$49,4,FALSE)</f>
        <v>1.2699999999999999E-2</v>
      </c>
      <c r="R20" s="80">
        <f>VLOOKUP(CONCATENATE(I$11,"-",M20),$C$2:$G$49,5,FALSE)</f>
        <v>1.2699999999999999E-2</v>
      </c>
    </row>
    <row r="21" spans="1:18" ht="30.75" customHeight="1" x14ac:dyDescent="0.2">
      <c r="A21" s="66" t="s">
        <v>1580</v>
      </c>
      <c r="B21" s="69" t="s">
        <v>1555</v>
      </c>
      <c r="C21" s="66" t="str">
        <f t="shared" si="0"/>
        <v>Construção e Manutenção de Estações e Redes de Distribuição de Energia Elétrica-AC</v>
      </c>
      <c r="E21" s="70">
        <v>5.2900000000000003E-2</v>
      </c>
      <c r="F21" s="70">
        <v>5.9200000000000003E-2</v>
      </c>
      <c r="G21" s="70">
        <v>7.9299999999999995E-2</v>
      </c>
      <c r="I21" s="187" t="str">
        <f>IF($I$11=$A$58,"","Despesas Financeiras")</f>
        <v>Despesas Financeiras</v>
      </c>
      <c r="J21" s="187"/>
      <c r="K21" s="187"/>
      <c r="L21" s="187"/>
      <c r="M21" s="77" t="str">
        <f>IF($I$11=$A$58,"","DF")</f>
        <v>DF</v>
      </c>
      <c r="N21" s="78">
        <v>3.7000000000000002E-3</v>
      </c>
      <c r="O21" s="79" t="s">
        <v>1579</v>
      </c>
      <c r="P21" s="80">
        <f>VLOOKUP(CONCATENATE(I$11,"-",M21),$C$2:$G$49,3,FALSE)</f>
        <v>5.8999999999999999E-3</v>
      </c>
      <c r="Q21" s="80">
        <f>VLOOKUP(CONCATENATE(I$11,"-",M21),$C$2:$G$49,4,FALSE)</f>
        <v>1.23E-2</v>
      </c>
      <c r="R21" s="80">
        <f>VLOOKUP(CONCATENATE(I$11,"-",M21),$C$2:$G$49,5,FALSE)</f>
        <v>1.3899999999999999E-2</v>
      </c>
    </row>
    <row r="22" spans="1:18" ht="30.75" customHeight="1" x14ac:dyDescent="0.2">
      <c r="A22" s="66" t="str">
        <f>A21</f>
        <v>Construção e Manutenção de Estações e Redes de Distribuição de Energia Elétrica</v>
      </c>
      <c r="B22" s="69" t="s">
        <v>1557</v>
      </c>
      <c r="C22" s="66" t="str">
        <f t="shared" si="0"/>
        <v>Construção e Manutenção de Estações e Redes de Distribuição de Energia Elétrica-SG</v>
      </c>
      <c r="E22" s="70">
        <v>2.5000000000000001E-3</v>
      </c>
      <c r="F22" s="70">
        <v>5.1000000000000004E-3</v>
      </c>
      <c r="G22" s="70">
        <v>5.6000000000000008E-3</v>
      </c>
      <c r="I22" s="187" t="str">
        <f>IF($I$11=$A$58,"Margem bruta da empresa de consultoria","Lucro")</f>
        <v>Lucro</v>
      </c>
      <c r="J22" s="187"/>
      <c r="K22" s="187"/>
      <c r="L22" s="187"/>
      <c r="M22" s="77" t="str">
        <f>IF($I$11=$A$58,"K3","L")</f>
        <v>L</v>
      </c>
      <c r="N22" s="78">
        <v>7.1999999999999995E-2</v>
      </c>
      <c r="O22" s="79" t="s">
        <v>1579</v>
      </c>
      <c r="P22" s="80">
        <f>VLOOKUP(CONCATENATE(I$11,"-",M22),$C$2:$G$49,3,FALSE)</f>
        <v>6.1600000000000002E-2</v>
      </c>
      <c r="Q22" s="80">
        <f>VLOOKUP(CONCATENATE(I$11,"-",M22),$C$2:$G$49,4,FALSE)</f>
        <v>7.400000000000001E-2</v>
      </c>
      <c r="R22" s="80">
        <f>VLOOKUP(CONCATENATE(I$11,"-",M22),$C$2:$G$49,5,FALSE)</f>
        <v>8.9600000000000013E-2</v>
      </c>
    </row>
    <row r="23" spans="1:18" ht="30.75" customHeight="1" x14ac:dyDescent="0.2">
      <c r="A23" s="66" t="str">
        <f>A22</f>
        <v>Construção e Manutenção de Estações e Redes de Distribuição de Energia Elétrica</v>
      </c>
      <c r="B23" s="69" t="s">
        <v>1558</v>
      </c>
      <c r="C23" s="66" t="str">
        <f t="shared" si="0"/>
        <v>Construção e Manutenção de Estações e Redes de Distribuição de Energia Elétrica-R</v>
      </c>
      <c r="E23" s="70">
        <v>0.01</v>
      </c>
      <c r="F23" s="70">
        <v>1.4800000000000001E-2</v>
      </c>
      <c r="G23" s="70">
        <v>1.9699999999999999E-2</v>
      </c>
      <c r="I23" s="188" t="s">
        <v>1581</v>
      </c>
      <c r="J23" s="188"/>
      <c r="K23" s="188"/>
      <c r="L23" s="188"/>
      <c r="M23" s="77" t="s">
        <v>1582</v>
      </c>
      <c r="N23" s="78">
        <v>3.6499999999999998E-2</v>
      </c>
      <c r="O23" s="79" t="s">
        <v>1579</v>
      </c>
      <c r="P23" s="80">
        <v>3.6499999999999998E-2</v>
      </c>
      <c r="Q23" s="80">
        <v>3.6499999999999998E-2</v>
      </c>
      <c r="R23" s="80">
        <v>3.6499999999999998E-2</v>
      </c>
    </row>
    <row r="24" spans="1:18" ht="30.75" customHeight="1" x14ac:dyDescent="0.2">
      <c r="A24" s="66" t="str">
        <f>A23</f>
        <v>Construção e Manutenção de Estações e Redes de Distribuição de Energia Elétrica</v>
      </c>
      <c r="B24" s="69" t="s">
        <v>1561</v>
      </c>
      <c r="C24" s="66" t="str">
        <f t="shared" si="0"/>
        <v>Construção e Manutenção de Estações e Redes de Distribuição de Energia Elétrica-DF</v>
      </c>
      <c r="E24" s="70">
        <v>1.01E-2</v>
      </c>
      <c r="F24" s="70">
        <v>1.0700000000000001E-2</v>
      </c>
      <c r="G24" s="70">
        <v>1.11E-2</v>
      </c>
      <c r="I24" s="187" t="s">
        <v>1583</v>
      </c>
      <c r="J24" s="187"/>
      <c r="K24" s="187"/>
      <c r="L24" s="187"/>
      <c r="M24" s="77" t="s">
        <v>1584</v>
      </c>
      <c r="N24" s="80">
        <f>IF(I11&lt;&gt;A57,Q14*Q13,0)</f>
        <v>2.5000000000000001E-2</v>
      </c>
      <c r="O24" s="79" t="s">
        <v>1579</v>
      </c>
      <c r="P24" s="80">
        <v>0</v>
      </c>
      <c r="Q24" s="80">
        <v>2.5000000000000001E-2</v>
      </c>
      <c r="R24" s="80">
        <v>0.05</v>
      </c>
    </row>
    <row r="25" spans="1:18" ht="30.75" customHeight="1" x14ac:dyDescent="0.2">
      <c r="A25" s="66" t="str">
        <f>A24</f>
        <v>Construção e Manutenção de Estações e Redes de Distribuição de Energia Elétrica</v>
      </c>
      <c r="B25" s="69" t="s">
        <v>1562</v>
      </c>
      <c r="C25" s="66" t="str">
        <f t="shared" si="0"/>
        <v>Construção e Manutenção de Estações e Redes de Distribuição de Energia Elétrica-L</v>
      </c>
      <c r="E25" s="70">
        <v>0.08</v>
      </c>
      <c r="F25" s="70">
        <v>8.3100000000000007E-2</v>
      </c>
      <c r="G25" s="70">
        <v>9.5100000000000004E-2</v>
      </c>
      <c r="I25" s="187" t="s">
        <v>1585</v>
      </c>
      <c r="J25" s="187"/>
      <c r="K25" s="187"/>
      <c r="L25" s="187"/>
      <c r="M25" s="77" t="s">
        <v>1586</v>
      </c>
      <c r="N25" s="80">
        <f>IF(Q11="Sim",4.5%,0%)</f>
        <v>4.4999999999999998E-2</v>
      </c>
      <c r="O25" s="79" t="str">
        <f>IF(AND(N25&gt;=P25, N25&lt;=R25), "OK", "Não OK")</f>
        <v>OK</v>
      </c>
      <c r="P25" s="81">
        <v>0</v>
      </c>
      <c r="Q25" s="81">
        <v>4.4999999999999998E-2</v>
      </c>
      <c r="R25" s="81">
        <v>4.4999999999999998E-2</v>
      </c>
    </row>
    <row r="26" spans="1:18" ht="30.75" customHeight="1" x14ac:dyDescent="0.2">
      <c r="A26" s="66" t="str">
        <f>A25</f>
        <v>Construção e Manutenção de Estações e Redes de Distribuição de Energia Elétrica</v>
      </c>
      <c r="B26" s="74" t="s">
        <v>1563</v>
      </c>
      <c r="C26" s="66" t="str">
        <f t="shared" si="0"/>
        <v>Construção e Manutenção de Estações e Redes de Distribuição de Energia Elétrica-BDI PAD</v>
      </c>
      <c r="E26" s="70">
        <v>0.24</v>
      </c>
      <c r="F26" s="70">
        <v>0.25840000000000002</v>
      </c>
      <c r="G26" s="70">
        <v>0.27860000000000001</v>
      </c>
      <c r="I26" s="187" t="s">
        <v>1587</v>
      </c>
      <c r="J26" s="187"/>
      <c r="K26" s="187"/>
      <c r="L26" s="187"/>
      <c r="M26" s="82" t="s">
        <v>1563</v>
      </c>
      <c r="N26" s="80">
        <f>ROUND((((1+N18+N19+N20)*(1+N21)*(1+N22)/(1-(N23+N24)))-1),4)</f>
        <v>0.20480000000000001</v>
      </c>
      <c r="O26" s="79" t="str">
        <f>IF(OR($I$11=$A$58,AND(N26&gt;=P26, N26&lt;=R26)), "OK", "NÃO OK")</f>
        <v>OK</v>
      </c>
      <c r="P26" s="80">
        <f>VLOOKUP(CONCATENATE($I$11,"-",$M26),$C$2:$G$49,3,FALSE)</f>
        <v>0.2034</v>
      </c>
      <c r="Q26" s="80">
        <f>VLOOKUP(CONCATENATE($I$11,"-",$M26),$C$2:$G$49,4,FALSE)</f>
        <v>0.22120000000000001</v>
      </c>
      <c r="R26" s="80">
        <f>VLOOKUP(CONCATENATE($I$11,"-",$M26),$C$2:$G$49,5,FALSE)</f>
        <v>0.25</v>
      </c>
    </row>
    <row r="27" spans="1:18" ht="30" customHeight="1" x14ac:dyDescent="0.2">
      <c r="A27" s="66" t="s">
        <v>1588</v>
      </c>
      <c r="B27" s="69" t="s">
        <v>1555</v>
      </c>
      <c r="C27" s="66" t="str">
        <f t="shared" si="0"/>
        <v>Obras Portuárias, Marítimas e Fluviais-AC</v>
      </c>
      <c r="E27" s="70">
        <v>0.04</v>
      </c>
      <c r="F27" s="70">
        <v>5.5199999999999999E-2</v>
      </c>
      <c r="G27" s="70">
        <v>7.85E-2</v>
      </c>
      <c r="I27" s="189" t="s">
        <v>1589</v>
      </c>
      <c r="J27" s="189"/>
      <c r="K27" s="189"/>
      <c r="L27" s="189"/>
      <c r="M27" s="83" t="s">
        <v>1590</v>
      </c>
      <c r="N27" s="84">
        <f>ROUND((((1+N18+N19+N20)*(1+N21)*(1+N22)/(1-(N23+N24+N25)))-1),4)</f>
        <v>0.26550000000000001</v>
      </c>
      <c r="O27" s="85" t="str">
        <f>IF(Q11&lt;&gt;"Sim","",IF(COUNTIF($O$18:$O$26,"NÃO OK")&gt;0,"NÃO OK","OK"))</f>
        <v>OK</v>
      </c>
      <c r="P27" s="190"/>
      <c r="Q27" s="190"/>
      <c r="R27" s="190"/>
    </row>
    <row r="28" spans="1:18" ht="12.75" x14ac:dyDescent="0.2">
      <c r="A28" s="66" t="str">
        <f>A27</f>
        <v>Obras Portuárias, Marítimas e Fluviais</v>
      </c>
      <c r="B28" s="69" t="s">
        <v>1557</v>
      </c>
      <c r="C28" s="66" t="str">
        <f t="shared" si="0"/>
        <v>Obras Portuárias, Marítimas e Fluviais-SG</v>
      </c>
      <c r="E28" s="70">
        <v>8.1000000000000013E-3</v>
      </c>
      <c r="F28" s="70">
        <v>1.2199999999999999E-2</v>
      </c>
      <c r="G28" s="70">
        <v>1.9900000000000001E-2</v>
      </c>
    </row>
    <row r="29" spans="1:18" ht="12.75" x14ac:dyDescent="0.2">
      <c r="A29" s="66" t="str">
        <f>A28</f>
        <v>Obras Portuárias, Marítimas e Fluviais</v>
      </c>
      <c r="B29" s="69" t="s">
        <v>1558</v>
      </c>
      <c r="C29" s="66" t="str">
        <f t="shared" si="0"/>
        <v>Obras Portuárias, Marítimas e Fluviais-R</v>
      </c>
      <c r="E29" s="70">
        <v>1.46E-2</v>
      </c>
      <c r="F29" s="70">
        <v>2.3199999999999998E-2</v>
      </c>
      <c r="G29" s="70">
        <v>3.1600000000000003E-2</v>
      </c>
      <c r="I29" s="186" t="s">
        <v>1591</v>
      </c>
      <c r="J29" s="186"/>
      <c r="K29" s="186"/>
      <c r="L29" s="186"/>
      <c r="M29" s="186"/>
      <c r="N29" s="186"/>
      <c r="O29" s="186"/>
      <c r="P29" s="186"/>
      <c r="Q29" s="186"/>
      <c r="R29" s="186"/>
    </row>
    <row r="30" spans="1:18" ht="15.75" x14ac:dyDescent="0.25">
      <c r="B30" s="69"/>
      <c r="E30" s="70"/>
      <c r="F30" s="70"/>
      <c r="G30" s="70"/>
      <c r="I30" s="86"/>
      <c r="J30" s="86"/>
      <c r="K30" s="86"/>
      <c r="L30" s="174" t="str">
        <f>IF(Q11="Sim","BDI.DES =","BDI.PAD =")</f>
        <v>BDI.DES =</v>
      </c>
      <c r="M30" s="175" t="str">
        <f>IF($I$11=$A$58,"(1+K1+K2)*(1+K3)","(1+AC + S + R + G)*(1 + DF)*(1+L)")</f>
        <v>(1+AC + S + R + G)*(1 + DF)*(1+L)</v>
      </c>
      <c r="N30" s="175"/>
      <c r="O30" s="175"/>
      <c r="P30" s="176" t="s">
        <v>1592</v>
      </c>
      <c r="Q30" s="86"/>
      <c r="R30" s="86"/>
    </row>
    <row r="31" spans="1:18" ht="15.75" x14ac:dyDescent="0.2">
      <c r="B31" s="69"/>
      <c r="E31" s="70"/>
      <c r="F31" s="70"/>
      <c r="G31" s="70"/>
      <c r="I31" s="86"/>
      <c r="J31" s="86"/>
      <c r="K31" s="86"/>
      <c r="L31" s="174"/>
      <c r="M31" s="178" t="str">
        <f>IF(Q11="Sim","(1-CP-ISS-CRPB)","(1-CP-ISS)")</f>
        <v>(1-CP-ISS-CRPB)</v>
      </c>
      <c r="N31" s="178"/>
      <c r="O31" s="178"/>
      <c r="P31" s="177"/>
      <c r="Q31" s="86"/>
      <c r="R31" s="86"/>
    </row>
    <row r="32" spans="1:18" ht="12.75" x14ac:dyDescent="0.2">
      <c r="A32" s="66" t="str">
        <f>A29</f>
        <v>Obras Portuárias, Marítimas e Fluviais</v>
      </c>
      <c r="B32" s="69" t="s">
        <v>1561</v>
      </c>
      <c r="C32" s="66" t="str">
        <f t="shared" si="0"/>
        <v>Obras Portuárias, Marítimas e Fluviais-DF</v>
      </c>
      <c r="E32" s="70">
        <v>9.3999999999999986E-3</v>
      </c>
      <c r="F32" s="70">
        <v>1.0200000000000001E-2</v>
      </c>
      <c r="G32" s="70">
        <v>1.3300000000000001E-2</v>
      </c>
      <c r="I32" s="87"/>
      <c r="J32" s="87"/>
      <c r="K32" s="87"/>
      <c r="L32" s="87"/>
      <c r="M32" s="87"/>
      <c r="N32" s="87"/>
      <c r="O32" s="87"/>
      <c r="P32" s="87"/>
      <c r="Q32" s="87"/>
      <c r="R32" s="87"/>
    </row>
    <row r="33" spans="1:18" ht="15" hidden="1" x14ac:dyDescent="0.2">
      <c r="A33" s="66" t="str">
        <f>A32</f>
        <v>Obras Portuárias, Marítimas e Fluviais</v>
      </c>
      <c r="B33" s="69" t="s">
        <v>1562</v>
      </c>
      <c r="C33" s="66" t="str">
        <f t="shared" si="0"/>
        <v>Obras Portuárias, Marítimas e Fluviais-L</v>
      </c>
      <c r="E33" s="70">
        <v>7.1399999999999991E-2</v>
      </c>
      <c r="F33" s="70">
        <v>8.4000000000000005E-2</v>
      </c>
      <c r="G33" s="70">
        <v>0.1043</v>
      </c>
      <c r="I33" s="179" t="str">
        <f>CONCATENATE("Declaro para os devidos fins que, conforme legislação tributária municipal, a base de cálculo para ",I11,", é de ",Q13*100,"%, com a respectiva alíquota de ",Q14*100,"%.")</f>
        <v>Declaro para os devidos fins que, conforme legislação tributária municipal, a base de cálculo para Construção e Reforma de Edifícios, é de 100%, com a respectiva alíquota de 2,5%.</v>
      </c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ht="12.75" hidden="1" x14ac:dyDescent="0.2">
      <c r="A34" s="66" t="str">
        <f>A33</f>
        <v>Obras Portuárias, Marítimas e Fluviais</v>
      </c>
      <c r="B34" s="74" t="s">
        <v>1563</v>
      </c>
      <c r="C34" s="66" t="str">
        <f t="shared" si="0"/>
        <v>Obras Portuárias, Marítimas e Fluviais-BDI PAD</v>
      </c>
      <c r="E34" s="70">
        <v>0.22800000000000001</v>
      </c>
      <c r="F34" s="70">
        <v>0.27479999999999999</v>
      </c>
      <c r="G34" s="70">
        <v>0.3095</v>
      </c>
    </row>
    <row r="35" spans="1:18" ht="12.75" hidden="1" x14ac:dyDescent="0.2">
      <c r="B35" s="74"/>
      <c r="E35" s="70"/>
      <c r="F35" s="70"/>
      <c r="G35" s="70"/>
      <c r="I35" s="66" t="s">
        <v>1593</v>
      </c>
    </row>
    <row r="36" spans="1:18" ht="12.75" hidden="1" x14ac:dyDescent="0.2">
      <c r="B36" s="74"/>
      <c r="E36" s="70"/>
      <c r="F36" s="70"/>
      <c r="G36" s="70"/>
      <c r="I36" s="180"/>
      <c r="J36" s="181"/>
      <c r="K36" s="181"/>
      <c r="L36" s="181"/>
      <c r="M36" s="181"/>
      <c r="N36" s="181"/>
      <c r="O36" s="181"/>
      <c r="P36" s="181"/>
      <c r="Q36" s="181"/>
      <c r="R36" s="182"/>
    </row>
    <row r="37" spans="1:18" ht="12.75" hidden="1" x14ac:dyDescent="0.2">
      <c r="B37" s="74"/>
      <c r="E37" s="70"/>
      <c r="F37" s="70"/>
      <c r="G37" s="70"/>
    </row>
    <row r="38" spans="1:18" ht="12.75" hidden="1" x14ac:dyDescent="0.2">
      <c r="A38" s="66" t="s">
        <v>1594</v>
      </c>
      <c r="B38" s="69" t="s">
        <v>1555</v>
      </c>
      <c r="C38" s="66" t="str">
        <f t="shared" si="0"/>
        <v>Fornecimento de Materiais e Equipamentos-AC</v>
      </c>
      <c r="E38" s="70">
        <v>1.4999999999999999E-2</v>
      </c>
      <c r="F38" s="70">
        <v>3.4500000000000003E-2</v>
      </c>
      <c r="G38" s="70">
        <v>4.4900000000000002E-2</v>
      </c>
      <c r="I38" s="183" t="s">
        <v>1595</v>
      </c>
      <c r="J38" s="183"/>
      <c r="K38" s="183"/>
      <c r="L38" s="183"/>
      <c r="R38" s="88" t="s">
        <v>1596</v>
      </c>
    </row>
    <row r="39" spans="1:18" ht="12.75" hidden="1" x14ac:dyDescent="0.2">
      <c r="A39" s="66" t="str">
        <f>A38</f>
        <v>Fornecimento de Materiais e Equipamentos</v>
      </c>
      <c r="B39" s="69" t="s">
        <v>1557</v>
      </c>
      <c r="C39" s="66" t="str">
        <f t="shared" si="0"/>
        <v>Fornecimento de Materiais e Equipamentos-SG</v>
      </c>
      <c r="E39" s="70">
        <v>3.0000000000000001E-3</v>
      </c>
      <c r="F39" s="70">
        <v>4.7999999999999996E-3</v>
      </c>
      <c r="G39" s="70">
        <v>8.199999999999999E-3</v>
      </c>
      <c r="I39" s="171" t="e">
        <f>[1]DADOS!I26</f>
        <v>#REF!</v>
      </c>
      <c r="J39" s="171"/>
      <c r="K39" s="171"/>
      <c r="L39" s="171"/>
      <c r="N39" s="89"/>
      <c r="P39" s="184">
        <f ca="1">TODAY()</f>
        <v>44698</v>
      </c>
      <c r="Q39" s="184"/>
      <c r="R39" s="184"/>
    </row>
    <row r="40" spans="1:18" ht="12.75" hidden="1" x14ac:dyDescent="0.2">
      <c r="A40" s="66" t="str">
        <f>A39</f>
        <v>Fornecimento de Materiais e Equipamentos</v>
      </c>
      <c r="B40" s="69" t="s">
        <v>1558</v>
      </c>
      <c r="C40" s="66" t="str">
        <f t="shared" si="0"/>
        <v>Fornecimento de Materiais e Equipamentos-R</v>
      </c>
      <c r="E40" s="70">
        <v>5.6000000000000008E-3</v>
      </c>
      <c r="F40" s="70">
        <v>8.5000000000000006E-3</v>
      </c>
      <c r="G40" s="70">
        <v>8.8999999999999999E-3</v>
      </c>
    </row>
    <row r="41" spans="1:18" ht="31.5" hidden="1" customHeight="1" x14ac:dyDescent="0.2">
      <c r="A41" s="66" t="str">
        <f>A40</f>
        <v>Fornecimento de Materiais e Equipamentos</v>
      </c>
      <c r="B41" s="69" t="s">
        <v>1561</v>
      </c>
      <c r="C41" s="66" t="str">
        <f t="shared" si="0"/>
        <v>Fornecimento de Materiais e Equipamentos-DF</v>
      </c>
      <c r="E41" s="70">
        <v>8.5000000000000006E-3</v>
      </c>
      <c r="F41" s="70">
        <v>8.5000000000000006E-3</v>
      </c>
      <c r="G41" s="70">
        <v>1.11E-2</v>
      </c>
      <c r="I41" s="185"/>
      <c r="J41" s="185"/>
      <c r="K41" s="185"/>
      <c r="L41" s="185"/>
      <c r="M41" s="90"/>
      <c r="N41" s="90"/>
      <c r="O41" s="185"/>
      <c r="P41" s="185"/>
      <c r="Q41" s="185"/>
      <c r="R41" s="185"/>
    </row>
    <row r="42" spans="1:18" ht="12.75" hidden="1" x14ac:dyDescent="0.2">
      <c r="A42" s="66" t="str">
        <f>A41</f>
        <v>Fornecimento de Materiais e Equipamentos</v>
      </c>
      <c r="B42" s="69" t="s">
        <v>1562</v>
      </c>
      <c r="C42" s="66" t="str">
        <f t="shared" si="0"/>
        <v>Fornecimento de Materiais e Equipamentos-L</v>
      </c>
      <c r="E42" s="70">
        <v>3.5000000000000003E-2</v>
      </c>
      <c r="F42" s="70">
        <v>5.1100000000000007E-2</v>
      </c>
      <c r="G42" s="70">
        <v>6.2199999999999998E-2</v>
      </c>
      <c r="I42" s="173" t="s">
        <v>1597</v>
      </c>
      <c r="J42" s="173"/>
      <c r="K42" s="173"/>
      <c r="L42" s="173"/>
      <c r="O42" s="173" t="s">
        <v>1598</v>
      </c>
      <c r="P42" s="173"/>
      <c r="Q42" s="173"/>
      <c r="R42" s="173"/>
    </row>
    <row r="43" spans="1:18" ht="15" hidden="1" customHeight="1" x14ac:dyDescent="0.2">
      <c r="A43" s="66" t="str">
        <f>A42</f>
        <v>Fornecimento de Materiais e Equipamentos</v>
      </c>
      <c r="B43" s="74" t="s">
        <v>1563</v>
      </c>
      <c r="C43" s="66" t="str">
        <f t="shared" si="0"/>
        <v>Fornecimento de Materiais e Equipamentos-BDI PAD</v>
      </c>
      <c r="E43" s="70">
        <v>0.111</v>
      </c>
      <c r="F43" s="70">
        <v>0.14019999999999999</v>
      </c>
      <c r="G43" s="70">
        <v>0.16800000000000001</v>
      </c>
      <c r="I43" s="91" t="s">
        <v>1599</v>
      </c>
      <c r="J43" s="171" t="str">
        <f>[1]DADOS!B52</f>
        <v>-</v>
      </c>
      <c r="K43" s="171"/>
      <c r="L43" s="171"/>
      <c r="M43" s="90"/>
      <c r="N43" s="90"/>
      <c r="O43" s="91" t="s">
        <v>1599</v>
      </c>
      <c r="P43" s="172"/>
      <c r="Q43" s="172"/>
      <c r="R43" s="172"/>
    </row>
    <row r="44" spans="1:18" ht="14.25" hidden="1" x14ac:dyDescent="0.2">
      <c r="A44" s="66" t="s">
        <v>1600</v>
      </c>
      <c r="B44" s="69" t="s">
        <v>1601</v>
      </c>
      <c r="C44" s="66" t="str">
        <f t="shared" si="0"/>
        <v>Estudos e Projetos, Planos e Gerenciamento e outros correlatos-K1</v>
      </c>
      <c r="E44" s="70" t="s">
        <v>1579</v>
      </c>
      <c r="F44" s="70" t="s">
        <v>1579</v>
      </c>
      <c r="G44" s="70" t="s">
        <v>1579</v>
      </c>
      <c r="I44" s="91" t="s">
        <v>1602</v>
      </c>
      <c r="J44" s="171" t="str">
        <f>[1]DADOS!B53</f>
        <v>-</v>
      </c>
      <c r="K44" s="171"/>
      <c r="L44" s="171"/>
      <c r="M44" s="90"/>
      <c r="N44" s="90"/>
      <c r="O44" s="91" t="s">
        <v>1603</v>
      </c>
      <c r="P44" s="172"/>
      <c r="Q44" s="172"/>
      <c r="R44" s="172"/>
    </row>
    <row r="45" spans="1:18" ht="14.25" hidden="1" x14ac:dyDescent="0.2">
      <c r="A45" s="66" t="str">
        <f>A44</f>
        <v>Estudos e Projetos, Planos e Gerenciamento e outros correlatos</v>
      </c>
      <c r="B45" s="69" t="s">
        <v>1604</v>
      </c>
      <c r="C45" s="66" t="str">
        <f t="shared" si="0"/>
        <v>Estudos e Projetos, Planos e Gerenciamento e outros correlatos-K2</v>
      </c>
      <c r="E45" s="70" t="s">
        <v>1579</v>
      </c>
      <c r="F45" s="70">
        <v>0.2</v>
      </c>
      <c r="G45" s="70" t="s">
        <v>1579</v>
      </c>
      <c r="I45" s="91" t="str">
        <f>[1]DADOS!A54</f>
        <v>CREA/CAU:</v>
      </c>
      <c r="J45" s="171" t="str">
        <f>[1]DADOS!B54</f>
        <v>-</v>
      </c>
      <c r="K45" s="171"/>
      <c r="L45" s="171"/>
      <c r="M45" s="90"/>
      <c r="N45" s="90"/>
      <c r="O45" s="90"/>
      <c r="P45" s="90"/>
      <c r="Q45" s="90"/>
      <c r="R45" s="90"/>
    </row>
    <row r="46" spans="1:18" ht="12.75" hidden="1" x14ac:dyDescent="0.2">
      <c r="A46" s="66" t="str">
        <f>A45</f>
        <v>Estudos e Projetos, Planos e Gerenciamento e outros correlatos</v>
      </c>
      <c r="B46" s="69" t="s">
        <v>1343</v>
      </c>
      <c r="C46" s="66" t="str">
        <f t="shared" si="0"/>
        <v>Estudos e Projetos, Planos e Gerenciamento e outros correlatos-</v>
      </c>
      <c r="E46" s="70" t="s">
        <v>1579</v>
      </c>
      <c r="F46" s="70" t="s">
        <v>1579</v>
      </c>
      <c r="G46" s="70" t="s">
        <v>1579</v>
      </c>
    </row>
    <row r="47" spans="1:18" ht="12.75" hidden="1" x14ac:dyDescent="0.2">
      <c r="A47" s="66" t="str">
        <f>A46</f>
        <v>Estudos e Projetos, Planos e Gerenciamento e outros correlatos</v>
      </c>
      <c r="B47" s="69" t="s">
        <v>1343</v>
      </c>
      <c r="C47" s="66" t="str">
        <f t="shared" si="0"/>
        <v>Estudos e Projetos, Planos e Gerenciamento e outros correlatos-</v>
      </c>
      <c r="E47" s="70" t="s">
        <v>1579</v>
      </c>
      <c r="F47" s="70" t="s">
        <v>1579</v>
      </c>
      <c r="G47" s="70" t="s">
        <v>1579</v>
      </c>
    </row>
    <row r="48" spans="1:18" ht="12.75" hidden="1" x14ac:dyDescent="0.2">
      <c r="A48" s="66" t="str">
        <f>A47</f>
        <v>Estudos e Projetos, Planos e Gerenciamento e outros correlatos</v>
      </c>
      <c r="B48" s="69" t="s">
        <v>1605</v>
      </c>
      <c r="C48" s="66" t="str">
        <f t="shared" si="0"/>
        <v>Estudos e Projetos, Planos e Gerenciamento e outros correlatos-K3</v>
      </c>
      <c r="E48" s="70" t="s">
        <v>1579</v>
      </c>
      <c r="F48" s="70">
        <v>0.12</v>
      </c>
      <c r="G48" s="70" t="s">
        <v>1579</v>
      </c>
    </row>
    <row r="49" spans="1:7" ht="12.75" hidden="1" x14ac:dyDescent="0.2">
      <c r="A49" s="66" t="str">
        <f>A48</f>
        <v>Estudos e Projetos, Planos e Gerenciamento e outros correlatos</v>
      </c>
      <c r="B49" s="74" t="s">
        <v>1563</v>
      </c>
      <c r="C49" s="66" t="str">
        <f t="shared" si="0"/>
        <v>Estudos e Projetos, Planos e Gerenciamento e outros correlatos-BDI PAD</v>
      </c>
      <c r="E49" s="70" t="s">
        <v>1579</v>
      </c>
      <c r="F49" s="70" t="s">
        <v>1579</v>
      </c>
      <c r="G49" s="70" t="s">
        <v>1579</v>
      </c>
    </row>
    <row r="52" spans="1:7" ht="12.75" hidden="1" x14ac:dyDescent="0.2">
      <c r="A52" s="66" t="s">
        <v>1554</v>
      </c>
    </row>
    <row r="53" spans="1:7" ht="12.75" hidden="1" x14ac:dyDescent="0.2">
      <c r="A53" s="66" t="s">
        <v>1565</v>
      </c>
    </row>
    <row r="54" spans="1:7" ht="12.75" hidden="1" x14ac:dyDescent="0.2">
      <c r="A54" s="66" t="s">
        <v>1569</v>
      </c>
    </row>
    <row r="55" spans="1:7" ht="12.75" hidden="1" x14ac:dyDescent="0.2">
      <c r="A55" s="66" t="s">
        <v>1580</v>
      </c>
    </row>
    <row r="56" spans="1:7" ht="12.75" hidden="1" x14ac:dyDescent="0.2">
      <c r="A56" s="66" t="s">
        <v>1588</v>
      </c>
    </row>
    <row r="57" spans="1:7" ht="12.75" hidden="1" x14ac:dyDescent="0.2">
      <c r="A57" s="66" t="s">
        <v>1594</v>
      </c>
    </row>
    <row r="58" spans="1:7" ht="12.75" hidden="1" x14ac:dyDescent="0.2">
      <c r="A58" s="66" t="s">
        <v>1600</v>
      </c>
    </row>
    <row r="59" spans="1:7" ht="14.25" hidden="1" x14ac:dyDescent="0.2">
      <c r="A59" s="92"/>
      <c r="B59" s="90"/>
      <c r="C59" s="90"/>
      <c r="D59" s="90"/>
      <c r="E59" s="90"/>
      <c r="F59" s="90"/>
      <c r="G59" s="90"/>
    </row>
  </sheetData>
  <mergeCells count="51">
    <mergeCell ref="Q1:R1"/>
    <mergeCell ref="Q2:R2"/>
    <mergeCell ref="I4:J4"/>
    <mergeCell ref="K4:R4"/>
    <mergeCell ref="I5:J5"/>
    <mergeCell ref="K5:R5"/>
    <mergeCell ref="I7:R7"/>
    <mergeCell ref="I8:R8"/>
    <mergeCell ref="I10:P10"/>
    <mergeCell ref="Q10:R10"/>
    <mergeCell ref="I11:P11"/>
    <mergeCell ref="Q11:R11"/>
    <mergeCell ref="I13:P13"/>
    <mergeCell ref="Q13:R13"/>
    <mergeCell ref="I14:P14"/>
    <mergeCell ref="Q14:R14"/>
    <mergeCell ref="I16:L17"/>
    <mergeCell ref="M16:M17"/>
    <mergeCell ref="N16:N17"/>
    <mergeCell ref="O16:O17"/>
    <mergeCell ref="P16:R16"/>
    <mergeCell ref="I29:R29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P27:R27"/>
    <mergeCell ref="I42:L42"/>
    <mergeCell ref="O42:R42"/>
    <mergeCell ref="L30:L31"/>
    <mergeCell ref="M30:O30"/>
    <mergeCell ref="P30:P31"/>
    <mergeCell ref="M31:O31"/>
    <mergeCell ref="I33:R33"/>
    <mergeCell ref="I36:R36"/>
    <mergeCell ref="I38:L38"/>
    <mergeCell ref="I39:L39"/>
    <mergeCell ref="P39:R39"/>
    <mergeCell ref="I41:L41"/>
    <mergeCell ref="O41:R41"/>
    <mergeCell ref="J43:L43"/>
    <mergeCell ref="P43:R43"/>
    <mergeCell ref="J44:L44"/>
    <mergeCell ref="P44:R44"/>
    <mergeCell ref="J45:L45"/>
  </mergeCells>
  <conditionalFormatting sqref="O18:O27">
    <cfRule type="cellIs" dxfId="9" priority="7" stopIfTrue="1" operator="equal">
      <formula>"NÃO OK"</formula>
    </cfRule>
    <cfRule type="cellIs" dxfId="8" priority="8" stopIfTrue="1" operator="equal">
      <formula>"OK"</formula>
    </cfRule>
  </conditionalFormatting>
  <conditionalFormatting sqref="I26:N26">
    <cfRule type="expression" dxfId="7" priority="6" stopIfTrue="1">
      <formula>$Q$11="Não"</formula>
    </cfRule>
  </conditionalFormatting>
  <conditionalFormatting sqref="I27:N27">
    <cfRule type="expression" dxfId="6" priority="5" stopIfTrue="1">
      <formula>$Q$11="sim"</formula>
    </cfRule>
  </conditionalFormatting>
  <conditionalFormatting sqref="P27:R27">
    <cfRule type="expression" dxfId="5" priority="4" stopIfTrue="1">
      <formula>$Q$11="sim"</formula>
    </cfRule>
  </conditionalFormatting>
  <conditionalFormatting sqref="P43:R44">
    <cfRule type="expression" dxfId="4" priority="3" stopIfTrue="1">
      <formula>P43=""</formula>
    </cfRule>
  </conditionalFormatting>
  <conditionalFormatting sqref="P39:R39">
    <cfRule type="expression" dxfId="3" priority="2" stopIfTrue="1">
      <formula>$P$39=""</formula>
    </cfRule>
  </conditionalFormatting>
  <conditionalFormatting sqref="Q13:R14 I14:P14">
    <cfRule type="expression" dxfId="2" priority="1" stopIfTrue="1">
      <formula>$I$11=$A$57</formula>
    </cfRule>
  </conditionalFormatting>
  <conditionalFormatting sqref="I13:P13">
    <cfRule type="expression" dxfId="1" priority="9" stopIfTrue="1">
      <formula>$I$11=$A$57</formula>
    </cfRule>
  </conditionalFormatting>
  <conditionalFormatting sqref="I33:R33">
    <cfRule type="expression" dxfId="0" priority="10" stopIfTrue="1">
      <formula>$I$11=$A$57</formula>
    </cfRule>
  </conditionalFormatting>
  <dataValidations count="7">
    <dataValidation type="list" allowBlank="1" showInputMessage="1" showErrorMessage="1" sqref="Q11:R11">
      <formula1>"Sim,Não"</formula1>
    </dataValidation>
    <dataValidation type="list" allowBlank="1" showInputMessage="1" showErrorMessage="1" sqref="I11:P11">
      <formula1>$A$52:$A$58</formula1>
    </dataValidation>
    <dataValidation operator="greaterThanOrEqual" allowBlank="1" showInputMessage="1" showErrorMessage="1" errorTitle="Erro de valores" error="Digite um valor igual a 0% ou 2%." sqref="N25"/>
    <dataValidation type="decimal" allowBlank="1" showInputMessage="1" showErrorMessage="1" errorTitle="Erro de valores" error="Digite um valor maior do que 0." sqref="N24">
      <formula1>0</formula1>
      <formula2>1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Q13:R13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Q14:R14">
      <formula1>0</formula1>
    </dataValidation>
    <dataValidation type="decimal" allowBlank="1" showInputMessage="1" showErrorMessage="1" errorTitle="Erro de valores" error="Digite um valor entre 0% e 100%" sqref="N18:N23">
      <formula1>0</formula1>
      <formula2>1</formula2>
    </dataValidation>
  </dataValidations>
  <pageMargins left="0.51181102362204722" right="0.51181102362204722" top="0.98425196850393704" bottom="0.98425196850393704" header="0.51181102362204722" footer="0.51181102362204722"/>
  <pageSetup paperSize="9" fitToHeight="0" orientation="landscape" r:id="rId1"/>
  <headerFooter>
    <oddFooter>&amp;L&amp;A&amp;CPágina &amp;P de &amp;N&amp;R&amp;G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19" sqref="C19"/>
    </sheetView>
  </sheetViews>
  <sheetFormatPr defaultRowHeight="14.25" x14ac:dyDescent="0.2"/>
  <cols>
    <col min="1" max="1" width="29.25" bestFit="1" customWidth="1"/>
  </cols>
  <sheetData>
    <row r="1" spans="1:5" ht="15" x14ac:dyDescent="0.25">
      <c r="A1" s="41" t="s">
        <v>1162</v>
      </c>
      <c r="B1" s="39"/>
      <c r="C1" s="39"/>
      <c r="D1" s="39"/>
      <c r="E1" s="44"/>
    </row>
    <row r="2" spans="1:5" x14ac:dyDescent="0.2">
      <c r="A2" s="29" t="s">
        <v>1023</v>
      </c>
      <c r="B2" s="24" t="s">
        <v>1161</v>
      </c>
      <c r="C2" s="24" t="s">
        <v>953</v>
      </c>
      <c r="D2" s="24" t="s">
        <v>964</v>
      </c>
      <c r="E2" s="28" t="s">
        <v>12</v>
      </c>
    </row>
    <row r="3" spans="1:5" x14ac:dyDescent="0.2">
      <c r="A3" s="29" t="s">
        <v>1160</v>
      </c>
      <c r="B3" s="24">
        <v>2</v>
      </c>
      <c r="C3" s="24">
        <v>4.5999999999999996</v>
      </c>
      <c r="D3" s="24">
        <v>1.1000000000000001</v>
      </c>
      <c r="E3" s="28">
        <f t="shared" ref="E3:E8" si="0">PRODUCT(B3:D3)</f>
        <v>10.119999999999999</v>
      </c>
    </row>
    <row r="4" spans="1:5" x14ac:dyDescent="0.2">
      <c r="A4" s="29" t="s">
        <v>1159</v>
      </c>
      <c r="B4" s="24">
        <v>1</v>
      </c>
      <c r="C4" s="24">
        <v>1.68</v>
      </c>
      <c r="D4" s="24">
        <v>1.1000000000000001</v>
      </c>
      <c r="E4" s="28">
        <f t="shared" si="0"/>
        <v>1.8480000000000001</v>
      </c>
    </row>
    <row r="5" spans="1:5" x14ac:dyDescent="0.2">
      <c r="A5" s="29" t="s">
        <v>1155</v>
      </c>
      <c r="B5" s="24">
        <v>1</v>
      </c>
      <c r="C5" s="24">
        <v>6.15</v>
      </c>
      <c r="D5" s="24">
        <v>1.1000000000000001</v>
      </c>
      <c r="E5" s="28">
        <f t="shared" si="0"/>
        <v>6.7650000000000006</v>
      </c>
    </row>
    <row r="6" spans="1:5" x14ac:dyDescent="0.2">
      <c r="A6" s="29" t="s">
        <v>1154</v>
      </c>
      <c r="B6" s="24">
        <v>1</v>
      </c>
      <c r="C6" s="24">
        <v>12.1</v>
      </c>
      <c r="D6" s="24">
        <v>1.1000000000000001</v>
      </c>
      <c r="E6" s="28">
        <f t="shared" si="0"/>
        <v>13.31</v>
      </c>
    </row>
    <row r="7" spans="1:5" x14ac:dyDescent="0.2">
      <c r="A7" s="31" t="s">
        <v>1153</v>
      </c>
      <c r="B7" s="30">
        <v>2</v>
      </c>
      <c r="C7" s="30">
        <v>3.7</v>
      </c>
      <c r="D7" s="30">
        <v>1.1000000000000001</v>
      </c>
      <c r="E7" s="45">
        <f t="shared" si="0"/>
        <v>8.14</v>
      </c>
    </row>
    <row r="8" spans="1:5" x14ac:dyDescent="0.2">
      <c r="A8" s="31" t="s">
        <v>1152</v>
      </c>
      <c r="B8" s="30">
        <v>2</v>
      </c>
      <c r="C8" s="30">
        <v>3.7</v>
      </c>
      <c r="D8" s="30">
        <v>1.1000000000000001</v>
      </c>
      <c r="E8" s="45">
        <f t="shared" si="0"/>
        <v>8.14</v>
      </c>
    </row>
    <row r="9" spans="1:5" ht="15.75" thickBot="1" x14ac:dyDescent="0.3">
      <c r="A9" s="27"/>
      <c r="B9" s="26"/>
      <c r="C9" s="26"/>
      <c r="D9" s="26"/>
      <c r="E9" s="43">
        <f>SUM(E3:E8)</f>
        <v>48.323</v>
      </c>
    </row>
    <row r="10" spans="1:5" ht="15" thickBot="1" x14ac:dyDescent="0.25"/>
    <row r="11" spans="1:5" ht="15" x14ac:dyDescent="0.25">
      <c r="A11" s="41" t="s">
        <v>1158</v>
      </c>
      <c r="B11" s="39"/>
      <c r="C11" s="39"/>
      <c r="D11" s="44"/>
    </row>
    <row r="12" spans="1:5" x14ac:dyDescent="0.2">
      <c r="A12" s="29" t="s">
        <v>1157</v>
      </c>
      <c r="B12" s="24">
        <v>2</v>
      </c>
      <c r="C12" s="24">
        <v>2.7</v>
      </c>
      <c r="D12" s="28">
        <f t="shared" ref="D12:D17" si="1">B12*C12</f>
        <v>5.4</v>
      </c>
    </row>
    <row r="13" spans="1:5" x14ac:dyDescent="0.2">
      <c r="A13" s="29" t="s">
        <v>1156</v>
      </c>
      <c r="B13" s="24">
        <v>4</v>
      </c>
      <c r="C13" s="24">
        <v>25.5</v>
      </c>
      <c r="D13" s="28">
        <f t="shared" si="1"/>
        <v>102</v>
      </c>
    </row>
    <row r="14" spans="1:5" x14ac:dyDescent="0.2">
      <c r="A14" s="29" t="s">
        <v>1155</v>
      </c>
      <c r="B14" s="24">
        <v>2</v>
      </c>
      <c r="C14" s="24">
        <v>6.15</v>
      </c>
      <c r="D14" s="28">
        <f t="shared" si="1"/>
        <v>12.3</v>
      </c>
    </row>
    <row r="15" spans="1:5" x14ac:dyDescent="0.2">
      <c r="A15" s="29" t="s">
        <v>1154</v>
      </c>
      <c r="B15" s="24">
        <v>2</v>
      </c>
      <c r="C15" s="24">
        <v>13.2</v>
      </c>
      <c r="D15" s="28">
        <f t="shared" si="1"/>
        <v>26.4</v>
      </c>
    </row>
    <row r="16" spans="1:5" x14ac:dyDescent="0.2">
      <c r="A16" s="31" t="s">
        <v>1153</v>
      </c>
      <c r="B16" s="30">
        <v>4</v>
      </c>
      <c r="C16" s="30">
        <f>(4.8*2+2)</f>
        <v>11.6</v>
      </c>
      <c r="D16" s="28">
        <f t="shared" si="1"/>
        <v>46.4</v>
      </c>
    </row>
    <row r="17" spans="1:4" x14ac:dyDescent="0.2">
      <c r="A17" s="31" t="s">
        <v>1152</v>
      </c>
      <c r="B17" s="30">
        <v>4</v>
      </c>
      <c r="C17" s="30">
        <f>(4.8*2+2)</f>
        <v>11.6</v>
      </c>
      <c r="D17" s="28">
        <f t="shared" si="1"/>
        <v>46.4</v>
      </c>
    </row>
    <row r="18" spans="1:4" ht="15.75" thickBot="1" x14ac:dyDescent="0.3">
      <c r="A18" s="27"/>
      <c r="B18" s="26"/>
      <c r="C18" s="26"/>
      <c r="D18" s="43">
        <f>SUM(D12:D17)</f>
        <v>238.9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2" sqref="B22"/>
    </sheetView>
  </sheetViews>
  <sheetFormatPr defaultRowHeight="14.25" x14ac:dyDescent="0.2"/>
  <cols>
    <col min="1" max="1" width="20.375" bestFit="1" customWidth="1"/>
  </cols>
  <sheetData>
    <row r="1" spans="1:2" x14ac:dyDescent="0.2">
      <c r="A1" t="s">
        <v>1189</v>
      </c>
      <c r="B1">
        <v>5</v>
      </c>
    </row>
    <row r="2" spans="1:2" x14ac:dyDescent="0.2">
      <c r="A2" t="s">
        <v>1190</v>
      </c>
      <c r="B2">
        <v>8</v>
      </c>
    </row>
    <row r="3" spans="1:2" x14ac:dyDescent="0.2">
      <c r="A3" t="s">
        <v>1171</v>
      </c>
      <c r="B3">
        <v>9</v>
      </c>
    </row>
    <row r="4" spans="1:2" x14ac:dyDescent="0.2">
      <c r="A4" t="s">
        <v>1191</v>
      </c>
      <c r="B4">
        <v>9</v>
      </c>
    </row>
    <row r="5" spans="1:2" x14ac:dyDescent="0.2">
      <c r="A5" t="s">
        <v>1167</v>
      </c>
      <c r="B5">
        <v>9</v>
      </c>
    </row>
    <row r="6" spans="1:2" x14ac:dyDescent="0.2">
      <c r="A6" t="s">
        <v>1166</v>
      </c>
      <c r="B6">
        <v>8</v>
      </c>
    </row>
    <row r="7" spans="1:2" x14ac:dyDescent="0.2">
      <c r="A7" t="s">
        <v>1169</v>
      </c>
      <c r="B7">
        <v>8</v>
      </c>
    </row>
    <row r="8" spans="1:2" x14ac:dyDescent="0.2">
      <c r="A8" t="s">
        <v>1168</v>
      </c>
      <c r="B8">
        <v>10</v>
      </c>
    </row>
    <row r="9" spans="1:2" x14ac:dyDescent="0.2">
      <c r="A9" t="s">
        <v>1170</v>
      </c>
      <c r="B9">
        <v>10</v>
      </c>
    </row>
    <row r="10" spans="1:2" x14ac:dyDescent="0.2">
      <c r="A10" t="s">
        <v>1168</v>
      </c>
      <c r="B10">
        <v>8</v>
      </c>
    </row>
    <row r="11" spans="1:2" x14ac:dyDescent="0.2">
      <c r="A11" t="s">
        <v>1073</v>
      </c>
      <c r="B11">
        <v>8</v>
      </c>
    </row>
    <row r="12" spans="1:2" x14ac:dyDescent="0.2">
      <c r="A12" t="s">
        <v>1192</v>
      </c>
      <c r="B12">
        <v>9</v>
      </c>
    </row>
    <row r="13" spans="1:2" x14ac:dyDescent="0.2">
      <c r="A13" t="s">
        <v>1167</v>
      </c>
      <c r="B13">
        <v>9</v>
      </c>
    </row>
    <row r="14" spans="1:2" x14ac:dyDescent="0.2">
      <c r="A14" t="s">
        <v>1167</v>
      </c>
      <c r="B14">
        <v>12</v>
      </c>
    </row>
    <row r="15" spans="1:2" x14ac:dyDescent="0.2">
      <c r="A15" t="s">
        <v>1166</v>
      </c>
      <c r="B15">
        <v>6</v>
      </c>
    </row>
    <row r="16" spans="1:2" x14ac:dyDescent="0.2">
      <c r="A16" t="s">
        <v>1193</v>
      </c>
      <c r="B16">
        <v>6</v>
      </c>
    </row>
    <row r="17" spans="1:2" x14ac:dyDescent="0.2">
      <c r="A17" t="s">
        <v>1165</v>
      </c>
      <c r="B17">
        <v>7</v>
      </c>
    </row>
    <row r="18" spans="1:2" x14ac:dyDescent="0.2">
      <c r="A18" t="s">
        <v>1164</v>
      </c>
      <c r="B18">
        <v>5</v>
      </c>
    </row>
    <row r="19" spans="1:2" x14ac:dyDescent="0.2">
      <c r="A19" t="s">
        <v>1163</v>
      </c>
      <c r="B19">
        <v>12</v>
      </c>
    </row>
    <row r="20" spans="1:2" x14ac:dyDescent="0.2">
      <c r="A20" t="s">
        <v>1194</v>
      </c>
      <c r="B20">
        <v>8</v>
      </c>
    </row>
    <row r="21" spans="1:2" x14ac:dyDescent="0.2">
      <c r="B21">
        <f>SUM(B1:B20)</f>
        <v>166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7"/>
  <sheetViews>
    <sheetView workbookViewId="0">
      <selection sqref="A1:XFD1048576"/>
    </sheetView>
  </sheetViews>
  <sheetFormatPr defaultColWidth="8.75" defaultRowHeight="14.25" x14ac:dyDescent="0.2"/>
  <cols>
    <col min="1" max="2" width="8.75" style="47"/>
    <col min="3" max="3" width="33.75" style="47" customWidth="1"/>
    <col min="4" max="4" width="22.375" style="47" bestFit="1" customWidth="1"/>
    <col min="5" max="5" width="24.75" style="47" bestFit="1" customWidth="1"/>
    <col min="6" max="6" width="25.75" style="47" customWidth="1"/>
    <col min="7" max="8" width="27.25" style="47" customWidth="1"/>
    <col min="9" max="16384" width="8.75" style="47"/>
  </cols>
  <sheetData>
    <row r="3" spans="3:9" x14ac:dyDescent="0.2">
      <c r="D3" s="47" t="s">
        <v>1177</v>
      </c>
      <c r="E3" s="47" t="s">
        <v>1178</v>
      </c>
      <c r="F3" s="47" t="s">
        <v>1179</v>
      </c>
      <c r="G3" s="47" t="s">
        <v>1180</v>
      </c>
      <c r="H3" s="47" t="s">
        <v>1181</v>
      </c>
    </row>
    <row r="4" spans="3:9" x14ac:dyDescent="0.2">
      <c r="C4" s="47" t="s">
        <v>1182</v>
      </c>
      <c r="G4" s="47">
        <v>6.8</v>
      </c>
      <c r="H4" s="47">
        <v>3.5</v>
      </c>
      <c r="I4" s="47">
        <f>SUM(D4:H4)</f>
        <v>10.3</v>
      </c>
    </row>
    <row r="5" spans="3:9" x14ac:dyDescent="0.2">
      <c r="C5" s="47" t="s">
        <v>1183</v>
      </c>
      <c r="D5" s="47">
        <v>3</v>
      </c>
      <c r="E5" s="47">
        <f>4*2</f>
        <v>8</v>
      </c>
      <c r="F5" s="47">
        <f>5.6*2</f>
        <v>11.2</v>
      </c>
      <c r="H5" s="47">
        <f>6*2</f>
        <v>12</v>
      </c>
      <c r="I5" s="47">
        <f>SUM(D5:H5)</f>
        <v>34.200000000000003</v>
      </c>
    </row>
    <row r="6" spans="3:9" x14ac:dyDescent="0.2">
      <c r="C6" s="47" t="s">
        <v>1184</v>
      </c>
      <c r="D6" s="47">
        <f>3*5</f>
        <v>15</v>
      </c>
      <c r="E6" s="47">
        <f>24.5*2</f>
        <v>49</v>
      </c>
      <c r="H6" s="47">
        <v>36</v>
      </c>
      <c r="I6" s="47">
        <f>SUM(D6:H6)</f>
        <v>100</v>
      </c>
    </row>
    <row r="7" spans="3:9" x14ac:dyDescent="0.2">
      <c r="C7" s="47" t="s">
        <v>1185</v>
      </c>
      <c r="F7" s="47">
        <f>4*(5.1+8+23.65)</f>
        <v>147</v>
      </c>
      <c r="I7" s="47">
        <f>SUM(D7:H7)</f>
        <v>147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62"/>
  <sheetViews>
    <sheetView showOutlineSymbols="0" showWhiteSpace="0" zoomScale="70" zoomScaleNormal="70" workbookViewId="0">
      <selection activeCell="H360" sqref="H360:J360"/>
    </sheetView>
  </sheetViews>
  <sheetFormatPr defaultColWidth="8.75" defaultRowHeight="14.25" x14ac:dyDescent="0.2"/>
  <cols>
    <col min="1" max="1" width="10" style="97" bestFit="1" customWidth="1"/>
    <col min="2" max="2" width="12" style="97" bestFit="1" customWidth="1"/>
    <col min="3" max="3" width="10" style="97" bestFit="1" customWidth="1"/>
    <col min="4" max="4" width="60" style="97" bestFit="1" customWidth="1"/>
    <col min="5" max="5" width="20.25" style="97" customWidth="1"/>
    <col min="6" max="6" width="15" style="97" customWidth="1"/>
    <col min="7" max="8" width="12" style="97" bestFit="1" customWidth="1"/>
    <col min="9" max="9" width="13" style="97" bestFit="1" customWidth="1"/>
    <col min="10" max="10" width="14" style="97" bestFit="1" customWidth="1"/>
    <col min="11" max="16384" width="8.75" style="97"/>
  </cols>
  <sheetData>
    <row r="1" spans="1:10" ht="15" x14ac:dyDescent="0.2">
      <c r="A1" s="98"/>
      <c r="B1" s="98"/>
      <c r="C1" s="135" t="s">
        <v>0</v>
      </c>
      <c r="D1" s="135"/>
      <c r="E1" s="135" t="s">
        <v>1</v>
      </c>
      <c r="F1" s="135"/>
      <c r="G1" s="135" t="s">
        <v>2</v>
      </c>
      <c r="H1" s="135"/>
      <c r="I1" s="135"/>
      <c r="J1" s="135"/>
    </row>
    <row r="2" spans="1:10" ht="89.45" customHeight="1" x14ac:dyDescent="0.2">
      <c r="A2" s="99"/>
      <c r="B2" s="99"/>
      <c r="C2" s="131" t="s">
        <v>1606</v>
      </c>
      <c r="D2" s="131"/>
      <c r="E2" s="131" t="s">
        <v>2844</v>
      </c>
      <c r="F2" s="131"/>
      <c r="G2" s="131" t="s">
        <v>1337</v>
      </c>
      <c r="H2" s="131"/>
      <c r="I2" s="131"/>
      <c r="J2" s="131"/>
    </row>
    <row r="3" spans="1:10" ht="15" x14ac:dyDescent="0.25">
      <c r="A3" s="133" t="s">
        <v>2841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ht="24" customHeight="1" x14ac:dyDescent="0.2">
      <c r="A4" s="123" t="s">
        <v>14</v>
      </c>
      <c r="B4" s="123"/>
      <c r="C4" s="123"/>
      <c r="D4" s="123" t="s">
        <v>15</v>
      </c>
      <c r="E4" s="123"/>
      <c r="F4" s="142"/>
      <c r="G4" s="142"/>
      <c r="H4" s="3"/>
      <c r="I4" s="123"/>
      <c r="J4" s="63">
        <v>166049.59</v>
      </c>
    </row>
    <row r="5" spans="1:10" ht="24" customHeight="1" x14ac:dyDescent="0.2">
      <c r="A5" s="123" t="s">
        <v>16</v>
      </c>
      <c r="B5" s="123"/>
      <c r="C5" s="123"/>
      <c r="D5" s="123" t="s">
        <v>17</v>
      </c>
      <c r="E5" s="123"/>
      <c r="F5" s="142"/>
      <c r="G5" s="142"/>
      <c r="H5" s="3"/>
      <c r="I5" s="123"/>
      <c r="J5" s="63">
        <v>34953.93</v>
      </c>
    </row>
    <row r="6" spans="1:10" ht="18" customHeight="1" x14ac:dyDescent="0.2">
      <c r="A6" s="117" t="s">
        <v>18</v>
      </c>
      <c r="B6" s="126" t="s">
        <v>5</v>
      </c>
      <c r="C6" s="117" t="s">
        <v>6</v>
      </c>
      <c r="D6" s="117" t="s">
        <v>7</v>
      </c>
      <c r="E6" s="136" t="s">
        <v>1113</v>
      </c>
      <c r="F6" s="136"/>
      <c r="G6" s="7" t="s">
        <v>8</v>
      </c>
      <c r="H6" s="126" t="s">
        <v>9</v>
      </c>
      <c r="I6" s="126" t="s">
        <v>10</v>
      </c>
      <c r="J6" s="126" t="s">
        <v>12</v>
      </c>
    </row>
    <row r="7" spans="1:10" ht="36" customHeight="1" x14ac:dyDescent="0.2">
      <c r="A7" s="116" t="s">
        <v>1861</v>
      </c>
      <c r="B7" s="1" t="s">
        <v>19</v>
      </c>
      <c r="C7" s="116" t="s">
        <v>20</v>
      </c>
      <c r="D7" s="116" t="s">
        <v>21</v>
      </c>
      <c r="E7" s="137">
        <v>2</v>
      </c>
      <c r="F7" s="137"/>
      <c r="G7" s="2" t="s">
        <v>22</v>
      </c>
      <c r="H7" s="115">
        <v>1</v>
      </c>
      <c r="I7" s="61">
        <v>357.14</v>
      </c>
      <c r="J7" s="61">
        <v>357.14</v>
      </c>
    </row>
    <row r="8" spans="1:10" ht="24" customHeight="1" x14ac:dyDescent="0.2">
      <c r="A8" s="113" t="s">
        <v>1859</v>
      </c>
      <c r="B8" s="114" t="s">
        <v>1897</v>
      </c>
      <c r="C8" s="113" t="s">
        <v>20</v>
      </c>
      <c r="D8" s="113" t="s">
        <v>1896</v>
      </c>
      <c r="E8" s="139" t="s">
        <v>1369</v>
      </c>
      <c r="F8" s="139"/>
      <c r="G8" s="112" t="s">
        <v>96</v>
      </c>
      <c r="H8" s="111">
        <v>2.6608000000000001</v>
      </c>
      <c r="I8" s="110">
        <v>0.6</v>
      </c>
      <c r="J8" s="110">
        <v>1.6</v>
      </c>
    </row>
    <row r="9" spans="1:10" ht="24" customHeight="1" x14ac:dyDescent="0.2">
      <c r="A9" s="113" t="s">
        <v>1859</v>
      </c>
      <c r="B9" s="114" t="s">
        <v>2840</v>
      </c>
      <c r="C9" s="113" t="s">
        <v>20</v>
      </c>
      <c r="D9" s="113" t="s">
        <v>2839</v>
      </c>
      <c r="E9" s="139" t="s">
        <v>1369</v>
      </c>
      <c r="F9" s="139"/>
      <c r="G9" s="112" t="s">
        <v>96</v>
      </c>
      <c r="H9" s="111">
        <v>5.1400000000000001E-2</v>
      </c>
      <c r="I9" s="110">
        <v>5.62</v>
      </c>
      <c r="J9" s="110">
        <v>0.28999999999999998</v>
      </c>
    </row>
    <row r="10" spans="1:10" ht="24" customHeight="1" x14ac:dyDescent="0.2">
      <c r="A10" s="113" t="s">
        <v>1859</v>
      </c>
      <c r="B10" s="114" t="s">
        <v>2678</v>
      </c>
      <c r="C10" s="113" t="s">
        <v>20</v>
      </c>
      <c r="D10" s="113" t="s">
        <v>2677</v>
      </c>
      <c r="E10" s="139" t="s">
        <v>1369</v>
      </c>
      <c r="F10" s="139"/>
      <c r="G10" s="112" t="s">
        <v>246</v>
      </c>
      <c r="H10" s="111">
        <v>1.1852</v>
      </c>
      <c r="I10" s="110">
        <v>1.08</v>
      </c>
      <c r="J10" s="110">
        <v>1.28</v>
      </c>
    </row>
    <row r="11" spans="1:10" ht="24" customHeight="1" x14ac:dyDescent="0.2">
      <c r="A11" s="113" t="s">
        <v>1859</v>
      </c>
      <c r="B11" s="114" t="s">
        <v>2626</v>
      </c>
      <c r="C11" s="113" t="s">
        <v>20</v>
      </c>
      <c r="D11" s="113" t="s">
        <v>2625</v>
      </c>
      <c r="E11" s="139" t="s">
        <v>1369</v>
      </c>
      <c r="F11" s="139"/>
      <c r="G11" s="112" t="s">
        <v>213</v>
      </c>
      <c r="H11" s="111">
        <v>1.2613000000000001</v>
      </c>
      <c r="I11" s="110">
        <v>9.41</v>
      </c>
      <c r="J11" s="110">
        <v>11.87</v>
      </c>
    </row>
    <row r="12" spans="1:10" ht="24" customHeight="1" x14ac:dyDescent="0.2">
      <c r="A12" s="113" t="s">
        <v>1859</v>
      </c>
      <c r="B12" s="114" t="s">
        <v>2838</v>
      </c>
      <c r="C12" s="113" t="s">
        <v>20</v>
      </c>
      <c r="D12" s="113" t="s">
        <v>2837</v>
      </c>
      <c r="E12" s="139" t="s">
        <v>1369</v>
      </c>
      <c r="F12" s="139"/>
      <c r="G12" s="112" t="s">
        <v>246</v>
      </c>
      <c r="H12" s="111">
        <v>1.3332999999999999</v>
      </c>
      <c r="I12" s="110">
        <v>0.83</v>
      </c>
      <c r="J12" s="110">
        <v>1.1100000000000001</v>
      </c>
    </row>
    <row r="13" spans="1:10" ht="24" customHeight="1" x14ac:dyDescent="0.2">
      <c r="A13" s="113" t="s">
        <v>1859</v>
      </c>
      <c r="B13" s="114" t="s">
        <v>2176</v>
      </c>
      <c r="C13" s="113" t="s">
        <v>20</v>
      </c>
      <c r="D13" s="113" t="s">
        <v>2175</v>
      </c>
      <c r="E13" s="139" t="s">
        <v>1369</v>
      </c>
      <c r="F13" s="139"/>
      <c r="G13" s="112" t="s">
        <v>96</v>
      </c>
      <c r="H13" s="111">
        <v>1.15E-2</v>
      </c>
      <c r="I13" s="110">
        <v>17.86</v>
      </c>
      <c r="J13" s="110">
        <v>0.21</v>
      </c>
    </row>
    <row r="14" spans="1:10" ht="24" customHeight="1" x14ac:dyDescent="0.2">
      <c r="A14" s="113" t="s">
        <v>1859</v>
      </c>
      <c r="B14" s="114" t="s">
        <v>2836</v>
      </c>
      <c r="C14" s="113" t="s">
        <v>20</v>
      </c>
      <c r="D14" s="113" t="s">
        <v>2835</v>
      </c>
      <c r="E14" s="139" t="s">
        <v>1369</v>
      </c>
      <c r="F14" s="139"/>
      <c r="G14" s="112" t="s">
        <v>22</v>
      </c>
      <c r="H14" s="111">
        <v>1</v>
      </c>
      <c r="I14" s="110">
        <v>275</v>
      </c>
      <c r="J14" s="110">
        <v>275</v>
      </c>
    </row>
    <row r="15" spans="1:10" ht="24" customHeight="1" x14ac:dyDescent="0.2">
      <c r="A15" s="113" t="s">
        <v>1859</v>
      </c>
      <c r="B15" s="114" t="s">
        <v>2608</v>
      </c>
      <c r="C15" s="113" t="s">
        <v>20</v>
      </c>
      <c r="D15" s="113" t="s">
        <v>2607</v>
      </c>
      <c r="E15" s="139" t="s">
        <v>1369</v>
      </c>
      <c r="F15" s="139"/>
      <c r="G15" s="112" t="s">
        <v>213</v>
      </c>
      <c r="H15" s="111">
        <v>2.4022000000000001</v>
      </c>
      <c r="I15" s="110">
        <v>26.47</v>
      </c>
      <c r="J15" s="110">
        <v>63.59</v>
      </c>
    </row>
    <row r="16" spans="1:10" ht="24" customHeight="1" x14ac:dyDescent="0.2">
      <c r="A16" s="113" t="s">
        <v>1859</v>
      </c>
      <c r="B16" s="114" t="s">
        <v>1951</v>
      </c>
      <c r="C16" s="113" t="s">
        <v>20</v>
      </c>
      <c r="D16" s="113" t="s">
        <v>1950</v>
      </c>
      <c r="E16" s="139" t="s">
        <v>1860</v>
      </c>
      <c r="F16" s="139"/>
      <c r="G16" s="112" t="s">
        <v>1864</v>
      </c>
      <c r="H16" s="111">
        <v>0.16919999999999999</v>
      </c>
      <c r="I16" s="110">
        <v>10.62</v>
      </c>
      <c r="J16" s="110">
        <v>1.8</v>
      </c>
    </row>
    <row r="17" spans="1:10" ht="24" customHeight="1" x14ac:dyDescent="0.2">
      <c r="A17" s="113" t="s">
        <v>1859</v>
      </c>
      <c r="B17" s="114" t="s">
        <v>2060</v>
      </c>
      <c r="C17" s="113" t="s">
        <v>20</v>
      </c>
      <c r="D17" s="113" t="s">
        <v>2059</v>
      </c>
      <c r="E17" s="139" t="s">
        <v>1860</v>
      </c>
      <c r="F17" s="139"/>
      <c r="G17" s="112" t="s">
        <v>1864</v>
      </c>
      <c r="H17" s="111">
        <v>2.47E-2</v>
      </c>
      <c r="I17" s="110">
        <v>15.97</v>
      </c>
      <c r="J17" s="110">
        <v>0.39</v>
      </c>
    </row>
    <row r="18" spans="1:10" x14ac:dyDescent="0.2">
      <c r="A18" s="109"/>
      <c r="B18" s="109"/>
      <c r="C18" s="109"/>
      <c r="D18" s="109"/>
      <c r="E18" s="109" t="s">
        <v>1858</v>
      </c>
      <c r="F18" s="108">
        <v>2.19</v>
      </c>
      <c r="G18" s="109" t="s">
        <v>1857</v>
      </c>
      <c r="H18" s="108">
        <v>0</v>
      </c>
      <c r="I18" s="109" t="s">
        <v>1856</v>
      </c>
      <c r="J18" s="108">
        <v>2.19</v>
      </c>
    </row>
    <row r="19" spans="1:10" ht="13.9" customHeight="1" x14ac:dyDescent="0.2">
      <c r="A19" s="109"/>
      <c r="B19" s="109"/>
      <c r="C19" s="109"/>
      <c r="D19" s="109"/>
      <c r="E19" s="109" t="s">
        <v>1855</v>
      </c>
      <c r="F19" s="108">
        <v>94.820670000000007</v>
      </c>
      <c r="G19" s="109"/>
      <c r="H19" s="140" t="s">
        <v>1854</v>
      </c>
      <c r="I19" s="140"/>
      <c r="J19" s="108">
        <v>451.96</v>
      </c>
    </row>
    <row r="20" spans="1:10" ht="30" customHeight="1" thickBot="1" x14ac:dyDescent="0.25">
      <c r="A20" s="100"/>
      <c r="B20" s="100"/>
      <c r="C20" s="100"/>
      <c r="D20" s="100"/>
      <c r="E20" s="100"/>
      <c r="F20" s="100"/>
      <c r="G20" s="100" t="s">
        <v>1853</v>
      </c>
      <c r="H20" s="107">
        <v>3</v>
      </c>
      <c r="I20" s="100" t="s">
        <v>1852</v>
      </c>
      <c r="J20" s="102">
        <v>1355.88</v>
      </c>
    </row>
    <row r="21" spans="1:10" ht="1.1499999999999999" customHeight="1" thickTop="1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2" spans="1:10" ht="18" customHeight="1" x14ac:dyDescent="0.2">
      <c r="A22" s="117"/>
      <c r="B22" s="126" t="s">
        <v>5</v>
      </c>
      <c r="C22" s="117" t="s">
        <v>6</v>
      </c>
      <c r="D22" s="117" t="s">
        <v>7</v>
      </c>
      <c r="E22" s="136" t="s">
        <v>1113</v>
      </c>
      <c r="F22" s="136"/>
      <c r="G22" s="7" t="s">
        <v>8</v>
      </c>
      <c r="H22" s="126" t="s">
        <v>9</v>
      </c>
      <c r="I22" s="126" t="s">
        <v>10</v>
      </c>
      <c r="J22" s="126" t="s">
        <v>12</v>
      </c>
    </row>
    <row r="23" spans="1:10" ht="36" customHeight="1" x14ac:dyDescent="0.2">
      <c r="A23" s="116" t="s">
        <v>1859</v>
      </c>
      <c r="B23" s="1" t="s">
        <v>24</v>
      </c>
      <c r="C23" s="116" t="s">
        <v>25</v>
      </c>
      <c r="D23" s="116" t="s">
        <v>26</v>
      </c>
      <c r="E23" s="137" t="s">
        <v>1449</v>
      </c>
      <c r="F23" s="137"/>
      <c r="G23" s="2" t="s">
        <v>27</v>
      </c>
      <c r="H23" s="115">
        <v>1</v>
      </c>
      <c r="I23" s="61">
        <v>590.62</v>
      </c>
      <c r="J23" s="61">
        <v>590.62</v>
      </c>
    </row>
    <row r="24" spans="1:10" x14ac:dyDescent="0.2">
      <c r="A24" s="109"/>
      <c r="B24" s="109"/>
      <c r="C24" s="109"/>
      <c r="D24" s="109"/>
      <c r="E24" s="109" t="s">
        <v>1858</v>
      </c>
      <c r="F24" s="108">
        <v>0</v>
      </c>
      <c r="G24" s="109" t="s">
        <v>1857</v>
      </c>
      <c r="H24" s="108">
        <v>0</v>
      </c>
      <c r="I24" s="109" t="s">
        <v>1856</v>
      </c>
      <c r="J24" s="108">
        <v>0</v>
      </c>
    </row>
    <row r="25" spans="1:10" ht="13.9" customHeight="1" x14ac:dyDescent="0.2">
      <c r="A25" s="109"/>
      <c r="B25" s="109"/>
      <c r="C25" s="109"/>
      <c r="D25" s="109"/>
      <c r="E25" s="109" t="s">
        <v>1855</v>
      </c>
      <c r="F25" s="108">
        <v>156.81</v>
      </c>
      <c r="G25" s="109"/>
      <c r="H25" s="140" t="s">
        <v>1854</v>
      </c>
      <c r="I25" s="140"/>
      <c r="J25" s="108">
        <v>747.43</v>
      </c>
    </row>
    <row r="26" spans="1:10" ht="30" customHeight="1" thickBot="1" x14ac:dyDescent="0.25">
      <c r="A26" s="100"/>
      <c r="B26" s="100"/>
      <c r="C26" s="100"/>
      <c r="D26" s="100"/>
      <c r="E26" s="100"/>
      <c r="F26" s="100"/>
      <c r="G26" s="100" t="s">
        <v>1853</v>
      </c>
      <c r="H26" s="107">
        <v>5</v>
      </c>
      <c r="I26" s="100" t="s">
        <v>1852</v>
      </c>
      <c r="J26" s="102">
        <v>3737.15</v>
      </c>
    </row>
    <row r="27" spans="1:10" ht="1.1499999999999999" customHeight="1" thickTop="1" x14ac:dyDescent="0.2">
      <c r="A27" s="106"/>
      <c r="B27" s="106"/>
      <c r="C27" s="106"/>
      <c r="D27" s="106"/>
      <c r="E27" s="106"/>
      <c r="F27" s="106"/>
      <c r="G27" s="106"/>
      <c r="H27" s="106"/>
      <c r="I27" s="106"/>
      <c r="J27" s="106"/>
    </row>
    <row r="28" spans="1:10" ht="18" customHeight="1" x14ac:dyDescent="0.2">
      <c r="A28" s="117" t="s">
        <v>28</v>
      </c>
      <c r="B28" s="126" t="s">
        <v>5</v>
      </c>
      <c r="C28" s="117" t="s">
        <v>6</v>
      </c>
      <c r="D28" s="117" t="s">
        <v>7</v>
      </c>
      <c r="E28" s="136" t="s">
        <v>1113</v>
      </c>
      <c r="F28" s="136"/>
      <c r="G28" s="7" t="s">
        <v>8</v>
      </c>
      <c r="H28" s="126" t="s">
        <v>9</v>
      </c>
      <c r="I28" s="126" t="s">
        <v>10</v>
      </c>
      <c r="J28" s="126" t="s">
        <v>12</v>
      </c>
    </row>
    <row r="29" spans="1:10" ht="36" customHeight="1" x14ac:dyDescent="0.2">
      <c r="A29" s="116" t="s">
        <v>1861</v>
      </c>
      <c r="B29" s="1" t="s">
        <v>29</v>
      </c>
      <c r="C29" s="116" t="s">
        <v>25</v>
      </c>
      <c r="D29" s="116" t="s">
        <v>30</v>
      </c>
      <c r="E29" s="137" t="s">
        <v>1472</v>
      </c>
      <c r="F29" s="137"/>
      <c r="G29" s="2" t="s">
        <v>22</v>
      </c>
      <c r="H29" s="115">
        <v>1</v>
      </c>
      <c r="I29" s="61">
        <v>869.63</v>
      </c>
      <c r="J29" s="61">
        <v>869.63</v>
      </c>
    </row>
    <row r="30" spans="1:10" ht="36" customHeight="1" x14ac:dyDescent="0.2">
      <c r="A30" s="121" t="s">
        <v>1888</v>
      </c>
      <c r="B30" s="122" t="s">
        <v>2834</v>
      </c>
      <c r="C30" s="121" t="s">
        <v>25</v>
      </c>
      <c r="D30" s="121" t="s">
        <v>2833</v>
      </c>
      <c r="E30" s="138" t="s">
        <v>1472</v>
      </c>
      <c r="F30" s="138"/>
      <c r="G30" s="120" t="s">
        <v>22</v>
      </c>
      <c r="H30" s="119">
        <v>3.4200000000000001E-2</v>
      </c>
      <c r="I30" s="118">
        <v>178.53</v>
      </c>
      <c r="J30" s="118">
        <v>6.11</v>
      </c>
    </row>
    <row r="31" spans="1:10" ht="36" customHeight="1" x14ac:dyDescent="0.2">
      <c r="A31" s="121" t="s">
        <v>1888</v>
      </c>
      <c r="B31" s="122" t="s">
        <v>2832</v>
      </c>
      <c r="C31" s="121" t="s">
        <v>25</v>
      </c>
      <c r="D31" s="121" t="s">
        <v>2831</v>
      </c>
      <c r="E31" s="138" t="s">
        <v>1472</v>
      </c>
      <c r="F31" s="138"/>
      <c r="G31" s="120" t="s">
        <v>22</v>
      </c>
      <c r="H31" s="119">
        <v>4.3900000000000002E-2</v>
      </c>
      <c r="I31" s="118">
        <v>141.57</v>
      </c>
      <c r="J31" s="118">
        <v>6.21</v>
      </c>
    </row>
    <row r="32" spans="1:10" ht="36" customHeight="1" x14ac:dyDescent="0.2">
      <c r="A32" s="121" t="s">
        <v>1888</v>
      </c>
      <c r="B32" s="122" t="s">
        <v>2830</v>
      </c>
      <c r="C32" s="121" t="s">
        <v>25</v>
      </c>
      <c r="D32" s="121" t="s">
        <v>2829</v>
      </c>
      <c r="E32" s="138" t="s">
        <v>1472</v>
      </c>
      <c r="F32" s="138"/>
      <c r="G32" s="120" t="s">
        <v>22</v>
      </c>
      <c r="H32" s="119">
        <v>0.35170000000000001</v>
      </c>
      <c r="I32" s="118">
        <v>135.61000000000001</v>
      </c>
      <c r="J32" s="118">
        <v>47.69</v>
      </c>
    </row>
    <row r="33" spans="1:10" ht="36" customHeight="1" x14ac:dyDescent="0.2">
      <c r="A33" s="121" t="s">
        <v>1888</v>
      </c>
      <c r="B33" s="122" t="s">
        <v>2828</v>
      </c>
      <c r="C33" s="121" t="s">
        <v>25</v>
      </c>
      <c r="D33" s="121" t="s">
        <v>2827</v>
      </c>
      <c r="E33" s="138" t="s">
        <v>1472</v>
      </c>
      <c r="F33" s="138"/>
      <c r="G33" s="120" t="s">
        <v>22</v>
      </c>
      <c r="H33" s="119">
        <v>0.4284</v>
      </c>
      <c r="I33" s="118">
        <v>211.5</v>
      </c>
      <c r="J33" s="118">
        <v>90.61</v>
      </c>
    </row>
    <row r="34" spans="1:10" ht="36" customHeight="1" x14ac:dyDescent="0.2">
      <c r="A34" s="121" t="s">
        <v>1888</v>
      </c>
      <c r="B34" s="122" t="s">
        <v>2826</v>
      </c>
      <c r="C34" s="121" t="s">
        <v>25</v>
      </c>
      <c r="D34" s="121" t="s">
        <v>2825</v>
      </c>
      <c r="E34" s="138" t="s">
        <v>1472</v>
      </c>
      <c r="F34" s="138"/>
      <c r="G34" s="120" t="s">
        <v>22</v>
      </c>
      <c r="H34" s="119">
        <v>0.40479999999999999</v>
      </c>
      <c r="I34" s="118">
        <v>138.16999999999999</v>
      </c>
      <c r="J34" s="118">
        <v>55.93</v>
      </c>
    </row>
    <row r="35" spans="1:10" ht="36" customHeight="1" x14ac:dyDescent="0.2">
      <c r="A35" s="121" t="s">
        <v>1888</v>
      </c>
      <c r="B35" s="122" t="s">
        <v>2824</v>
      </c>
      <c r="C35" s="121" t="s">
        <v>25</v>
      </c>
      <c r="D35" s="121" t="s">
        <v>2823</v>
      </c>
      <c r="E35" s="138" t="s">
        <v>1472</v>
      </c>
      <c r="F35" s="138"/>
      <c r="G35" s="120" t="s">
        <v>22</v>
      </c>
      <c r="H35" s="119">
        <v>3.2300000000000002E-2</v>
      </c>
      <c r="I35" s="118">
        <v>121.06</v>
      </c>
      <c r="J35" s="118">
        <v>3.91</v>
      </c>
    </row>
    <row r="36" spans="1:10" ht="36" customHeight="1" x14ac:dyDescent="0.2">
      <c r="A36" s="121" t="s">
        <v>1888</v>
      </c>
      <c r="B36" s="122" t="s">
        <v>2822</v>
      </c>
      <c r="C36" s="121" t="s">
        <v>25</v>
      </c>
      <c r="D36" s="121" t="s">
        <v>2821</v>
      </c>
      <c r="E36" s="138" t="s">
        <v>1472</v>
      </c>
      <c r="F36" s="138"/>
      <c r="G36" s="120" t="s">
        <v>22</v>
      </c>
      <c r="H36" s="119">
        <v>0.54949999999999999</v>
      </c>
      <c r="I36" s="118">
        <v>164.47</v>
      </c>
      <c r="J36" s="118">
        <v>90.38</v>
      </c>
    </row>
    <row r="37" spans="1:10" ht="36" customHeight="1" x14ac:dyDescent="0.2">
      <c r="A37" s="121" t="s">
        <v>1888</v>
      </c>
      <c r="B37" s="122" t="s">
        <v>2820</v>
      </c>
      <c r="C37" s="121" t="s">
        <v>25</v>
      </c>
      <c r="D37" s="121" t="s">
        <v>2819</v>
      </c>
      <c r="E37" s="138" t="s">
        <v>1472</v>
      </c>
      <c r="F37" s="138"/>
      <c r="G37" s="120" t="s">
        <v>22</v>
      </c>
      <c r="H37" s="119">
        <v>2.81E-2</v>
      </c>
      <c r="I37" s="118">
        <v>119.25</v>
      </c>
      <c r="J37" s="118">
        <v>3.35</v>
      </c>
    </row>
    <row r="38" spans="1:10" ht="48" customHeight="1" x14ac:dyDescent="0.2">
      <c r="A38" s="121" t="s">
        <v>1888</v>
      </c>
      <c r="B38" s="122" t="s">
        <v>2818</v>
      </c>
      <c r="C38" s="121" t="s">
        <v>25</v>
      </c>
      <c r="D38" s="121" t="s">
        <v>2817</v>
      </c>
      <c r="E38" s="138" t="s">
        <v>1481</v>
      </c>
      <c r="F38" s="138"/>
      <c r="G38" s="120" t="s">
        <v>22</v>
      </c>
      <c r="H38" s="119">
        <v>1.4396</v>
      </c>
      <c r="I38" s="118">
        <v>22.81</v>
      </c>
      <c r="J38" s="118">
        <v>32.840000000000003</v>
      </c>
    </row>
    <row r="39" spans="1:10" ht="48" customHeight="1" x14ac:dyDescent="0.2">
      <c r="A39" s="121" t="s">
        <v>1888</v>
      </c>
      <c r="B39" s="122" t="s">
        <v>2816</v>
      </c>
      <c r="C39" s="121" t="s">
        <v>25</v>
      </c>
      <c r="D39" s="121" t="s">
        <v>2815</v>
      </c>
      <c r="E39" s="138" t="s">
        <v>1481</v>
      </c>
      <c r="F39" s="138"/>
      <c r="G39" s="120" t="s">
        <v>22</v>
      </c>
      <c r="H39" s="119">
        <v>1.4396</v>
      </c>
      <c r="I39" s="118">
        <v>53.25</v>
      </c>
      <c r="J39" s="118"/>
    </row>
    <row r="40" spans="1:10" ht="36" customHeight="1" x14ac:dyDescent="0.2">
      <c r="A40" s="121" t="s">
        <v>1888</v>
      </c>
      <c r="B40" s="122" t="s">
        <v>2814</v>
      </c>
      <c r="C40" s="121" t="s">
        <v>25</v>
      </c>
      <c r="D40" s="121" t="s">
        <v>2813</v>
      </c>
      <c r="E40" s="138" t="s">
        <v>1398</v>
      </c>
      <c r="F40" s="138"/>
      <c r="G40" s="120" t="s">
        <v>22</v>
      </c>
      <c r="H40" s="119">
        <v>6.3399999999999998E-2</v>
      </c>
      <c r="I40" s="118">
        <v>611.64</v>
      </c>
      <c r="J40" s="118">
        <v>38.78</v>
      </c>
    </row>
    <row r="41" spans="1:10" ht="48" customHeight="1" x14ac:dyDescent="0.2">
      <c r="A41" s="121" t="s">
        <v>1888</v>
      </c>
      <c r="B41" s="122" t="s">
        <v>2812</v>
      </c>
      <c r="C41" s="121" t="s">
        <v>25</v>
      </c>
      <c r="D41" s="121" t="s">
        <v>2811</v>
      </c>
      <c r="E41" s="138" t="s">
        <v>1398</v>
      </c>
      <c r="F41" s="138"/>
      <c r="G41" s="120" t="s">
        <v>22</v>
      </c>
      <c r="H41" s="119">
        <v>7.5499999999999998E-2</v>
      </c>
      <c r="I41" s="118">
        <v>783.73</v>
      </c>
      <c r="J41" s="118">
        <v>59.17</v>
      </c>
    </row>
    <row r="42" spans="1:10" ht="36" customHeight="1" x14ac:dyDescent="0.2">
      <c r="A42" s="121" t="s">
        <v>1888</v>
      </c>
      <c r="B42" s="122" t="s">
        <v>2810</v>
      </c>
      <c r="C42" s="121" t="s">
        <v>25</v>
      </c>
      <c r="D42" s="121" t="s">
        <v>2809</v>
      </c>
      <c r="E42" s="138" t="s">
        <v>1415</v>
      </c>
      <c r="F42" s="138"/>
      <c r="G42" s="120" t="s">
        <v>22</v>
      </c>
      <c r="H42" s="119">
        <v>1.4396</v>
      </c>
      <c r="I42" s="118">
        <v>27.37</v>
      </c>
      <c r="J42" s="118">
        <v>39.4</v>
      </c>
    </row>
    <row r="43" spans="1:10" ht="36" customHeight="1" x14ac:dyDescent="0.2">
      <c r="A43" s="121" t="s">
        <v>1888</v>
      </c>
      <c r="B43" s="122" t="s">
        <v>2808</v>
      </c>
      <c r="C43" s="121" t="s">
        <v>25</v>
      </c>
      <c r="D43" s="121" t="s">
        <v>2807</v>
      </c>
      <c r="E43" s="138" t="s">
        <v>1415</v>
      </c>
      <c r="F43" s="138"/>
      <c r="G43" s="120" t="s">
        <v>22</v>
      </c>
      <c r="H43" s="119">
        <v>6.0000000000000001E-3</v>
      </c>
      <c r="I43" s="118">
        <v>16.420000000000002</v>
      </c>
      <c r="J43" s="118">
        <v>0.1</v>
      </c>
    </row>
    <row r="44" spans="1:10" ht="36" customHeight="1" x14ac:dyDescent="0.2">
      <c r="A44" s="121" t="s">
        <v>1888</v>
      </c>
      <c r="B44" s="122" t="s">
        <v>2806</v>
      </c>
      <c r="C44" s="121" t="s">
        <v>25</v>
      </c>
      <c r="D44" s="121" t="s">
        <v>2805</v>
      </c>
      <c r="E44" s="138" t="s">
        <v>1415</v>
      </c>
      <c r="F44" s="138"/>
      <c r="G44" s="120" t="s">
        <v>49</v>
      </c>
      <c r="H44" s="119">
        <v>2.69E-2</v>
      </c>
      <c r="I44" s="118">
        <v>799</v>
      </c>
      <c r="J44" s="118">
        <v>21.49</v>
      </c>
    </row>
    <row r="45" spans="1:10" ht="36" customHeight="1" x14ac:dyDescent="0.2">
      <c r="A45" s="121" t="s">
        <v>1888</v>
      </c>
      <c r="B45" s="122" t="s">
        <v>2804</v>
      </c>
      <c r="C45" s="121" t="s">
        <v>25</v>
      </c>
      <c r="D45" s="121" t="s">
        <v>2803</v>
      </c>
      <c r="E45" s="138" t="s">
        <v>1362</v>
      </c>
      <c r="F45" s="138"/>
      <c r="G45" s="120" t="s">
        <v>92</v>
      </c>
      <c r="H45" s="119">
        <v>0.25180000000000002</v>
      </c>
      <c r="I45" s="118">
        <v>7.45</v>
      </c>
      <c r="J45" s="118">
        <v>1.88</v>
      </c>
    </row>
    <row r="46" spans="1:10" ht="36" customHeight="1" x14ac:dyDescent="0.2">
      <c r="A46" s="121" t="s">
        <v>1888</v>
      </c>
      <c r="B46" s="122" t="s">
        <v>2802</v>
      </c>
      <c r="C46" s="121" t="s">
        <v>25</v>
      </c>
      <c r="D46" s="121" t="s">
        <v>2801</v>
      </c>
      <c r="E46" s="138" t="s">
        <v>1362</v>
      </c>
      <c r="F46" s="138"/>
      <c r="G46" s="120" t="s">
        <v>92</v>
      </c>
      <c r="H46" s="119">
        <v>0.2266</v>
      </c>
      <c r="I46" s="118">
        <v>8.4</v>
      </c>
      <c r="J46" s="118">
        <v>1.9</v>
      </c>
    </row>
    <row r="47" spans="1:10" ht="36" customHeight="1" x14ac:dyDescent="0.2">
      <c r="A47" s="121" t="s">
        <v>1888</v>
      </c>
      <c r="B47" s="122" t="s">
        <v>2800</v>
      </c>
      <c r="C47" s="121" t="s">
        <v>25</v>
      </c>
      <c r="D47" s="121" t="s">
        <v>2799</v>
      </c>
      <c r="E47" s="138" t="s">
        <v>1362</v>
      </c>
      <c r="F47" s="138"/>
      <c r="G47" s="120" t="s">
        <v>236</v>
      </c>
      <c r="H47" s="119">
        <v>7.5499999999999998E-2</v>
      </c>
      <c r="I47" s="118">
        <v>9.84</v>
      </c>
      <c r="J47" s="118">
        <v>0.74</v>
      </c>
    </row>
    <row r="48" spans="1:10" ht="36" customHeight="1" x14ac:dyDescent="0.2">
      <c r="A48" s="121" t="s">
        <v>1888</v>
      </c>
      <c r="B48" s="122" t="s">
        <v>2798</v>
      </c>
      <c r="C48" s="121" t="s">
        <v>25</v>
      </c>
      <c r="D48" s="121" t="s">
        <v>2797</v>
      </c>
      <c r="E48" s="138" t="s">
        <v>1362</v>
      </c>
      <c r="F48" s="138"/>
      <c r="G48" s="120" t="s">
        <v>236</v>
      </c>
      <c r="H48" s="119">
        <v>2.52E-2</v>
      </c>
      <c r="I48" s="118">
        <v>10.48</v>
      </c>
      <c r="J48" s="118">
        <v>0.26</v>
      </c>
    </row>
    <row r="49" spans="1:10" ht="24" customHeight="1" x14ac:dyDescent="0.2">
      <c r="A49" s="121" t="s">
        <v>1888</v>
      </c>
      <c r="B49" s="122" t="s">
        <v>2796</v>
      </c>
      <c r="C49" s="121" t="s">
        <v>25</v>
      </c>
      <c r="D49" s="121" t="s">
        <v>2795</v>
      </c>
      <c r="E49" s="138" t="s">
        <v>1362</v>
      </c>
      <c r="F49" s="138"/>
      <c r="G49" s="120" t="s">
        <v>236</v>
      </c>
      <c r="H49" s="119">
        <v>0.12590000000000001</v>
      </c>
      <c r="I49" s="118">
        <v>8.07</v>
      </c>
      <c r="J49" s="118">
        <v>1.02</v>
      </c>
    </row>
    <row r="50" spans="1:10" ht="36" customHeight="1" x14ac:dyDescent="0.2">
      <c r="A50" s="121" t="s">
        <v>1888</v>
      </c>
      <c r="B50" s="122" t="s">
        <v>2794</v>
      </c>
      <c r="C50" s="121" t="s">
        <v>25</v>
      </c>
      <c r="D50" s="121" t="s">
        <v>2793</v>
      </c>
      <c r="E50" s="138" t="s">
        <v>1362</v>
      </c>
      <c r="F50" s="138"/>
      <c r="G50" s="120" t="s">
        <v>236</v>
      </c>
      <c r="H50" s="119">
        <v>5.04E-2</v>
      </c>
      <c r="I50" s="118">
        <v>25.11</v>
      </c>
      <c r="J50" s="118">
        <v>1.27</v>
      </c>
    </row>
    <row r="51" spans="1:10" ht="36" customHeight="1" x14ac:dyDescent="0.2">
      <c r="A51" s="121" t="s">
        <v>1888</v>
      </c>
      <c r="B51" s="122" t="s">
        <v>2792</v>
      </c>
      <c r="C51" s="121" t="s">
        <v>25</v>
      </c>
      <c r="D51" s="121" t="s">
        <v>2791</v>
      </c>
      <c r="E51" s="138" t="s">
        <v>1362</v>
      </c>
      <c r="F51" s="138"/>
      <c r="G51" s="120" t="s">
        <v>236</v>
      </c>
      <c r="H51" s="119">
        <v>2.52E-2</v>
      </c>
      <c r="I51" s="118">
        <v>72.39</v>
      </c>
      <c r="J51" s="118">
        <v>1.82</v>
      </c>
    </row>
    <row r="52" spans="1:10" ht="36" customHeight="1" x14ac:dyDescent="0.2">
      <c r="A52" s="121" t="s">
        <v>1888</v>
      </c>
      <c r="B52" s="122" t="s">
        <v>2790</v>
      </c>
      <c r="C52" s="121" t="s">
        <v>25</v>
      </c>
      <c r="D52" s="121" t="s">
        <v>2789</v>
      </c>
      <c r="E52" s="138" t="s">
        <v>1362</v>
      </c>
      <c r="F52" s="138"/>
      <c r="G52" s="120" t="s">
        <v>236</v>
      </c>
      <c r="H52" s="119">
        <v>5.04E-2</v>
      </c>
      <c r="I52" s="118">
        <v>17.8</v>
      </c>
      <c r="J52" s="118">
        <v>0.9</v>
      </c>
    </row>
    <row r="53" spans="1:10" ht="36" customHeight="1" x14ac:dyDescent="0.2">
      <c r="A53" s="121" t="s">
        <v>1888</v>
      </c>
      <c r="B53" s="122" t="s">
        <v>2788</v>
      </c>
      <c r="C53" s="121" t="s">
        <v>25</v>
      </c>
      <c r="D53" s="121" t="s">
        <v>2787</v>
      </c>
      <c r="E53" s="138" t="s">
        <v>1362</v>
      </c>
      <c r="F53" s="138"/>
      <c r="G53" s="120" t="s">
        <v>92</v>
      </c>
      <c r="H53" s="119">
        <v>0.67979999999999996</v>
      </c>
      <c r="I53" s="118">
        <v>3.68</v>
      </c>
      <c r="J53" s="118">
        <v>2.5</v>
      </c>
    </row>
    <row r="54" spans="1:10" ht="36" customHeight="1" x14ac:dyDescent="0.2">
      <c r="A54" s="121" t="s">
        <v>1888</v>
      </c>
      <c r="B54" s="122" t="s">
        <v>2786</v>
      </c>
      <c r="C54" s="121" t="s">
        <v>25</v>
      </c>
      <c r="D54" s="121" t="s">
        <v>2785</v>
      </c>
      <c r="E54" s="138" t="s">
        <v>1362</v>
      </c>
      <c r="F54" s="138"/>
      <c r="G54" s="120" t="s">
        <v>92</v>
      </c>
      <c r="H54" s="119">
        <v>0.62190000000000001</v>
      </c>
      <c r="I54" s="118">
        <v>2.52</v>
      </c>
      <c r="J54" s="118">
        <v>1.57</v>
      </c>
    </row>
    <row r="55" spans="1:10" ht="36" customHeight="1" x14ac:dyDescent="0.2">
      <c r="A55" s="121" t="s">
        <v>1888</v>
      </c>
      <c r="B55" s="122" t="s">
        <v>2784</v>
      </c>
      <c r="C55" s="121" t="s">
        <v>25</v>
      </c>
      <c r="D55" s="121" t="s">
        <v>2783</v>
      </c>
      <c r="E55" s="138" t="s">
        <v>1362</v>
      </c>
      <c r="F55" s="138"/>
      <c r="G55" s="120" t="s">
        <v>236</v>
      </c>
      <c r="H55" s="119">
        <v>5.04E-2</v>
      </c>
      <c r="I55" s="118">
        <v>20.38</v>
      </c>
      <c r="J55" s="118">
        <v>1.03</v>
      </c>
    </row>
    <row r="56" spans="1:10" ht="36" customHeight="1" x14ac:dyDescent="0.2">
      <c r="A56" s="121" t="s">
        <v>1888</v>
      </c>
      <c r="B56" s="122" t="s">
        <v>2782</v>
      </c>
      <c r="C56" s="121" t="s">
        <v>25</v>
      </c>
      <c r="D56" s="121" t="s">
        <v>2781</v>
      </c>
      <c r="E56" s="138" t="s">
        <v>1362</v>
      </c>
      <c r="F56" s="138"/>
      <c r="G56" s="120" t="s">
        <v>236</v>
      </c>
      <c r="H56" s="119">
        <v>2.52E-2</v>
      </c>
      <c r="I56" s="118">
        <v>49.29</v>
      </c>
      <c r="J56" s="118">
        <v>1.24</v>
      </c>
    </row>
    <row r="57" spans="1:10" ht="48" customHeight="1" x14ac:dyDescent="0.2">
      <c r="A57" s="121" t="s">
        <v>1888</v>
      </c>
      <c r="B57" s="122" t="s">
        <v>2780</v>
      </c>
      <c r="C57" s="121" t="s">
        <v>25</v>
      </c>
      <c r="D57" s="121" t="s">
        <v>2779</v>
      </c>
      <c r="E57" s="138" t="s">
        <v>1362</v>
      </c>
      <c r="F57" s="138"/>
      <c r="G57" s="120" t="s">
        <v>236</v>
      </c>
      <c r="H57" s="119">
        <v>0.1007</v>
      </c>
      <c r="I57" s="118">
        <v>118.07</v>
      </c>
      <c r="J57" s="118">
        <v>11.89</v>
      </c>
    </row>
    <row r="58" spans="1:10" ht="36" customHeight="1" x14ac:dyDescent="0.2">
      <c r="A58" s="121" t="s">
        <v>1888</v>
      </c>
      <c r="B58" s="122" t="s">
        <v>2778</v>
      </c>
      <c r="C58" s="121" t="s">
        <v>25</v>
      </c>
      <c r="D58" s="121" t="s">
        <v>2777</v>
      </c>
      <c r="E58" s="138" t="s">
        <v>1362</v>
      </c>
      <c r="F58" s="138"/>
      <c r="G58" s="120" t="s">
        <v>236</v>
      </c>
      <c r="H58" s="119">
        <v>2.52E-2</v>
      </c>
      <c r="I58" s="118">
        <v>110.19</v>
      </c>
      <c r="J58" s="118">
        <v>2.78</v>
      </c>
    </row>
    <row r="59" spans="1:10" ht="24" customHeight="1" x14ac:dyDescent="0.2">
      <c r="A59" s="121" t="s">
        <v>1888</v>
      </c>
      <c r="B59" s="122" t="s">
        <v>2776</v>
      </c>
      <c r="C59" s="121" t="s">
        <v>25</v>
      </c>
      <c r="D59" s="121" t="s">
        <v>2775</v>
      </c>
      <c r="E59" s="138" t="s">
        <v>1362</v>
      </c>
      <c r="F59" s="138"/>
      <c r="G59" s="120" t="s">
        <v>236</v>
      </c>
      <c r="H59" s="119">
        <v>2.52E-2</v>
      </c>
      <c r="I59" s="118">
        <v>21.25</v>
      </c>
      <c r="J59" s="118">
        <v>0.54</v>
      </c>
    </row>
    <row r="60" spans="1:10" ht="60" customHeight="1" x14ac:dyDescent="0.2">
      <c r="A60" s="121" t="s">
        <v>1888</v>
      </c>
      <c r="B60" s="122" t="s">
        <v>2774</v>
      </c>
      <c r="C60" s="121" t="s">
        <v>25</v>
      </c>
      <c r="D60" s="121" t="s">
        <v>2773</v>
      </c>
      <c r="E60" s="138" t="s">
        <v>1495</v>
      </c>
      <c r="F60" s="138"/>
      <c r="G60" s="120" t="s">
        <v>92</v>
      </c>
      <c r="H60" s="119">
        <v>0.25180000000000002</v>
      </c>
      <c r="I60" s="118">
        <v>2.35</v>
      </c>
      <c r="J60" s="118">
        <v>0.59</v>
      </c>
    </row>
    <row r="61" spans="1:10" ht="48" customHeight="1" x14ac:dyDescent="0.2">
      <c r="A61" s="121" t="s">
        <v>1888</v>
      </c>
      <c r="B61" s="122" t="s">
        <v>2772</v>
      </c>
      <c r="C61" s="121" t="s">
        <v>25</v>
      </c>
      <c r="D61" s="121" t="s">
        <v>2771</v>
      </c>
      <c r="E61" s="138" t="s">
        <v>1495</v>
      </c>
      <c r="F61" s="138"/>
      <c r="G61" s="120" t="s">
        <v>92</v>
      </c>
      <c r="H61" s="119">
        <v>0.2266</v>
      </c>
      <c r="I61" s="118">
        <v>1.2</v>
      </c>
      <c r="J61" s="118">
        <v>0.27</v>
      </c>
    </row>
    <row r="62" spans="1:10" ht="24" customHeight="1" x14ac:dyDescent="0.2">
      <c r="A62" s="121" t="s">
        <v>1888</v>
      </c>
      <c r="B62" s="122" t="s">
        <v>2770</v>
      </c>
      <c r="C62" s="121" t="s">
        <v>25</v>
      </c>
      <c r="D62" s="121" t="s">
        <v>2769</v>
      </c>
      <c r="E62" s="138" t="s">
        <v>1413</v>
      </c>
      <c r="F62" s="138"/>
      <c r="G62" s="120" t="s">
        <v>49</v>
      </c>
      <c r="H62" s="119">
        <v>2.6200000000000001E-2</v>
      </c>
      <c r="I62" s="118">
        <v>63.53</v>
      </c>
      <c r="J62" s="118">
        <v>1.66</v>
      </c>
    </row>
    <row r="63" spans="1:10" ht="24" customHeight="1" x14ac:dyDescent="0.2">
      <c r="A63" s="121" t="s">
        <v>1888</v>
      </c>
      <c r="B63" s="122" t="s">
        <v>2768</v>
      </c>
      <c r="C63" s="121" t="s">
        <v>25</v>
      </c>
      <c r="D63" s="121" t="s">
        <v>2767</v>
      </c>
      <c r="E63" s="138" t="s">
        <v>1413</v>
      </c>
      <c r="F63" s="138"/>
      <c r="G63" s="120" t="s">
        <v>49</v>
      </c>
      <c r="H63" s="119">
        <v>6.7000000000000002E-3</v>
      </c>
      <c r="I63" s="118">
        <v>38.520000000000003</v>
      </c>
      <c r="J63" s="118">
        <v>0.26</v>
      </c>
    </row>
    <row r="64" spans="1:10" ht="24" customHeight="1" x14ac:dyDescent="0.2">
      <c r="A64" s="121" t="s">
        <v>1888</v>
      </c>
      <c r="B64" s="122" t="s">
        <v>1257</v>
      </c>
      <c r="C64" s="121" t="s">
        <v>25</v>
      </c>
      <c r="D64" s="121" t="s">
        <v>1256</v>
      </c>
      <c r="E64" s="138" t="s">
        <v>1424</v>
      </c>
      <c r="F64" s="138"/>
      <c r="G64" s="120" t="s">
        <v>22</v>
      </c>
      <c r="H64" s="119">
        <v>3.7456999999999998</v>
      </c>
      <c r="I64" s="118">
        <v>13.56</v>
      </c>
      <c r="J64" s="118">
        <v>50.79</v>
      </c>
    </row>
    <row r="65" spans="1:10" ht="24" customHeight="1" x14ac:dyDescent="0.2">
      <c r="A65" s="121" t="s">
        <v>1888</v>
      </c>
      <c r="B65" s="122" t="s">
        <v>2152</v>
      </c>
      <c r="C65" s="121" t="s">
        <v>25</v>
      </c>
      <c r="D65" s="121" t="s">
        <v>2151</v>
      </c>
      <c r="E65" s="138" t="s">
        <v>1902</v>
      </c>
      <c r="F65" s="138"/>
      <c r="G65" s="120" t="s">
        <v>61</v>
      </c>
      <c r="H65" s="119">
        <v>0.97940000000000005</v>
      </c>
      <c r="I65" s="118">
        <v>21.3</v>
      </c>
      <c r="J65" s="118">
        <v>20.86</v>
      </c>
    </row>
    <row r="66" spans="1:10" ht="24" customHeight="1" x14ac:dyDescent="0.2">
      <c r="A66" s="113" t="s">
        <v>1859</v>
      </c>
      <c r="B66" s="114" t="s">
        <v>2766</v>
      </c>
      <c r="C66" s="113" t="s">
        <v>25</v>
      </c>
      <c r="D66" s="113" t="s">
        <v>2765</v>
      </c>
      <c r="E66" s="139" t="s">
        <v>1369</v>
      </c>
      <c r="F66" s="139"/>
      <c r="G66" s="112" t="s">
        <v>92</v>
      </c>
      <c r="H66" s="111">
        <v>3.4843999999999999</v>
      </c>
      <c r="I66" s="110">
        <v>6.26</v>
      </c>
      <c r="J66" s="110">
        <v>21.81</v>
      </c>
    </row>
    <row r="67" spans="1:10" ht="24" customHeight="1" x14ac:dyDescent="0.2">
      <c r="A67" s="113" t="s">
        <v>1859</v>
      </c>
      <c r="B67" s="114" t="s">
        <v>2764</v>
      </c>
      <c r="C67" s="113" t="s">
        <v>25</v>
      </c>
      <c r="D67" s="113" t="s">
        <v>2763</v>
      </c>
      <c r="E67" s="139" t="s">
        <v>1369</v>
      </c>
      <c r="F67" s="139"/>
      <c r="G67" s="112" t="s">
        <v>236</v>
      </c>
      <c r="H67" s="111">
        <v>2.52E-2</v>
      </c>
      <c r="I67" s="110">
        <v>152.30000000000001</v>
      </c>
      <c r="J67" s="110">
        <v>3.84</v>
      </c>
    </row>
    <row r="68" spans="1:10" ht="36" customHeight="1" x14ac:dyDescent="0.2">
      <c r="A68" s="113" t="s">
        <v>1859</v>
      </c>
      <c r="B68" s="114" t="s">
        <v>2762</v>
      </c>
      <c r="C68" s="113" t="s">
        <v>25</v>
      </c>
      <c r="D68" s="113" t="s">
        <v>2761</v>
      </c>
      <c r="E68" s="139" t="s">
        <v>1369</v>
      </c>
      <c r="F68" s="139"/>
      <c r="G68" s="112" t="s">
        <v>22</v>
      </c>
      <c r="H68" s="111">
        <v>1</v>
      </c>
      <c r="I68" s="110">
        <v>85.44</v>
      </c>
      <c r="J68" s="110">
        <v>85.44</v>
      </c>
    </row>
    <row r="69" spans="1:10" ht="36" customHeight="1" x14ac:dyDescent="0.2">
      <c r="A69" s="113" t="s">
        <v>1859</v>
      </c>
      <c r="B69" s="114" t="s">
        <v>2760</v>
      </c>
      <c r="C69" s="113" t="s">
        <v>25</v>
      </c>
      <c r="D69" s="113" t="s">
        <v>2759</v>
      </c>
      <c r="E69" s="139" t="s">
        <v>1369</v>
      </c>
      <c r="F69" s="139"/>
      <c r="G69" s="112" t="s">
        <v>236</v>
      </c>
      <c r="H69" s="111">
        <v>2.52E-2</v>
      </c>
      <c r="I69" s="110">
        <v>13.23</v>
      </c>
      <c r="J69" s="110">
        <v>0.33</v>
      </c>
    </row>
    <row r="70" spans="1:10" ht="24" customHeight="1" x14ac:dyDescent="0.2">
      <c r="A70" s="113" t="s">
        <v>1859</v>
      </c>
      <c r="B70" s="114" t="s">
        <v>2758</v>
      </c>
      <c r="C70" s="113" t="s">
        <v>25</v>
      </c>
      <c r="D70" s="113" t="s">
        <v>2757</v>
      </c>
      <c r="E70" s="139" t="s">
        <v>1369</v>
      </c>
      <c r="F70" s="139"/>
      <c r="G70" s="112" t="s">
        <v>236</v>
      </c>
      <c r="H70" s="111">
        <v>2.52E-2</v>
      </c>
      <c r="I70" s="110">
        <v>157.5</v>
      </c>
      <c r="J70" s="110">
        <v>3.97</v>
      </c>
    </row>
    <row r="71" spans="1:10" ht="24" customHeight="1" x14ac:dyDescent="0.2">
      <c r="A71" s="113" t="s">
        <v>1859</v>
      </c>
      <c r="B71" s="114" t="s">
        <v>2756</v>
      </c>
      <c r="C71" s="113" t="s">
        <v>25</v>
      </c>
      <c r="D71" s="113" t="s">
        <v>2755</v>
      </c>
      <c r="E71" s="139" t="s">
        <v>1369</v>
      </c>
      <c r="F71" s="139"/>
      <c r="G71" s="112" t="s">
        <v>92</v>
      </c>
      <c r="H71" s="111">
        <v>3.9174000000000002</v>
      </c>
      <c r="I71" s="110">
        <v>19.36</v>
      </c>
      <c r="J71" s="110">
        <v>75.84</v>
      </c>
    </row>
    <row r="72" spans="1:10" x14ac:dyDescent="0.2">
      <c r="A72" s="109"/>
      <c r="B72" s="109"/>
      <c r="C72" s="109"/>
      <c r="D72" s="109"/>
      <c r="E72" s="109" t="s">
        <v>1858</v>
      </c>
      <c r="F72" s="108">
        <v>115.02</v>
      </c>
      <c r="G72" s="109" t="s">
        <v>1857</v>
      </c>
      <c r="H72" s="108">
        <v>0.04</v>
      </c>
      <c r="I72" s="109" t="s">
        <v>1856</v>
      </c>
      <c r="J72" s="108">
        <v>115.06</v>
      </c>
    </row>
    <row r="73" spans="1:10" ht="13.9" customHeight="1" x14ac:dyDescent="0.2">
      <c r="A73" s="109"/>
      <c r="B73" s="109"/>
      <c r="C73" s="109"/>
      <c r="D73" s="109"/>
      <c r="E73" s="109" t="s">
        <v>1855</v>
      </c>
      <c r="F73" s="108">
        <v>230.886765</v>
      </c>
      <c r="G73" s="109"/>
      <c r="H73" s="140" t="s">
        <v>1854</v>
      </c>
      <c r="I73" s="140"/>
      <c r="J73" s="108">
        <v>1100.52</v>
      </c>
    </row>
    <row r="74" spans="1:10" ht="30" customHeight="1" thickBot="1" x14ac:dyDescent="0.25">
      <c r="A74" s="100"/>
      <c r="B74" s="100"/>
      <c r="C74" s="100"/>
      <c r="D74" s="100"/>
      <c r="E74" s="100"/>
      <c r="F74" s="100"/>
      <c r="G74" s="100" t="s">
        <v>1853</v>
      </c>
      <c r="H74" s="107">
        <v>8</v>
      </c>
      <c r="I74" s="100" t="s">
        <v>1852</v>
      </c>
      <c r="J74" s="102">
        <v>8804.16</v>
      </c>
    </row>
    <row r="75" spans="1:10" ht="1.1499999999999999" customHeight="1" thickTop="1" x14ac:dyDescent="0.2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ht="18" customHeight="1" x14ac:dyDescent="0.2">
      <c r="A76" s="117" t="s">
        <v>31</v>
      </c>
      <c r="B76" s="126" t="s">
        <v>5</v>
      </c>
      <c r="C76" s="117" t="s">
        <v>6</v>
      </c>
      <c r="D76" s="117" t="s">
        <v>7</v>
      </c>
      <c r="E76" s="136" t="s">
        <v>1113</v>
      </c>
      <c r="F76" s="136"/>
      <c r="G76" s="7" t="s">
        <v>8</v>
      </c>
      <c r="H76" s="126" t="s">
        <v>9</v>
      </c>
      <c r="I76" s="126" t="s">
        <v>10</v>
      </c>
      <c r="J76" s="126" t="s">
        <v>12</v>
      </c>
    </row>
    <row r="77" spans="1:10" ht="36" customHeight="1" x14ac:dyDescent="0.2">
      <c r="A77" s="116" t="s">
        <v>1861</v>
      </c>
      <c r="B77" s="1" t="s">
        <v>32</v>
      </c>
      <c r="C77" s="116" t="s">
        <v>20</v>
      </c>
      <c r="D77" s="116" t="s">
        <v>33</v>
      </c>
      <c r="E77" s="137">
        <v>2</v>
      </c>
      <c r="F77" s="137"/>
      <c r="G77" s="2" t="s">
        <v>22</v>
      </c>
      <c r="H77" s="115">
        <v>1</v>
      </c>
      <c r="I77" s="61">
        <v>5.23</v>
      </c>
      <c r="J77" s="61">
        <v>5.23</v>
      </c>
    </row>
    <row r="78" spans="1:10" ht="24" customHeight="1" x14ac:dyDescent="0.2">
      <c r="A78" s="113" t="s">
        <v>1859</v>
      </c>
      <c r="B78" s="114" t="s">
        <v>2074</v>
      </c>
      <c r="C78" s="113" t="s">
        <v>20</v>
      </c>
      <c r="D78" s="113" t="s">
        <v>2073</v>
      </c>
      <c r="E78" s="139" t="s">
        <v>1369</v>
      </c>
      <c r="F78" s="139"/>
      <c r="G78" s="112" t="s">
        <v>96</v>
      </c>
      <c r="H78" s="111">
        <v>2.3999999999999998E-3</v>
      </c>
      <c r="I78" s="110">
        <v>22.63</v>
      </c>
      <c r="J78" s="110">
        <v>0.05</v>
      </c>
    </row>
    <row r="79" spans="1:10" ht="24" customHeight="1" x14ac:dyDescent="0.2">
      <c r="A79" s="113" t="s">
        <v>1859</v>
      </c>
      <c r="B79" s="114" t="s">
        <v>2066</v>
      </c>
      <c r="C79" s="113" t="s">
        <v>20</v>
      </c>
      <c r="D79" s="113" t="s">
        <v>2065</v>
      </c>
      <c r="E79" s="139" t="s">
        <v>1369</v>
      </c>
      <c r="F79" s="139"/>
      <c r="G79" s="112" t="s">
        <v>96</v>
      </c>
      <c r="H79" s="111">
        <v>5.7999999999999996E-3</v>
      </c>
      <c r="I79" s="110">
        <v>18.170000000000002</v>
      </c>
      <c r="J79" s="110">
        <v>0.11</v>
      </c>
    </row>
    <row r="80" spans="1:10" ht="24" customHeight="1" x14ac:dyDescent="0.2">
      <c r="A80" s="113" t="s">
        <v>1859</v>
      </c>
      <c r="B80" s="114" t="s">
        <v>2154</v>
      </c>
      <c r="C80" s="113" t="s">
        <v>20</v>
      </c>
      <c r="D80" s="113" t="s">
        <v>2153</v>
      </c>
      <c r="E80" s="139" t="s">
        <v>1369</v>
      </c>
      <c r="F80" s="139"/>
      <c r="G80" s="112" t="s">
        <v>213</v>
      </c>
      <c r="H80" s="111">
        <v>0.21160000000000001</v>
      </c>
      <c r="I80" s="110">
        <v>8.32</v>
      </c>
      <c r="J80" s="110">
        <v>1.76</v>
      </c>
    </row>
    <row r="81" spans="1:10" ht="24" customHeight="1" x14ac:dyDescent="0.2">
      <c r="A81" s="113" t="s">
        <v>1859</v>
      </c>
      <c r="B81" s="114" t="s">
        <v>2239</v>
      </c>
      <c r="C81" s="113" t="s">
        <v>20</v>
      </c>
      <c r="D81" s="113" t="s">
        <v>2238</v>
      </c>
      <c r="E81" s="139" t="s">
        <v>1369</v>
      </c>
      <c r="F81" s="139"/>
      <c r="G81" s="112" t="s">
        <v>213</v>
      </c>
      <c r="H81" s="111">
        <v>0.21160000000000001</v>
      </c>
      <c r="I81" s="110">
        <v>9.7100000000000009</v>
      </c>
      <c r="J81" s="110">
        <v>2.0499999999999998</v>
      </c>
    </row>
    <row r="82" spans="1:10" ht="24" customHeight="1" x14ac:dyDescent="0.2">
      <c r="A82" s="113" t="s">
        <v>1859</v>
      </c>
      <c r="B82" s="114" t="s">
        <v>2754</v>
      </c>
      <c r="C82" s="113" t="s">
        <v>20</v>
      </c>
      <c r="D82" s="113" t="s">
        <v>2753</v>
      </c>
      <c r="E82" s="139" t="s">
        <v>1369</v>
      </c>
      <c r="F82" s="139"/>
      <c r="G82" s="112" t="s">
        <v>1877</v>
      </c>
      <c r="H82" s="111">
        <v>5.1999999999999998E-3</v>
      </c>
      <c r="I82" s="110">
        <v>7.72</v>
      </c>
      <c r="J82" s="110">
        <v>0.04</v>
      </c>
    </row>
    <row r="83" spans="1:10" ht="24" customHeight="1" x14ac:dyDescent="0.2">
      <c r="A83" s="113" t="s">
        <v>1859</v>
      </c>
      <c r="B83" s="114" t="s">
        <v>1872</v>
      </c>
      <c r="C83" s="113" t="s">
        <v>20</v>
      </c>
      <c r="D83" s="113" t="s">
        <v>1871</v>
      </c>
      <c r="E83" s="139" t="s">
        <v>1860</v>
      </c>
      <c r="F83" s="139"/>
      <c r="G83" s="112" t="s">
        <v>1864</v>
      </c>
      <c r="H83" s="111">
        <v>5.8299999999999998E-2</v>
      </c>
      <c r="I83" s="110">
        <v>10.62</v>
      </c>
      <c r="J83" s="110">
        <v>0.62</v>
      </c>
    </row>
    <row r="84" spans="1:10" ht="24" customHeight="1" x14ac:dyDescent="0.2">
      <c r="A84" s="113" t="s">
        <v>1859</v>
      </c>
      <c r="B84" s="114" t="s">
        <v>1949</v>
      </c>
      <c r="C84" s="113" t="s">
        <v>20</v>
      </c>
      <c r="D84" s="113" t="s">
        <v>1948</v>
      </c>
      <c r="E84" s="139" t="s">
        <v>1860</v>
      </c>
      <c r="F84" s="139"/>
      <c r="G84" s="112" t="s">
        <v>1864</v>
      </c>
      <c r="H84" s="111">
        <v>3.73E-2</v>
      </c>
      <c r="I84" s="110">
        <v>15.97</v>
      </c>
      <c r="J84" s="110">
        <v>0.6</v>
      </c>
    </row>
    <row r="85" spans="1:10" x14ac:dyDescent="0.2">
      <c r="A85" s="109"/>
      <c r="B85" s="109"/>
      <c r="C85" s="109"/>
      <c r="D85" s="109"/>
      <c r="E85" s="109" t="s">
        <v>1858</v>
      </c>
      <c r="F85" s="108">
        <v>1.22</v>
      </c>
      <c r="G85" s="109" t="s">
        <v>1857</v>
      </c>
      <c r="H85" s="108">
        <v>0</v>
      </c>
      <c r="I85" s="109" t="s">
        <v>1856</v>
      </c>
      <c r="J85" s="108">
        <v>1.22</v>
      </c>
    </row>
    <row r="86" spans="1:10" ht="13.9" customHeight="1" x14ac:dyDescent="0.2">
      <c r="A86" s="109"/>
      <c r="B86" s="109"/>
      <c r="C86" s="109"/>
      <c r="D86" s="109"/>
      <c r="E86" s="109" t="s">
        <v>1855</v>
      </c>
      <c r="F86" s="108">
        <v>1.388565</v>
      </c>
      <c r="G86" s="109"/>
      <c r="H86" s="140" t="s">
        <v>1854</v>
      </c>
      <c r="I86" s="140"/>
      <c r="J86" s="108">
        <v>6.62</v>
      </c>
    </row>
    <row r="87" spans="1:10" ht="30" customHeight="1" thickBot="1" x14ac:dyDescent="0.25">
      <c r="A87" s="100"/>
      <c r="B87" s="100"/>
      <c r="C87" s="100"/>
      <c r="D87" s="100"/>
      <c r="E87" s="100"/>
      <c r="F87" s="100"/>
      <c r="G87" s="100" t="s">
        <v>1853</v>
      </c>
      <c r="H87" s="107">
        <v>50</v>
      </c>
      <c r="I87" s="100" t="s">
        <v>1852</v>
      </c>
      <c r="J87" s="102">
        <v>331</v>
      </c>
    </row>
    <row r="88" spans="1:10" ht="1.1499999999999999" customHeight="1" thickTop="1" x14ac:dyDescent="0.2">
      <c r="A88" s="106"/>
      <c r="B88" s="106"/>
      <c r="C88" s="106"/>
      <c r="D88" s="106"/>
      <c r="E88" s="106"/>
      <c r="F88" s="106"/>
      <c r="G88" s="106"/>
      <c r="H88" s="106"/>
      <c r="I88" s="106"/>
      <c r="J88" s="106"/>
    </row>
    <row r="89" spans="1:10" ht="18" customHeight="1" x14ac:dyDescent="0.2">
      <c r="A89" s="117" t="s">
        <v>34</v>
      </c>
      <c r="B89" s="126" t="s">
        <v>5</v>
      </c>
      <c r="C89" s="117" t="s">
        <v>6</v>
      </c>
      <c r="D89" s="117" t="s">
        <v>7</v>
      </c>
      <c r="E89" s="136" t="s">
        <v>1113</v>
      </c>
      <c r="F89" s="136"/>
      <c r="G89" s="7" t="s">
        <v>8</v>
      </c>
      <c r="H89" s="126" t="s">
        <v>9</v>
      </c>
      <c r="I89" s="126" t="s">
        <v>10</v>
      </c>
      <c r="J89" s="126" t="s">
        <v>12</v>
      </c>
    </row>
    <row r="90" spans="1:10" ht="24" customHeight="1" x14ac:dyDescent="0.2">
      <c r="A90" s="116" t="s">
        <v>1861</v>
      </c>
      <c r="B90" s="1" t="s">
        <v>35</v>
      </c>
      <c r="C90" s="116" t="s">
        <v>20</v>
      </c>
      <c r="D90" s="116" t="s">
        <v>36</v>
      </c>
      <c r="E90" s="137">
        <v>2</v>
      </c>
      <c r="F90" s="137"/>
      <c r="G90" s="2" t="s">
        <v>37</v>
      </c>
      <c r="H90" s="115">
        <v>1</v>
      </c>
      <c r="I90" s="61">
        <v>2859.33</v>
      </c>
      <c r="J90" s="61">
        <v>2859.33</v>
      </c>
    </row>
    <row r="91" spans="1:10" ht="24" customHeight="1" x14ac:dyDescent="0.2">
      <c r="A91" s="113" t="s">
        <v>1859</v>
      </c>
      <c r="B91" s="114" t="s">
        <v>2080</v>
      </c>
      <c r="C91" s="113" t="s">
        <v>20</v>
      </c>
      <c r="D91" s="113" t="s">
        <v>2079</v>
      </c>
      <c r="E91" s="139" t="s">
        <v>1369</v>
      </c>
      <c r="F91" s="139"/>
      <c r="G91" s="112" t="s">
        <v>96</v>
      </c>
      <c r="H91" s="111">
        <v>7.9000000000000001E-2</v>
      </c>
      <c r="I91" s="110">
        <v>22.63</v>
      </c>
      <c r="J91" s="110">
        <v>1.79</v>
      </c>
    </row>
    <row r="92" spans="1:10" ht="24" customHeight="1" x14ac:dyDescent="0.2">
      <c r="A92" s="113" t="s">
        <v>1859</v>
      </c>
      <c r="B92" s="114" t="s">
        <v>2074</v>
      </c>
      <c r="C92" s="113" t="s">
        <v>20</v>
      </c>
      <c r="D92" s="113" t="s">
        <v>2073</v>
      </c>
      <c r="E92" s="139" t="s">
        <v>1369</v>
      </c>
      <c r="F92" s="139"/>
      <c r="G92" s="112" t="s">
        <v>96</v>
      </c>
      <c r="H92" s="111">
        <v>0.18</v>
      </c>
      <c r="I92" s="110">
        <v>22.63</v>
      </c>
      <c r="J92" s="110">
        <v>4.07</v>
      </c>
    </row>
    <row r="93" spans="1:10" ht="24" customHeight="1" x14ac:dyDescent="0.2">
      <c r="A93" s="113" t="s">
        <v>1859</v>
      </c>
      <c r="B93" s="114" t="s">
        <v>2078</v>
      </c>
      <c r="C93" s="113" t="s">
        <v>20</v>
      </c>
      <c r="D93" s="113" t="s">
        <v>2077</v>
      </c>
      <c r="E93" s="139" t="s">
        <v>1369</v>
      </c>
      <c r="F93" s="139"/>
      <c r="G93" s="112" t="s">
        <v>96</v>
      </c>
      <c r="H93" s="111">
        <v>6.72</v>
      </c>
      <c r="I93" s="110">
        <v>8.41</v>
      </c>
      <c r="J93" s="110">
        <v>56.52</v>
      </c>
    </row>
    <row r="94" spans="1:10" ht="24" customHeight="1" x14ac:dyDescent="0.2">
      <c r="A94" s="113" t="s">
        <v>1859</v>
      </c>
      <c r="B94" s="114" t="s">
        <v>2618</v>
      </c>
      <c r="C94" s="113" t="s">
        <v>20</v>
      </c>
      <c r="D94" s="113" t="s">
        <v>2617</v>
      </c>
      <c r="E94" s="139" t="s">
        <v>1369</v>
      </c>
      <c r="F94" s="139"/>
      <c r="G94" s="112" t="s">
        <v>213</v>
      </c>
      <c r="H94" s="111">
        <v>4</v>
      </c>
      <c r="I94" s="110">
        <v>20.98</v>
      </c>
      <c r="J94" s="110">
        <v>83.92</v>
      </c>
    </row>
    <row r="95" spans="1:10" ht="24" customHeight="1" x14ac:dyDescent="0.2">
      <c r="A95" s="113" t="s">
        <v>1859</v>
      </c>
      <c r="B95" s="114" t="s">
        <v>1899</v>
      </c>
      <c r="C95" s="113" t="s">
        <v>20</v>
      </c>
      <c r="D95" s="113" t="s">
        <v>1898</v>
      </c>
      <c r="E95" s="139" t="s">
        <v>1369</v>
      </c>
      <c r="F95" s="139"/>
      <c r="G95" s="112" t="s">
        <v>49</v>
      </c>
      <c r="H95" s="111">
        <v>0.372</v>
      </c>
      <c r="I95" s="110">
        <v>162.78</v>
      </c>
      <c r="J95" s="110">
        <v>60.55</v>
      </c>
    </row>
    <row r="96" spans="1:10" ht="24" customHeight="1" x14ac:dyDescent="0.2">
      <c r="A96" s="113" t="s">
        <v>1859</v>
      </c>
      <c r="B96" s="114" t="s">
        <v>2072</v>
      </c>
      <c r="C96" s="113" t="s">
        <v>20</v>
      </c>
      <c r="D96" s="113" t="s">
        <v>2071</v>
      </c>
      <c r="E96" s="139" t="s">
        <v>1369</v>
      </c>
      <c r="F96" s="139"/>
      <c r="G96" s="112" t="s">
        <v>49</v>
      </c>
      <c r="H96" s="111">
        <v>0.184</v>
      </c>
      <c r="I96" s="110">
        <v>100.76</v>
      </c>
      <c r="J96" s="110">
        <v>18.54</v>
      </c>
    </row>
    <row r="97" spans="1:10" ht="24" customHeight="1" x14ac:dyDescent="0.2">
      <c r="A97" s="113" t="s">
        <v>1859</v>
      </c>
      <c r="B97" s="114" t="s">
        <v>2010</v>
      </c>
      <c r="C97" s="113" t="s">
        <v>20</v>
      </c>
      <c r="D97" s="113" t="s">
        <v>2009</v>
      </c>
      <c r="E97" s="139" t="s">
        <v>1369</v>
      </c>
      <c r="F97" s="139"/>
      <c r="G97" s="112" t="s">
        <v>49</v>
      </c>
      <c r="H97" s="111">
        <v>0.01</v>
      </c>
      <c r="I97" s="110">
        <v>162.78</v>
      </c>
      <c r="J97" s="110">
        <v>1.63</v>
      </c>
    </row>
    <row r="98" spans="1:10" ht="24" customHeight="1" x14ac:dyDescent="0.2">
      <c r="A98" s="113" t="s">
        <v>1859</v>
      </c>
      <c r="B98" s="114" t="s">
        <v>2008</v>
      </c>
      <c r="C98" s="113" t="s">
        <v>20</v>
      </c>
      <c r="D98" s="113" t="s">
        <v>2007</v>
      </c>
      <c r="E98" s="139" t="s">
        <v>1369</v>
      </c>
      <c r="F98" s="139"/>
      <c r="G98" s="112" t="s">
        <v>96</v>
      </c>
      <c r="H98" s="111">
        <v>18.777999999999999</v>
      </c>
      <c r="I98" s="110">
        <v>0.75</v>
      </c>
      <c r="J98" s="110">
        <v>14.08</v>
      </c>
    </row>
    <row r="99" spans="1:10" ht="24" customHeight="1" x14ac:dyDescent="0.2">
      <c r="A99" s="113" t="s">
        <v>1859</v>
      </c>
      <c r="B99" s="114" t="s">
        <v>1897</v>
      </c>
      <c r="C99" s="113" t="s">
        <v>20</v>
      </c>
      <c r="D99" s="113" t="s">
        <v>1896</v>
      </c>
      <c r="E99" s="139" t="s">
        <v>1369</v>
      </c>
      <c r="F99" s="139"/>
      <c r="G99" s="112" t="s">
        <v>96</v>
      </c>
      <c r="H99" s="111">
        <v>98.847999999999999</v>
      </c>
      <c r="I99" s="110">
        <v>0.6</v>
      </c>
      <c r="J99" s="110">
        <v>59.31</v>
      </c>
    </row>
    <row r="100" spans="1:10" ht="24" customHeight="1" x14ac:dyDescent="0.2">
      <c r="A100" s="113" t="s">
        <v>1859</v>
      </c>
      <c r="B100" s="114" t="s">
        <v>2281</v>
      </c>
      <c r="C100" s="113" t="s">
        <v>20</v>
      </c>
      <c r="D100" s="113" t="s">
        <v>2280</v>
      </c>
      <c r="E100" s="139" t="s">
        <v>1369</v>
      </c>
      <c r="F100" s="139"/>
      <c r="G100" s="112" t="s">
        <v>246</v>
      </c>
      <c r="H100" s="111">
        <v>3.2000000000000002E-3</v>
      </c>
      <c r="I100" s="110">
        <v>2.81</v>
      </c>
      <c r="J100" s="110">
        <v>0.01</v>
      </c>
    </row>
    <row r="101" spans="1:10" ht="24" customHeight="1" x14ac:dyDescent="0.2">
      <c r="A101" s="113" t="s">
        <v>1859</v>
      </c>
      <c r="B101" s="114" t="s">
        <v>2066</v>
      </c>
      <c r="C101" s="113" t="s">
        <v>20</v>
      </c>
      <c r="D101" s="113" t="s">
        <v>2065</v>
      </c>
      <c r="E101" s="139" t="s">
        <v>1369</v>
      </c>
      <c r="F101" s="139"/>
      <c r="G101" s="112" t="s">
        <v>96</v>
      </c>
      <c r="H101" s="111">
        <v>0.2</v>
      </c>
      <c r="I101" s="110">
        <v>18.170000000000002</v>
      </c>
      <c r="J101" s="110">
        <v>3.63</v>
      </c>
    </row>
    <row r="102" spans="1:10" ht="24" customHeight="1" x14ac:dyDescent="0.2">
      <c r="A102" s="113" t="s">
        <v>1859</v>
      </c>
      <c r="B102" s="114" t="s">
        <v>2279</v>
      </c>
      <c r="C102" s="113" t="s">
        <v>20</v>
      </c>
      <c r="D102" s="113" t="s">
        <v>2278</v>
      </c>
      <c r="E102" s="139" t="s">
        <v>1369</v>
      </c>
      <c r="F102" s="139"/>
      <c r="G102" s="112" t="s">
        <v>1877</v>
      </c>
      <c r="H102" s="111">
        <v>0.06</v>
      </c>
      <c r="I102" s="110">
        <v>37.340000000000003</v>
      </c>
      <c r="J102" s="110">
        <v>2.2400000000000002</v>
      </c>
    </row>
    <row r="103" spans="1:10" ht="24" customHeight="1" x14ac:dyDescent="0.2">
      <c r="A103" s="113" t="s">
        <v>1859</v>
      </c>
      <c r="B103" s="114" t="s">
        <v>2004</v>
      </c>
      <c r="C103" s="113" t="s">
        <v>20</v>
      </c>
      <c r="D103" s="113" t="s">
        <v>2003</v>
      </c>
      <c r="E103" s="139" t="s">
        <v>1369</v>
      </c>
      <c r="F103" s="139"/>
      <c r="G103" s="112" t="s">
        <v>246</v>
      </c>
      <c r="H103" s="111">
        <v>0.12</v>
      </c>
      <c r="I103" s="110">
        <v>0.71</v>
      </c>
      <c r="J103" s="110">
        <v>0.09</v>
      </c>
    </row>
    <row r="104" spans="1:10" ht="24" customHeight="1" x14ac:dyDescent="0.2">
      <c r="A104" s="113" t="s">
        <v>1859</v>
      </c>
      <c r="B104" s="114" t="s">
        <v>2002</v>
      </c>
      <c r="C104" s="113" t="s">
        <v>20</v>
      </c>
      <c r="D104" s="113" t="s">
        <v>2001</v>
      </c>
      <c r="E104" s="139" t="s">
        <v>1369</v>
      </c>
      <c r="F104" s="139"/>
      <c r="G104" s="112" t="s">
        <v>1877</v>
      </c>
      <c r="H104" s="111">
        <v>0.14000000000000001</v>
      </c>
      <c r="I104" s="110">
        <v>8.34</v>
      </c>
      <c r="J104" s="110">
        <v>1.17</v>
      </c>
    </row>
    <row r="105" spans="1:10" ht="24" customHeight="1" x14ac:dyDescent="0.2">
      <c r="A105" s="113" t="s">
        <v>1859</v>
      </c>
      <c r="B105" s="114" t="s">
        <v>2204</v>
      </c>
      <c r="C105" s="113" t="s">
        <v>20</v>
      </c>
      <c r="D105" s="113" t="s">
        <v>2203</v>
      </c>
      <c r="E105" s="139" t="s">
        <v>1369</v>
      </c>
      <c r="F105" s="139"/>
      <c r="G105" s="112" t="s">
        <v>96</v>
      </c>
      <c r="H105" s="111">
        <v>1.62</v>
      </c>
      <c r="I105" s="110">
        <v>6.12</v>
      </c>
      <c r="J105" s="110">
        <v>9.91</v>
      </c>
    </row>
    <row r="106" spans="1:10" ht="24" customHeight="1" x14ac:dyDescent="0.2">
      <c r="A106" s="113" t="s">
        <v>1859</v>
      </c>
      <c r="B106" s="114" t="s">
        <v>2277</v>
      </c>
      <c r="C106" s="113" t="s">
        <v>20</v>
      </c>
      <c r="D106" s="113" t="s">
        <v>2276</v>
      </c>
      <c r="E106" s="139" t="s">
        <v>1369</v>
      </c>
      <c r="F106" s="139"/>
      <c r="G106" s="112" t="s">
        <v>1877</v>
      </c>
      <c r="H106" s="111">
        <v>0.02</v>
      </c>
      <c r="I106" s="110">
        <v>14.13</v>
      </c>
      <c r="J106" s="110">
        <v>0.28000000000000003</v>
      </c>
    </row>
    <row r="107" spans="1:10" ht="24" customHeight="1" x14ac:dyDescent="0.2">
      <c r="A107" s="113" t="s">
        <v>1859</v>
      </c>
      <c r="B107" s="114" t="s">
        <v>1963</v>
      </c>
      <c r="C107" s="113" t="s">
        <v>20</v>
      </c>
      <c r="D107" s="113" t="s">
        <v>1962</v>
      </c>
      <c r="E107" s="139" t="s">
        <v>1369</v>
      </c>
      <c r="F107" s="139"/>
      <c r="G107" s="112" t="s">
        <v>246</v>
      </c>
      <c r="H107" s="111">
        <v>0.11</v>
      </c>
      <c r="I107" s="110">
        <v>2.14</v>
      </c>
      <c r="J107" s="110">
        <v>0.24</v>
      </c>
    </row>
    <row r="108" spans="1:10" ht="24" customHeight="1" x14ac:dyDescent="0.2">
      <c r="A108" s="113" t="s">
        <v>1859</v>
      </c>
      <c r="B108" s="114" t="s">
        <v>2241</v>
      </c>
      <c r="C108" s="113" t="s">
        <v>20</v>
      </c>
      <c r="D108" s="113" t="s">
        <v>2240</v>
      </c>
      <c r="E108" s="139" t="s">
        <v>1369</v>
      </c>
      <c r="F108" s="139"/>
      <c r="G108" s="112" t="s">
        <v>246</v>
      </c>
      <c r="H108" s="111">
        <v>15.9</v>
      </c>
      <c r="I108" s="110">
        <v>0.88</v>
      </c>
      <c r="J108" s="110">
        <v>13.99</v>
      </c>
    </row>
    <row r="109" spans="1:10" ht="24" customHeight="1" x14ac:dyDescent="0.2">
      <c r="A109" s="113" t="s">
        <v>1859</v>
      </c>
      <c r="B109" s="114" t="s">
        <v>2000</v>
      </c>
      <c r="C109" s="113" t="s">
        <v>20</v>
      </c>
      <c r="D109" s="113" t="s">
        <v>1999</v>
      </c>
      <c r="E109" s="139" t="s">
        <v>1369</v>
      </c>
      <c r="F109" s="139"/>
      <c r="G109" s="112" t="s">
        <v>1877</v>
      </c>
      <c r="H109" s="111">
        <v>0.26</v>
      </c>
      <c r="I109" s="110">
        <v>24.07</v>
      </c>
      <c r="J109" s="110">
        <v>6.26</v>
      </c>
    </row>
    <row r="110" spans="1:10" ht="24" customHeight="1" x14ac:dyDescent="0.2">
      <c r="A110" s="113" t="s">
        <v>1859</v>
      </c>
      <c r="B110" s="114" t="s">
        <v>2626</v>
      </c>
      <c r="C110" s="113" t="s">
        <v>20</v>
      </c>
      <c r="D110" s="113" t="s">
        <v>2625</v>
      </c>
      <c r="E110" s="139" t="s">
        <v>1369</v>
      </c>
      <c r="F110" s="139"/>
      <c r="G110" s="112" t="s">
        <v>213</v>
      </c>
      <c r="H110" s="111">
        <v>7.4</v>
      </c>
      <c r="I110" s="110">
        <v>9.41</v>
      </c>
      <c r="J110" s="110">
        <v>69.63</v>
      </c>
    </row>
    <row r="111" spans="1:10" ht="24" customHeight="1" x14ac:dyDescent="0.2">
      <c r="A111" s="113" t="s">
        <v>1859</v>
      </c>
      <c r="B111" s="114" t="s">
        <v>2012</v>
      </c>
      <c r="C111" s="113" t="s">
        <v>20</v>
      </c>
      <c r="D111" s="113" t="s">
        <v>2011</v>
      </c>
      <c r="E111" s="139" t="s">
        <v>1369</v>
      </c>
      <c r="F111" s="139"/>
      <c r="G111" s="112" t="s">
        <v>246</v>
      </c>
      <c r="H111" s="111">
        <v>282.24</v>
      </c>
      <c r="I111" s="110">
        <v>0.52</v>
      </c>
      <c r="J111" s="110">
        <v>146.76</v>
      </c>
    </row>
    <row r="112" spans="1:10" ht="24" customHeight="1" x14ac:dyDescent="0.2">
      <c r="A112" s="113" t="s">
        <v>1859</v>
      </c>
      <c r="B112" s="114" t="s">
        <v>1983</v>
      </c>
      <c r="C112" s="113" t="s">
        <v>20</v>
      </c>
      <c r="D112" s="113" t="s">
        <v>1982</v>
      </c>
      <c r="E112" s="139" t="s">
        <v>1369</v>
      </c>
      <c r="F112" s="139"/>
      <c r="G112" s="112" t="s">
        <v>213</v>
      </c>
      <c r="H112" s="111">
        <v>10.0411</v>
      </c>
      <c r="I112" s="110">
        <v>0.37</v>
      </c>
      <c r="J112" s="110">
        <v>3.72</v>
      </c>
    </row>
    <row r="113" spans="1:10" ht="24" customHeight="1" x14ac:dyDescent="0.2">
      <c r="A113" s="113" t="s">
        <v>1859</v>
      </c>
      <c r="B113" s="114" t="s">
        <v>2752</v>
      </c>
      <c r="C113" s="113" t="s">
        <v>20</v>
      </c>
      <c r="D113" s="113" t="s">
        <v>2751</v>
      </c>
      <c r="E113" s="139" t="s">
        <v>1369</v>
      </c>
      <c r="F113" s="139"/>
      <c r="G113" s="112" t="s">
        <v>246</v>
      </c>
      <c r="H113" s="111">
        <v>0.33329999999999999</v>
      </c>
      <c r="I113" s="110">
        <v>57.56</v>
      </c>
      <c r="J113" s="110">
        <v>19.18</v>
      </c>
    </row>
    <row r="114" spans="1:10" ht="24" customHeight="1" x14ac:dyDescent="0.2">
      <c r="A114" s="113" t="s">
        <v>1859</v>
      </c>
      <c r="B114" s="114" t="s">
        <v>2750</v>
      </c>
      <c r="C114" s="113" t="s">
        <v>20</v>
      </c>
      <c r="D114" s="113" t="s">
        <v>2749</v>
      </c>
      <c r="E114" s="139" t="s">
        <v>1369</v>
      </c>
      <c r="F114" s="139"/>
      <c r="G114" s="112" t="s">
        <v>246</v>
      </c>
      <c r="H114" s="111">
        <v>0.66669999999999996</v>
      </c>
      <c r="I114" s="110">
        <v>2.3199999999999998</v>
      </c>
      <c r="J114" s="110">
        <v>1.55</v>
      </c>
    </row>
    <row r="115" spans="1:10" ht="24" customHeight="1" x14ac:dyDescent="0.2">
      <c r="A115" s="113" t="s">
        <v>1859</v>
      </c>
      <c r="B115" s="114" t="s">
        <v>2283</v>
      </c>
      <c r="C115" s="113" t="s">
        <v>20</v>
      </c>
      <c r="D115" s="113" t="s">
        <v>2282</v>
      </c>
      <c r="E115" s="139" t="s">
        <v>1369</v>
      </c>
      <c r="F115" s="139"/>
      <c r="G115" s="112" t="s">
        <v>246</v>
      </c>
      <c r="H115" s="111">
        <v>0.66669999999999996</v>
      </c>
      <c r="I115" s="110">
        <v>44.6</v>
      </c>
      <c r="J115" s="110">
        <v>29.73</v>
      </c>
    </row>
    <row r="116" spans="1:10" ht="24" customHeight="1" x14ac:dyDescent="0.2">
      <c r="A116" s="113" t="s">
        <v>1859</v>
      </c>
      <c r="B116" s="114" t="s">
        <v>1951</v>
      </c>
      <c r="C116" s="113" t="s">
        <v>20</v>
      </c>
      <c r="D116" s="113" t="s">
        <v>1950</v>
      </c>
      <c r="E116" s="139" t="s">
        <v>1860</v>
      </c>
      <c r="F116" s="139"/>
      <c r="G116" s="112" t="s">
        <v>1864</v>
      </c>
      <c r="H116" s="111">
        <v>17.706600000000002</v>
      </c>
      <c r="I116" s="110">
        <v>10.62</v>
      </c>
      <c r="J116" s="110">
        <v>188.04</v>
      </c>
    </row>
    <row r="117" spans="1:10" ht="24" customHeight="1" x14ac:dyDescent="0.2">
      <c r="A117" s="113" t="s">
        <v>1859</v>
      </c>
      <c r="B117" s="114" t="s">
        <v>1981</v>
      </c>
      <c r="C117" s="113" t="s">
        <v>20</v>
      </c>
      <c r="D117" s="113" t="s">
        <v>1980</v>
      </c>
      <c r="E117" s="139" t="s">
        <v>1860</v>
      </c>
      <c r="F117" s="139"/>
      <c r="G117" s="112" t="s">
        <v>1864</v>
      </c>
      <c r="H117" s="111">
        <v>17.636600000000001</v>
      </c>
      <c r="I117" s="110">
        <v>15.97</v>
      </c>
      <c r="J117" s="110">
        <v>281.66000000000003</v>
      </c>
    </row>
    <row r="118" spans="1:10" ht="24" customHeight="1" x14ac:dyDescent="0.2">
      <c r="A118" s="113" t="s">
        <v>1859</v>
      </c>
      <c r="B118" s="114" t="s">
        <v>2300</v>
      </c>
      <c r="C118" s="113" t="s">
        <v>20</v>
      </c>
      <c r="D118" s="113" t="s">
        <v>479</v>
      </c>
      <c r="E118" s="139" t="s">
        <v>1369</v>
      </c>
      <c r="F118" s="139"/>
      <c r="G118" s="112" t="s">
        <v>246</v>
      </c>
      <c r="H118" s="111">
        <v>0.66669999999999996</v>
      </c>
      <c r="I118" s="110">
        <v>0.93</v>
      </c>
      <c r="J118" s="110">
        <v>0.62</v>
      </c>
    </row>
    <row r="119" spans="1:10" ht="24" customHeight="1" x14ac:dyDescent="0.2">
      <c r="A119" s="113" t="s">
        <v>1859</v>
      </c>
      <c r="B119" s="114" t="s">
        <v>2064</v>
      </c>
      <c r="C119" s="113" t="s">
        <v>20</v>
      </c>
      <c r="D119" s="113" t="s">
        <v>2063</v>
      </c>
      <c r="E119" s="139" t="s">
        <v>1860</v>
      </c>
      <c r="F119" s="139"/>
      <c r="G119" s="112" t="s">
        <v>1864</v>
      </c>
      <c r="H119" s="111">
        <v>0.46</v>
      </c>
      <c r="I119" s="110">
        <v>15.97</v>
      </c>
      <c r="J119" s="110">
        <v>7.35</v>
      </c>
    </row>
    <row r="120" spans="1:10" ht="24" customHeight="1" x14ac:dyDescent="0.2">
      <c r="A120" s="113" t="s">
        <v>1859</v>
      </c>
      <c r="B120" s="114" t="s">
        <v>2748</v>
      </c>
      <c r="C120" s="113" t="s">
        <v>20</v>
      </c>
      <c r="D120" s="113" t="s">
        <v>2747</v>
      </c>
      <c r="E120" s="139" t="s">
        <v>1369</v>
      </c>
      <c r="F120" s="139"/>
      <c r="G120" s="112" t="s">
        <v>246</v>
      </c>
      <c r="H120" s="111">
        <v>0.66669999999999996</v>
      </c>
      <c r="I120" s="110">
        <v>9.3000000000000007</v>
      </c>
      <c r="J120" s="110">
        <v>6.2</v>
      </c>
    </row>
    <row r="121" spans="1:10" ht="24" customHeight="1" x14ac:dyDescent="0.2">
      <c r="A121" s="113" t="s">
        <v>1859</v>
      </c>
      <c r="B121" s="114" t="s">
        <v>2746</v>
      </c>
      <c r="C121" s="113" t="s">
        <v>20</v>
      </c>
      <c r="D121" s="113" t="s">
        <v>2745</v>
      </c>
      <c r="E121" s="139" t="s">
        <v>1369</v>
      </c>
      <c r="F121" s="139"/>
      <c r="G121" s="112" t="s">
        <v>246</v>
      </c>
      <c r="H121" s="111">
        <v>0.33329999999999999</v>
      </c>
      <c r="I121" s="110">
        <v>5.03</v>
      </c>
      <c r="J121" s="110">
        <v>1.68</v>
      </c>
    </row>
    <row r="122" spans="1:10" ht="24" customHeight="1" x14ac:dyDescent="0.2">
      <c r="A122" s="113" t="s">
        <v>1859</v>
      </c>
      <c r="B122" s="114" t="s">
        <v>2744</v>
      </c>
      <c r="C122" s="113" t="s">
        <v>20</v>
      </c>
      <c r="D122" s="113" t="s">
        <v>2743</v>
      </c>
      <c r="E122" s="139" t="s">
        <v>1369</v>
      </c>
      <c r="F122" s="139"/>
      <c r="G122" s="112" t="s">
        <v>246</v>
      </c>
      <c r="H122" s="111">
        <v>0.33329999999999999</v>
      </c>
      <c r="I122" s="110">
        <v>56.66</v>
      </c>
      <c r="J122" s="110">
        <v>18.88</v>
      </c>
    </row>
    <row r="123" spans="1:10" ht="24" customHeight="1" x14ac:dyDescent="0.2">
      <c r="A123" s="113" t="s">
        <v>1859</v>
      </c>
      <c r="B123" s="114" t="s">
        <v>2409</v>
      </c>
      <c r="C123" s="113" t="s">
        <v>20</v>
      </c>
      <c r="D123" s="113" t="s">
        <v>2408</v>
      </c>
      <c r="E123" s="139" t="s">
        <v>1369</v>
      </c>
      <c r="F123" s="139"/>
      <c r="G123" s="112" t="s">
        <v>213</v>
      </c>
      <c r="H123" s="111">
        <v>12.12</v>
      </c>
      <c r="I123" s="110">
        <v>15.27</v>
      </c>
      <c r="J123" s="110">
        <v>185.07</v>
      </c>
    </row>
    <row r="124" spans="1:10" ht="24" customHeight="1" x14ac:dyDescent="0.2">
      <c r="A124" s="113" t="s">
        <v>1859</v>
      </c>
      <c r="B124" s="114" t="s">
        <v>2275</v>
      </c>
      <c r="C124" s="113" t="s">
        <v>20</v>
      </c>
      <c r="D124" s="113" t="s">
        <v>2274</v>
      </c>
      <c r="E124" s="139" t="s">
        <v>1369</v>
      </c>
      <c r="F124" s="139"/>
      <c r="G124" s="112" t="s">
        <v>246</v>
      </c>
      <c r="H124" s="111">
        <v>1</v>
      </c>
      <c r="I124" s="110">
        <v>128.99</v>
      </c>
      <c r="J124" s="110">
        <v>128.99</v>
      </c>
    </row>
    <row r="125" spans="1:10" ht="24" customHeight="1" x14ac:dyDescent="0.2">
      <c r="A125" s="113" t="s">
        <v>1859</v>
      </c>
      <c r="B125" s="114" t="s">
        <v>2742</v>
      </c>
      <c r="C125" s="113" t="s">
        <v>20</v>
      </c>
      <c r="D125" s="113" t="s">
        <v>2741</v>
      </c>
      <c r="E125" s="139" t="s">
        <v>1369</v>
      </c>
      <c r="F125" s="139"/>
      <c r="G125" s="112" t="s">
        <v>246</v>
      </c>
      <c r="H125" s="111">
        <v>10</v>
      </c>
      <c r="I125" s="110">
        <v>1.01</v>
      </c>
      <c r="J125" s="110">
        <v>10.1</v>
      </c>
    </row>
    <row r="126" spans="1:10" ht="24" customHeight="1" x14ac:dyDescent="0.2">
      <c r="A126" s="113" t="s">
        <v>1859</v>
      </c>
      <c r="B126" s="114" t="s">
        <v>2295</v>
      </c>
      <c r="C126" s="113" t="s">
        <v>20</v>
      </c>
      <c r="D126" s="113" t="s">
        <v>2294</v>
      </c>
      <c r="E126" s="139" t="s">
        <v>1369</v>
      </c>
      <c r="F126" s="139"/>
      <c r="G126" s="112" t="s">
        <v>213</v>
      </c>
      <c r="H126" s="111">
        <v>31.1417</v>
      </c>
      <c r="I126" s="110">
        <v>10.72</v>
      </c>
      <c r="J126" s="110">
        <v>333.84</v>
      </c>
    </row>
    <row r="127" spans="1:10" ht="24" customHeight="1" x14ac:dyDescent="0.2">
      <c r="A127" s="113" t="s">
        <v>1859</v>
      </c>
      <c r="B127" s="114" t="s">
        <v>1866</v>
      </c>
      <c r="C127" s="113" t="s">
        <v>20</v>
      </c>
      <c r="D127" s="113" t="s">
        <v>1865</v>
      </c>
      <c r="E127" s="139" t="s">
        <v>1860</v>
      </c>
      <c r="F127" s="139"/>
      <c r="G127" s="112" t="s">
        <v>1864</v>
      </c>
      <c r="H127" s="111">
        <v>12.007999999999999</v>
      </c>
      <c r="I127" s="110">
        <v>15.97</v>
      </c>
      <c r="J127" s="110">
        <v>191.77</v>
      </c>
    </row>
    <row r="128" spans="1:10" ht="24" customHeight="1" x14ac:dyDescent="0.2">
      <c r="A128" s="113" t="s">
        <v>1859</v>
      </c>
      <c r="B128" s="114" t="s">
        <v>1998</v>
      </c>
      <c r="C128" s="113" t="s">
        <v>20</v>
      </c>
      <c r="D128" s="113" t="s">
        <v>1997</v>
      </c>
      <c r="E128" s="139" t="s">
        <v>1860</v>
      </c>
      <c r="F128" s="139"/>
      <c r="G128" s="112" t="s">
        <v>1864</v>
      </c>
      <c r="H128" s="111">
        <v>0.7</v>
      </c>
      <c r="I128" s="110">
        <v>15.97</v>
      </c>
      <c r="J128" s="110">
        <v>11.18</v>
      </c>
    </row>
    <row r="129" spans="1:10" ht="24" customHeight="1" x14ac:dyDescent="0.2">
      <c r="A129" s="113" t="s">
        <v>1859</v>
      </c>
      <c r="B129" s="114" t="s">
        <v>1872</v>
      </c>
      <c r="C129" s="113" t="s">
        <v>20</v>
      </c>
      <c r="D129" s="113" t="s">
        <v>1871</v>
      </c>
      <c r="E129" s="139" t="s">
        <v>1860</v>
      </c>
      <c r="F129" s="139"/>
      <c r="G129" s="112" t="s">
        <v>1864</v>
      </c>
      <c r="H129" s="111">
        <v>67.530600000000007</v>
      </c>
      <c r="I129" s="110">
        <v>10.62</v>
      </c>
      <c r="J129" s="110">
        <v>717.17</v>
      </c>
    </row>
    <row r="130" spans="1:10" ht="24" customHeight="1" x14ac:dyDescent="0.2">
      <c r="A130" s="113" t="s">
        <v>1859</v>
      </c>
      <c r="B130" s="114" t="s">
        <v>2740</v>
      </c>
      <c r="C130" s="113" t="s">
        <v>20</v>
      </c>
      <c r="D130" s="113" t="s">
        <v>2739</v>
      </c>
      <c r="E130" s="139" t="s">
        <v>1369</v>
      </c>
      <c r="F130" s="139"/>
      <c r="G130" s="112" t="s">
        <v>246</v>
      </c>
      <c r="H130" s="111">
        <v>0.33329999999999999</v>
      </c>
      <c r="I130" s="110">
        <v>59.73</v>
      </c>
      <c r="J130" s="110">
        <v>19.91</v>
      </c>
    </row>
    <row r="131" spans="1:10" ht="24" customHeight="1" x14ac:dyDescent="0.2">
      <c r="A131" s="113" t="s">
        <v>1859</v>
      </c>
      <c r="B131" s="114" t="s">
        <v>2738</v>
      </c>
      <c r="C131" s="113" t="s">
        <v>20</v>
      </c>
      <c r="D131" s="113" t="s">
        <v>2737</v>
      </c>
      <c r="E131" s="139" t="s">
        <v>1369</v>
      </c>
      <c r="F131" s="139"/>
      <c r="G131" s="112" t="s">
        <v>246</v>
      </c>
      <c r="H131" s="111">
        <v>18</v>
      </c>
      <c r="I131" s="110">
        <v>2.46</v>
      </c>
      <c r="J131" s="110">
        <v>44.28</v>
      </c>
    </row>
    <row r="132" spans="1:10" ht="24" customHeight="1" x14ac:dyDescent="0.2">
      <c r="A132" s="113" t="s">
        <v>1859</v>
      </c>
      <c r="B132" s="114" t="s">
        <v>2291</v>
      </c>
      <c r="C132" s="113" t="s">
        <v>20</v>
      </c>
      <c r="D132" s="113" t="s">
        <v>2290</v>
      </c>
      <c r="E132" s="139" t="s">
        <v>1369</v>
      </c>
      <c r="F132" s="139"/>
      <c r="G132" s="112" t="s">
        <v>246</v>
      </c>
      <c r="H132" s="111">
        <v>0.33329999999999999</v>
      </c>
      <c r="I132" s="110">
        <v>7.87</v>
      </c>
      <c r="J132" s="110">
        <v>2.62</v>
      </c>
    </row>
    <row r="133" spans="1:10" ht="24" customHeight="1" x14ac:dyDescent="0.2">
      <c r="A133" s="113" t="s">
        <v>1859</v>
      </c>
      <c r="B133" s="114" t="s">
        <v>1985</v>
      </c>
      <c r="C133" s="113" t="s">
        <v>20</v>
      </c>
      <c r="D133" s="113" t="s">
        <v>1984</v>
      </c>
      <c r="E133" s="139" t="s">
        <v>1369</v>
      </c>
      <c r="F133" s="139"/>
      <c r="G133" s="112" t="s">
        <v>213</v>
      </c>
      <c r="H133" s="111">
        <v>21.21</v>
      </c>
      <c r="I133" s="110">
        <v>4.7699999999999996</v>
      </c>
      <c r="J133" s="110">
        <v>101.17</v>
      </c>
    </row>
    <row r="134" spans="1:10" x14ac:dyDescent="0.2">
      <c r="A134" s="109"/>
      <c r="B134" s="109"/>
      <c r="C134" s="109"/>
      <c r="D134" s="109"/>
      <c r="E134" s="109" t="s">
        <v>1858</v>
      </c>
      <c r="F134" s="108">
        <v>1397.17</v>
      </c>
      <c r="G134" s="109" t="s">
        <v>1857</v>
      </c>
      <c r="H134" s="108">
        <v>0</v>
      </c>
      <c r="I134" s="109" t="s">
        <v>1856</v>
      </c>
      <c r="J134" s="108">
        <v>1397.17</v>
      </c>
    </row>
    <row r="135" spans="1:10" ht="13.9" customHeight="1" x14ac:dyDescent="0.2">
      <c r="A135" s="109"/>
      <c r="B135" s="109"/>
      <c r="C135" s="109"/>
      <c r="D135" s="109"/>
      <c r="E135" s="109" t="s">
        <v>1855</v>
      </c>
      <c r="F135" s="108">
        <v>759.15211499999998</v>
      </c>
      <c r="G135" s="109"/>
      <c r="H135" s="140" t="s">
        <v>1854</v>
      </c>
      <c r="I135" s="140"/>
      <c r="J135" s="108">
        <v>3618.48</v>
      </c>
    </row>
    <row r="136" spans="1:10" ht="30" customHeight="1" thickBot="1" x14ac:dyDescent="0.25">
      <c r="A136" s="100"/>
      <c r="B136" s="100"/>
      <c r="C136" s="100"/>
      <c r="D136" s="100"/>
      <c r="E136" s="100"/>
      <c r="F136" s="100"/>
      <c r="G136" s="100" t="s">
        <v>1853</v>
      </c>
      <c r="H136" s="107">
        <v>1</v>
      </c>
      <c r="I136" s="100" t="s">
        <v>1852</v>
      </c>
      <c r="J136" s="102">
        <v>3618.48</v>
      </c>
    </row>
    <row r="137" spans="1:10" ht="1.1499999999999999" customHeight="1" thickTop="1" x14ac:dyDescent="0.2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</row>
    <row r="138" spans="1:10" ht="18" customHeight="1" x14ac:dyDescent="0.2">
      <c r="A138" s="117" t="s">
        <v>38</v>
      </c>
      <c r="B138" s="126" t="s">
        <v>5</v>
      </c>
      <c r="C138" s="117" t="s">
        <v>6</v>
      </c>
      <c r="D138" s="117" t="s">
        <v>7</v>
      </c>
      <c r="E138" s="136" t="s">
        <v>1113</v>
      </c>
      <c r="F138" s="136"/>
      <c r="G138" s="7" t="s">
        <v>8</v>
      </c>
      <c r="H138" s="126" t="s">
        <v>9</v>
      </c>
      <c r="I138" s="126" t="s">
        <v>10</v>
      </c>
      <c r="J138" s="126" t="s">
        <v>12</v>
      </c>
    </row>
    <row r="139" spans="1:10" ht="24" customHeight="1" x14ac:dyDescent="0.2">
      <c r="A139" s="116" t="s">
        <v>1861</v>
      </c>
      <c r="B139" s="1" t="s">
        <v>39</v>
      </c>
      <c r="C139" s="116" t="s">
        <v>20</v>
      </c>
      <c r="D139" s="116" t="s">
        <v>40</v>
      </c>
      <c r="E139" s="137">
        <v>2</v>
      </c>
      <c r="F139" s="137"/>
      <c r="G139" s="2" t="s">
        <v>37</v>
      </c>
      <c r="H139" s="115">
        <v>1</v>
      </c>
      <c r="I139" s="61">
        <v>4539.4799999999996</v>
      </c>
      <c r="J139" s="61">
        <v>4539.4799999999996</v>
      </c>
    </row>
    <row r="140" spans="1:10" ht="24" customHeight="1" x14ac:dyDescent="0.2">
      <c r="A140" s="113" t="s">
        <v>1859</v>
      </c>
      <c r="B140" s="114" t="s">
        <v>2736</v>
      </c>
      <c r="C140" s="113" t="s">
        <v>20</v>
      </c>
      <c r="D140" s="113" t="s">
        <v>2735</v>
      </c>
      <c r="E140" s="139" t="s">
        <v>1369</v>
      </c>
      <c r="F140" s="139"/>
      <c r="G140" s="112" t="s">
        <v>246</v>
      </c>
      <c r="H140" s="111">
        <v>1.25</v>
      </c>
      <c r="I140" s="110">
        <v>16.47</v>
      </c>
      <c r="J140" s="110">
        <v>20.59</v>
      </c>
    </row>
    <row r="141" spans="1:10" ht="24" customHeight="1" x14ac:dyDescent="0.2">
      <c r="A141" s="113" t="s">
        <v>1859</v>
      </c>
      <c r="B141" s="114" t="s">
        <v>1897</v>
      </c>
      <c r="C141" s="113" t="s">
        <v>20</v>
      </c>
      <c r="D141" s="113" t="s">
        <v>1896</v>
      </c>
      <c r="E141" s="139" t="s">
        <v>1369</v>
      </c>
      <c r="F141" s="139"/>
      <c r="G141" s="112" t="s">
        <v>96</v>
      </c>
      <c r="H141" s="111">
        <v>58.229700000000001</v>
      </c>
      <c r="I141" s="110">
        <v>0.6</v>
      </c>
      <c r="J141" s="110">
        <v>34.94</v>
      </c>
    </row>
    <row r="142" spans="1:10" ht="24" customHeight="1" x14ac:dyDescent="0.2">
      <c r="A142" s="113" t="s">
        <v>1859</v>
      </c>
      <c r="B142" s="114" t="s">
        <v>2734</v>
      </c>
      <c r="C142" s="113" t="s">
        <v>20</v>
      </c>
      <c r="D142" s="113" t="s">
        <v>2733</v>
      </c>
      <c r="E142" s="139" t="s">
        <v>1369</v>
      </c>
      <c r="F142" s="139"/>
      <c r="G142" s="112" t="s">
        <v>246</v>
      </c>
      <c r="H142" s="111">
        <v>16</v>
      </c>
      <c r="I142" s="110">
        <v>5.3</v>
      </c>
      <c r="J142" s="110">
        <v>84.8</v>
      </c>
    </row>
    <row r="143" spans="1:10" ht="24" customHeight="1" x14ac:dyDescent="0.2">
      <c r="A143" s="113" t="s">
        <v>1859</v>
      </c>
      <c r="B143" s="114" t="s">
        <v>2732</v>
      </c>
      <c r="C143" s="113" t="s">
        <v>20</v>
      </c>
      <c r="D143" s="113" t="s">
        <v>2731</v>
      </c>
      <c r="E143" s="139" t="s">
        <v>1369</v>
      </c>
      <c r="F143" s="139"/>
      <c r="G143" s="112" t="s">
        <v>246</v>
      </c>
      <c r="H143" s="111">
        <v>1</v>
      </c>
      <c r="I143" s="110">
        <v>41.45</v>
      </c>
      <c r="J143" s="110">
        <v>41.45</v>
      </c>
    </row>
    <row r="144" spans="1:10" ht="24" customHeight="1" x14ac:dyDescent="0.2">
      <c r="A144" s="113" t="s">
        <v>1859</v>
      </c>
      <c r="B144" s="114" t="s">
        <v>2730</v>
      </c>
      <c r="C144" s="113" t="s">
        <v>20</v>
      </c>
      <c r="D144" s="113" t="s">
        <v>2729</v>
      </c>
      <c r="E144" s="139" t="s">
        <v>1369</v>
      </c>
      <c r="F144" s="139"/>
      <c r="G144" s="112" t="s">
        <v>246</v>
      </c>
      <c r="H144" s="111">
        <v>1</v>
      </c>
      <c r="I144" s="110">
        <v>286.08999999999997</v>
      </c>
      <c r="J144" s="110">
        <v>286.08999999999997</v>
      </c>
    </row>
    <row r="145" spans="1:10" ht="24" customHeight="1" x14ac:dyDescent="0.2">
      <c r="A145" s="113" t="s">
        <v>1859</v>
      </c>
      <c r="B145" s="114" t="s">
        <v>2728</v>
      </c>
      <c r="C145" s="113" t="s">
        <v>20</v>
      </c>
      <c r="D145" s="113" t="s">
        <v>2727</v>
      </c>
      <c r="E145" s="139" t="s">
        <v>1369</v>
      </c>
      <c r="F145" s="139"/>
      <c r="G145" s="112" t="s">
        <v>246</v>
      </c>
      <c r="H145" s="111">
        <v>1</v>
      </c>
      <c r="I145" s="110">
        <v>57.66</v>
      </c>
      <c r="J145" s="110">
        <v>57.66</v>
      </c>
    </row>
    <row r="146" spans="1:10" ht="24" customHeight="1" x14ac:dyDescent="0.2">
      <c r="A146" s="113" t="s">
        <v>1859</v>
      </c>
      <c r="B146" s="114" t="s">
        <v>2525</v>
      </c>
      <c r="C146" s="113" t="s">
        <v>20</v>
      </c>
      <c r="D146" s="113" t="s">
        <v>302</v>
      </c>
      <c r="E146" s="139" t="s">
        <v>1369</v>
      </c>
      <c r="F146" s="139"/>
      <c r="G146" s="112" t="s">
        <v>246</v>
      </c>
      <c r="H146" s="111">
        <v>0.75</v>
      </c>
      <c r="I146" s="110">
        <v>71.39</v>
      </c>
      <c r="J146" s="110">
        <v>53.54</v>
      </c>
    </row>
    <row r="147" spans="1:10" ht="24" customHeight="1" x14ac:dyDescent="0.2">
      <c r="A147" s="113" t="s">
        <v>1859</v>
      </c>
      <c r="B147" s="114" t="s">
        <v>2528</v>
      </c>
      <c r="C147" s="113" t="s">
        <v>20</v>
      </c>
      <c r="D147" s="113" t="s">
        <v>293</v>
      </c>
      <c r="E147" s="139" t="s">
        <v>1369</v>
      </c>
      <c r="F147" s="139"/>
      <c r="G147" s="112" t="s">
        <v>246</v>
      </c>
      <c r="H147" s="111">
        <v>0.25</v>
      </c>
      <c r="I147" s="110">
        <v>10.17</v>
      </c>
      <c r="J147" s="110">
        <v>2.54</v>
      </c>
    </row>
    <row r="148" spans="1:10" ht="24" customHeight="1" x14ac:dyDescent="0.2">
      <c r="A148" s="113" t="s">
        <v>1859</v>
      </c>
      <c r="B148" s="114" t="s">
        <v>2726</v>
      </c>
      <c r="C148" s="113" t="s">
        <v>20</v>
      </c>
      <c r="D148" s="113" t="s">
        <v>2725</v>
      </c>
      <c r="E148" s="139" t="s">
        <v>1369</v>
      </c>
      <c r="F148" s="139"/>
      <c r="G148" s="112" t="s">
        <v>246</v>
      </c>
      <c r="H148" s="111">
        <v>1</v>
      </c>
      <c r="I148" s="110">
        <v>167.29</v>
      </c>
      <c r="J148" s="110">
        <v>167.29</v>
      </c>
    </row>
    <row r="149" spans="1:10" ht="24" customHeight="1" x14ac:dyDescent="0.2">
      <c r="A149" s="113" t="s">
        <v>1859</v>
      </c>
      <c r="B149" s="114" t="s">
        <v>2724</v>
      </c>
      <c r="C149" s="113" t="s">
        <v>20</v>
      </c>
      <c r="D149" s="113" t="s">
        <v>2723</v>
      </c>
      <c r="E149" s="139" t="s">
        <v>1369</v>
      </c>
      <c r="F149" s="139"/>
      <c r="G149" s="112" t="s">
        <v>213</v>
      </c>
      <c r="H149" s="111">
        <v>159.375</v>
      </c>
      <c r="I149" s="110">
        <v>2.19</v>
      </c>
      <c r="J149" s="110">
        <v>349.03</v>
      </c>
    </row>
    <row r="150" spans="1:10" ht="24" customHeight="1" x14ac:dyDescent="0.2">
      <c r="A150" s="113" t="s">
        <v>1859</v>
      </c>
      <c r="B150" s="114" t="s">
        <v>2526</v>
      </c>
      <c r="C150" s="113" t="s">
        <v>20</v>
      </c>
      <c r="D150" s="113" t="s">
        <v>299</v>
      </c>
      <c r="E150" s="139" t="s">
        <v>1369</v>
      </c>
      <c r="F150" s="139"/>
      <c r="G150" s="112" t="s">
        <v>246</v>
      </c>
      <c r="H150" s="111">
        <v>1.25</v>
      </c>
      <c r="I150" s="110">
        <v>65.27</v>
      </c>
      <c r="J150" s="110">
        <v>81.59</v>
      </c>
    </row>
    <row r="151" spans="1:10" ht="24" customHeight="1" x14ac:dyDescent="0.2">
      <c r="A151" s="113" t="s">
        <v>1859</v>
      </c>
      <c r="B151" s="114" t="s">
        <v>2722</v>
      </c>
      <c r="C151" s="113" t="s">
        <v>20</v>
      </c>
      <c r="D151" s="113" t="s">
        <v>2721</v>
      </c>
      <c r="E151" s="139" t="s">
        <v>1369</v>
      </c>
      <c r="F151" s="139"/>
      <c r="G151" s="112" t="s">
        <v>213</v>
      </c>
      <c r="H151" s="111">
        <v>5.0999999999999996</v>
      </c>
      <c r="I151" s="110">
        <v>15.24</v>
      </c>
      <c r="J151" s="110">
        <v>77.72</v>
      </c>
    </row>
    <row r="152" spans="1:10" ht="24" customHeight="1" x14ac:dyDescent="0.2">
      <c r="A152" s="113" t="s">
        <v>1859</v>
      </c>
      <c r="B152" s="114" t="s">
        <v>2530</v>
      </c>
      <c r="C152" s="113" t="s">
        <v>20</v>
      </c>
      <c r="D152" s="113" t="s">
        <v>2529</v>
      </c>
      <c r="E152" s="139" t="s">
        <v>1369</v>
      </c>
      <c r="F152" s="139"/>
      <c r="G152" s="112" t="s">
        <v>246</v>
      </c>
      <c r="H152" s="111">
        <v>0.5</v>
      </c>
      <c r="I152" s="110">
        <v>2.04</v>
      </c>
      <c r="J152" s="110">
        <v>1.02</v>
      </c>
    </row>
    <row r="153" spans="1:10" ht="24" customHeight="1" x14ac:dyDescent="0.2">
      <c r="A153" s="113" t="s">
        <v>1859</v>
      </c>
      <c r="B153" s="114" t="s">
        <v>2720</v>
      </c>
      <c r="C153" s="113" t="s">
        <v>20</v>
      </c>
      <c r="D153" s="113" t="s">
        <v>2719</v>
      </c>
      <c r="E153" s="139" t="s">
        <v>1369</v>
      </c>
      <c r="F153" s="139"/>
      <c r="G153" s="112" t="s">
        <v>246</v>
      </c>
      <c r="H153" s="111">
        <v>0.25</v>
      </c>
      <c r="I153" s="110">
        <v>211.5</v>
      </c>
      <c r="J153" s="110">
        <v>52.88</v>
      </c>
    </row>
    <row r="154" spans="1:10" ht="24" customHeight="1" x14ac:dyDescent="0.2">
      <c r="A154" s="113" t="s">
        <v>1859</v>
      </c>
      <c r="B154" s="114" t="s">
        <v>2523</v>
      </c>
      <c r="C154" s="113" t="s">
        <v>20</v>
      </c>
      <c r="D154" s="113" t="s">
        <v>2522</v>
      </c>
      <c r="E154" s="139" t="s">
        <v>1369</v>
      </c>
      <c r="F154" s="139"/>
      <c r="G154" s="112" t="s">
        <v>246</v>
      </c>
      <c r="H154" s="111">
        <v>0.75</v>
      </c>
      <c r="I154" s="110">
        <v>117.03</v>
      </c>
      <c r="J154" s="110">
        <v>87.77</v>
      </c>
    </row>
    <row r="155" spans="1:10" ht="24" customHeight="1" x14ac:dyDescent="0.2">
      <c r="A155" s="113" t="s">
        <v>1859</v>
      </c>
      <c r="B155" s="114" t="s">
        <v>2718</v>
      </c>
      <c r="C155" s="113" t="s">
        <v>20</v>
      </c>
      <c r="D155" s="113" t="s">
        <v>2717</v>
      </c>
      <c r="E155" s="139" t="s">
        <v>1369</v>
      </c>
      <c r="F155" s="139"/>
      <c r="G155" s="112" t="s">
        <v>246</v>
      </c>
      <c r="H155" s="111">
        <v>0.5</v>
      </c>
      <c r="I155" s="110">
        <v>7.61</v>
      </c>
      <c r="J155" s="110">
        <v>3.81</v>
      </c>
    </row>
    <row r="156" spans="1:10" ht="24" customHeight="1" x14ac:dyDescent="0.2">
      <c r="A156" s="113" t="s">
        <v>1859</v>
      </c>
      <c r="B156" s="114" t="s">
        <v>2716</v>
      </c>
      <c r="C156" s="113" t="s">
        <v>20</v>
      </c>
      <c r="D156" s="113" t="s">
        <v>2715</v>
      </c>
      <c r="E156" s="139" t="s">
        <v>1369</v>
      </c>
      <c r="F156" s="139"/>
      <c r="G156" s="112" t="s">
        <v>213</v>
      </c>
      <c r="H156" s="111">
        <v>125.58750000000001</v>
      </c>
      <c r="I156" s="110">
        <v>8.48</v>
      </c>
      <c r="J156" s="110">
        <v>1064.98</v>
      </c>
    </row>
    <row r="157" spans="1:10" ht="24" customHeight="1" x14ac:dyDescent="0.2">
      <c r="A157" s="113" t="s">
        <v>1859</v>
      </c>
      <c r="B157" s="114" t="s">
        <v>2714</v>
      </c>
      <c r="C157" s="113" t="s">
        <v>20</v>
      </c>
      <c r="D157" s="113" t="s">
        <v>2713</v>
      </c>
      <c r="E157" s="139" t="s">
        <v>1369</v>
      </c>
      <c r="F157" s="139"/>
      <c r="G157" s="112" t="s">
        <v>246</v>
      </c>
      <c r="H157" s="111">
        <v>0.5</v>
      </c>
      <c r="I157" s="110">
        <v>12.63</v>
      </c>
      <c r="J157" s="110">
        <v>6.32</v>
      </c>
    </row>
    <row r="158" spans="1:10" ht="24" customHeight="1" x14ac:dyDescent="0.2">
      <c r="A158" s="113" t="s">
        <v>1859</v>
      </c>
      <c r="B158" s="114" t="s">
        <v>2608</v>
      </c>
      <c r="C158" s="113" t="s">
        <v>20</v>
      </c>
      <c r="D158" s="113" t="s">
        <v>2607</v>
      </c>
      <c r="E158" s="139" t="s">
        <v>1369</v>
      </c>
      <c r="F158" s="139"/>
      <c r="G158" s="112" t="s">
        <v>213</v>
      </c>
      <c r="H158" s="111">
        <v>26</v>
      </c>
      <c r="I158" s="110">
        <v>26.47</v>
      </c>
      <c r="J158" s="110">
        <v>688.22</v>
      </c>
    </row>
    <row r="159" spans="1:10" ht="24" customHeight="1" x14ac:dyDescent="0.2">
      <c r="A159" s="113" t="s">
        <v>1859</v>
      </c>
      <c r="B159" s="114" t="s">
        <v>2712</v>
      </c>
      <c r="C159" s="113" t="s">
        <v>20</v>
      </c>
      <c r="D159" s="113" t="s">
        <v>2711</v>
      </c>
      <c r="E159" s="139" t="s">
        <v>1369</v>
      </c>
      <c r="F159" s="139"/>
      <c r="G159" s="112" t="s">
        <v>246</v>
      </c>
      <c r="H159" s="111">
        <v>1.25</v>
      </c>
      <c r="I159" s="110">
        <v>157.16</v>
      </c>
      <c r="J159" s="110">
        <v>196.45</v>
      </c>
    </row>
    <row r="160" spans="1:10" ht="24" customHeight="1" x14ac:dyDescent="0.2">
      <c r="A160" s="113" t="s">
        <v>1859</v>
      </c>
      <c r="B160" s="114" t="s">
        <v>2710</v>
      </c>
      <c r="C160" s="113" t="s">
        <v>20</v>
      </c>
      <c r="D160" s="113" t="s">
        <v>2709</v>
      </c>
      <c r="E160" s="139" t="s">
        <v>1369</v>
      </c>
      <c r="F160" s="139"/>
      <c r="G160" s="112" t="s">
        <v>246</v>
      </c>
      <c r="H160" s="111">
        <v>1</v>
      </c>
      <c r="I160" s="110">
        <v>5.23</v>
      </c>
      <c r="J160" s="110">
        <v>5.23</v>
      </c>
    </row>
    <row r="161" spans="1:10" ht="24" customHeight="1" x14ac:dyDescent="0.2">
      <c r="A161" s="113" t="s">
        <v>1859</v>
      </c>
      <c r="B161" s="114" t="s">
        <v>2708</v>
      </c>
      <c r="C161" s="113" t="s">
        <v>20</v>
      </c>
      <c r="D161" s="113" t="s">
        <v>2707</v>
      </c>
      <c r="E161" s="139" t="s">
        <v>1369</v>
      </c>
      <c r="F161" s="139"/>
      <c r="G161" s="112" t="s">
        <v>246</v>
      </c>
      <c r="H161" s="111">
        <v>1</v>
      </c>
      <c r="I161" s="110">
        <v>10.42</v>
      </c>
      <c r="J161" s="110">
        <v>10.42</v>
      </c>
    </row>
    <row r="162" spans="1:10" ht="24" customHeight="1" x14ac:dyDescent="0.2">
      <c r="A162" s="113" t="s">
        <v>1859</v>
      </c>
      <c r="B162" s="114" t="s">
        <v>2706</v>
      </c>
      <c r="C162" s="113" t="s">
        <v>20</v>
      </c>
      <c r="D162" s="113" t="s">
        <v>2705</v>
      </c>
      <c r="E162" s="139" t="s">
        <v>1369</v>
      </c>
      <c r="F162" s="139"/>
      <c r="G162" s="112" t="s">
        <v>246</v>
      </c>
      <c r="H162" s="111">
        <v>1.25</v>
      </c>
      <c r="I162" s="110">
        <v>35.85</v>
      </c>
      <c r="J162" s="110">
        <v>44.81</v>
      </c>
    </row>
    <row r="163" spans="1:10" ht="24" customHeight="1" x14ac:dyDescent="0.2">
      <c r="A163" s="113" t="s">
        <v>1859</v>
      </c>
      <c r="B163" s="114" t="s">
        <v>2704</v>
      </c>
      <c r="C163" s="113" t="s">
        <v>20</v>
      </c>
      <c r="D163" s="113" t="s">
        <v>2703</v>
      </c>
      <c r="E163" s="139" t="s">
        <v>1369</v>
      </c>
      <c r="F163" s="139"/>
      <c r="G163" s="112" t="s">
        <v>246</v>
      </c>
      <c r="H163" s="111">
        <v>1</v>
      </c>
      <c r="I163" s="110">
        <v>8.2899999999999991</v>
      </c>
      <c r="J163" s="110">
        <v>8.2899999999999991</v>
      </c>
    </row>
    <row r="164" spans="1:10" ht="24" customHeight="1" x14ac:dyDescent="0.2">
      <c r="A164" s="113" t="s">
        <v>1859</v>
      </c>
      <c r="B164" s="114" t="s">
        <v>2702</v>
      </c>
      <c r="C164" s="113" t="s">
        <v>20</v>
      </c>
      <c r="D164" s="113" t="s">
        <v>2701</v>
      </c>
      <c r="E164" s="139" t="s">
        <v>1369</v>
      </c>
      <c r="F164" s="139"/>
      <c r="G164" s="112" t="s">
        <v>246</v>
      </c>
      <c r="H164" s="111">
        <v>1</v>
      </c>
      <c r="I164" s="110">
        <v>121.49</v>
      </c>
      <c r="J164" s="110">
        <v>121.49</v>
      </c>
    </row>
    <row r="165" spans="1:10" ht="24" customHeight="1" x14ac:dyDescent="0.2">
      <c r="A165" s="113" t="s">
        <v>1859</v>
      </c>
      <c r="B165" s="114" t="s">
        <v>2700</v>
      </c>
      <c r="C165" s="113" t="s">
        <v>20</v>
      </c>
      <c r="D165" s="113" t="s">
        <v>2699</v>
      </c>
      <c r="E165" s="139" t="s">
        <v>1369</v>
      </c>
      <c r="F165" s="139"/>
      <c r="G165" s="112" t="s">
        <v>246</v>
      </c>
      <c r="H165" s="111">
        <v>6.25</v>
      </c>
      <c r="I165" s="110">
        <v>8.89</v>
      </c>
      <c r="J165" s="110">
        <v>55.56</v>
      </c>
    </row>
    <row r="166" spans="1:10" ht="24" customHeight="1" x14ac:dyDescent="0.2">
      <c r="A166" s="113" t="s">
        <v>1859</v>
      </c>
      <c r="B166" s="114" t="s">
        <v>2698</v>
      </c>
      <c r="C166" s="113" t="s">
        <v>20</v>
      </c>
      <c r="D166" s="113" t="s">
        <v>2697</v>
      </c>
      <c r="E166" s="139" t="s">
        <v>1369</v>
      </c>
      <c r="F166" s="139"/>
      <c r="G166" s="112" t="s">
        <v>246</v>
      </c>
      <c r="H166" s="111">
        <v>21</v>
      </c>
      <c r="I166" s="110">
        <v>0.43</v>
      </c>
      <c r="J166" s="110">
        <v>9.0299999999999994</v>
      </c>
    </row>
    <row r="167" spans="1:10" ht="24" customHeight="1" x14ac:dyDescent="0.2">
      <c r="A167" s="113" t="s">
        <v>1859</v>
      </c>
      <c r="B167" s="114" t="s">
        <v>2696</v>
      </c>
      <c r="C167" s="113" t="s">
        <v>20</v>
      </c>
      <c r="D167" s="113" t="s">
        <v>2695</v>
      </c>
      <c r="E167" s="139" t="s">
        <v>1369</v>
      </c>
      <c r="F167" s="139"/>
      <c r="G167" s="112" t="s">
        <v>246</v>
      </c>
      <c r="H167" s="111">
        <v>1.5</v>
      </c>
      <c r="I167" s="110">
        <v>4.33</v>
      </c>
      <c r="J167" s="110">
        <v>6.5</v>
      </c>
    </row>
    <row r="168" spans="1:10" ht="24" customHeight="1" x14ac:dyDescent="0.2">
      <c r="A168" s="113" t="s">
        <v>1859</v>
      </c>
      <c r="B168" s="114" t="s">
        <v>2694</v>
      </c>
      <c r="C168" s="113" t="s">
        <v>20</v>
      </c>
      <c r="D168" s="113" t="s">
        <v>2693</v>
      </c>
      <c r="E168" s="139" t="s">
        <v>1369</v>
      </c>
      <c r="F168" s="139"/>
      <c r="G168" s="112" t="s">
        <v>246</v>
      </c>
      <c r="H168" s="111">
        <v>1</v>
      </c>
      <c r="I168" s="110">
        <v>266</v>
      </c>
      <c r="J168" s="110">
        <v>266</v>
      </c>
    </row>
    <row r="169" spans="1:10" ht="24" customHeight="1" x14ac:dyDescent="0.2">
      <c r="A169" s="113" t="s">
        <v>1859</v>
      </c>
      <c r="B169" s="114" t="s">
        <v>2517</v>
      </c>
      <c r="C169" s="113" t="s">
        <v>20</v>
      </c>
      <c r="D169" s="113" t="s">
        <v>2516</v>
      </c>
      <c r="E169" s="139" t="s">
        <v>1369</v>
      </c>
      <c r="F169" s="139"/>
      <c r="G169" s="112" t="s">
        <v>246</v>
      </c>
      <c r="H169" s="111">
        <v>0.25</v>
      </c>
      <c r="I169" s="110">
        <v>135.97999999999999</v>
      </c>
      <c r="J169" s="110">
        <v>34</v>
      </c>
    </row>
    <row r="170" spans="1:10" ht="24" customHeight="1" x14ac:dyDescent="0.2">
      <c r="A170" s="113" t="s">
        <v>1859</v>
      </c>
      <c r="B170" s="114" t="s">
        <v>2692</v>
      </c>
      <c r="C170" s="113" t="s">
        <v>20</v>
      </c>
      <c r="D170" s="113" t="s">
        <v>2691</v>
      </c>
      <c r="E170" s="139" t="s">
        <v>1369</v>
      </c>
      <c r="F170" s="139"/>
      <c r="G170" s="112" t="s">
        <v>246</v>
      </c>
      <c r="H170" s="111">
        <v>6.25</v>
      </c>
      <c r="I170" s="110">
        <v>14.75</v>
      </c>
      <c r="J170" s="110">
        <v>92.19</v>
      </c>
    </row>
    <row r="171" spans="1:10" ht="24" customHeight="1" x14ac:dyDescent="0.2">
      <c r="A171" s="113" t="s">
        <v>1859</v>
      </c>
      <c r="B171" s="114" t="s">
        <v>2690</v>
      </c>
      <c r="C171" s="113" t="s">
        <v>20</v>
      </c>
      <c r="D171" s="113" t="s">
        <v>2689</v>
      </c>
      <c r="E171" s="139" t="s">
        <v>1369</v>
      </c>
      <c r="F171" s="139"/>
      <c r="G171" s="112" t="s">
        <v>246</v>
      </c>
      <c r="H171" s="111">
        <v>1</v>
      </c>
      <c r="I171" s="110">
        <v>12.54</v>
      </c>
      <c r="J171" s="110">
        <v>12.54</v>
      </c>
    </row>
    <row r="172" spans="1:10" ht="24" customHeight="1" x14ac:dyDescent="0.2">
      <c r="A172" s="113" t="s">
        <v>1859</v>
      </c>
      <c r="B172" s="114" t="s">
        <v>2688</v>
      </c>
      <c r="C172" s="113" t="s">
        <v>20</v>
      </c>
      <c r="D172" s="113" t="s">
        <v>2687</v>
      </c>
      <c r="E172" s="139" t="s">
        <v>1369</v>
      </c>
      <c r="F172" s="139"/>
      <c r="G172" s="112" t="s">
        <v>246</v>
      </c>
      <c r="H172" s="111">
        <v>0.5</v>
      </c>
      <c r="I172" s="110">
        <v>9.77</v>
      </c>
      <c r="J172" s="110">
        <v>4.8899999999999997</v>
      </c>
    </row>
    <row r="173" spans="1:10" ht="24" customHeight="1" x14ac:dyDescent="0.2">
      <c r="A173" s="113" t="s">
        <v>1859</v>
      </c>
      <c r="B173" s="114" t="s">
        <v>2062</v>
      </c>
      <c r="C173" s="113" t="s">
        <v>20</v>
      </c>
      <c r="D173" s="113" t="s">
        <v>2061</v>
      </c>
      <c r="E173" s="139" t="s">
        <v>1860</v>
      </c>
      <c r="F173" s="139"/>
      <c r="G173" s="112" t="s">
        <v>1864</v>
      </c>
      <c r="H173" s="111">
        <v>0.58720000000000006</v>
      </c>
      <c r="I173" s="110">
        <v>12.74</v>
      </c>
      <c r="J173" s="110">
        <v>7.48</v>
      </c>
    </row>
    <row r="174" spans="1:10" ht="24" customHeight="1" x14ac:dyDescent="0.2">
      <c r="A174" s="113" t="s">
        <v>1859</v>
      </c>
      <c r="B174" s="114" t="s">
        <v>1872</v>
      </c>
      <c r="C174" s="113" t="s">
        <v>20</v>
      </c>
      <c r="D174" s="113" t="s">
        <v>1871</v>
      </c>
      <c r="E174" s="139" t="s">
        <v>1860</v>
      </c>
      <c r="F174" s="139"/>
      <c r="G174" s="112" t="s">
        <v>1864</v>
      </c>
      <c r="H174" s="111">
        <v>5.5907</v>
      </c>
      <c r="I174" s="110">
        <v>10.62</v>
      </c>
      <c r="J174" s="110">
        <v>59.37</v>
      </c>
    </row>
    <row r="175" spans="1:10" ht="24" customHeight="1" x14ac:dyDescent="0.2">
      <c r="A175" s="113" t="s">
        <v>1859</v>
      </c>
      <c r="B175" s="114" t="s">
        <v>1951</v>
      </c>
      <c r="C175" s="113" t="s">
        <v>20</v>
      </c>
      <c r="D175" s="113" t="s">
        <v>1950</v>
      </c>
      <c r="E175" s="139" t="s">
        <v>1860</v>
      </c>
      <c r="F175" s="139"/>
      <c r="G175" s="112" t="s">
        <v>1864</v>
      </c>
      <c r="H175" s="111">
        <v>16.66</v>
      </c>
      <c r="I175" s="110">
        <v>10.62</v>
      </c>
      <c r="J175" s="110">
        <v>176.93</v>
      </c>
    </row>
    <row r="176" spans="1:10" ht="24" customHeight="1" x14ac:dyDescent="0.2">
      <c r="A176" s="113" t="s">
        <v>1859</v>
      </c>
      <c r="B176" s="114" t="s">
        <v>2442</v>
      </c>
      <c r="C176" s="113" t="s">
        <v>20</v>
      </c>
      <c r="D176" s="113" t="s">
        <v>2441</v>
      </c>
      <c r="E176" s="139" t="s">
        <v>1860</v>
      </c>
      <c r="F176" s="139"/>
      <c r="G176" s="112" t="s">
        <v>1864</v>
      </c>
      <c r="H176" s="111">
        <v>16.66</v>
      </c>
      <c r="I176" s="110">
        <v>15.97</v>
      </c>
      <c r="J176" s="110">
        <v>266.06</v>
      </c>
    </row>
    <row r="177" spans="1:10" x14ac:dyDescent="0.2">
      <c r="A177" s="109"/>
      <c r="B177" s="109"/>
      <c r="C177" s="109"/>
      <c r="D177" s="109"/>
      <c r="E177" s="109" t="s">
        <v>1858</v>
      </c>
      <c r="F177" s="108">
        <v>509.84</v>
      </c>
      <c r="G177" s="109" t="s">
        <v>1857</v>
      </c>
      <c r="H177" s="108">
        <v>0</v>
      </c>
      <c r="I177" s="109" t="s">
        <v>1856</v>
      </c>
      <c r="J177" s="108">
        <v>509.84</v>
      </c>
    </row>
    <row r="178" spans="1:10" ht="13.9" customHeight="1" x14ac:dyDescent="0.2">
      <c r="A178" s="109"/>
      <c r="B178" s="109"/>
      <c r="C178" s="109"/>
      <c r="D178" s="109"/>
      <c r="E178" s="109" t="s">
        <v>1855</v>
      </c>
      <c r="F178" s="108">
        <v>1205.2319399999999</v>
      </c>
      <c r="G178" s="109"/>
      <c r="H178" s="140" t="s">
        <v>1854</v>
      </c>
      <c r="I178" s="140"/>
      <c r="J178" s="108">
        <v>5744.71</v>
      </c>
    </row>
    <row r="179" spans="1:10" ht="30" customHeight="1" thickBot="1" x14ac:dyDescent="0.25">
      <c r="A179" s="100"/>
      <c r="B179" s="100"/>
      <c r="C179" s="100"/>
      <c r="D179" s="100"/>
      <c r="E179" s="100"/>
      <c r="F179" s="100"/>
      <c r="G179" s="100" t="s">
        <v>1853</v>
      </c>
      <c r="H179" s="107">
        <v>1</v>
      </c>
      <c r="I179" s="100" t="s">
        <v>1852</v>
      </c>
      <c r="J179" s="102">
        <v>5744.71</v>
      </c>
    </row>
    <row r="180" spans="1:10" ht="1.1499999999999999" customHeight="1" thickTop="1" x14ac:dyDescent="0.2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</row>
    <row r="181" spans="1:10" ht="18" customHeight="1" x14ac:dyDescent="0.2">
      <c r="A181" s="117" t="s">
        <v>41</v>
      </c>
      <c r="B181" s="126" t="s">
        <v>5</v>
      </c>
      <c r="C181" s="117" t="s">
        <v>6</v>
      </c>
      <c r="D181" s="117" t="s">
        <v>7</v>
      </c>
      <c r="E181" s="136" t="s">
        <v>1113</v>
      </c>
      <c r="F181" s="136"/>
      <c r="G181" s="7" t="s">
        <v>8</v>
      </c>
      <c r="H181" s="126" t="s">
        <v>9</v>
      </c>
      <c r="I181" s="126" t="s">
        <v>10</v>
      </c>
      <c r="J181" s="126" t="s">
        <v>12</v>
      </c>
    </row>
    <row r="182" spans="1:10" ht="24" customHeight="1" x14ac:dyDescent="0.2">
      <c r="A182" s="116" t="s">
        <v>1861</v>
      </c>
      <c r="B182" s="1" t="s">
        <v>42</v>
      </c>
      <c r="C182" s="116" t="s">
        <v>20</v>
      </c>
      <c r="D182" s="116" t="s">
        <v>43</v>
      </c>
      <c r="E182" s="137">
        <v>2</v>
      </c>
      <c r="F182" s="137"/>
      <c r="G182" s="2" t="s">
        <v>22</v>
      </c>
      <c r="H182" s="115">
        <v>1</v>
      </c>
      <c r="I182" s="61">
        <v>60.84</v>
      </c>
      <c r="J182" s="61">
        <v>60.84</v>
      </c>
    </row>
    <row r="183" spans="1:10" ht="24" customHeight="1" x14ac:dyDescent="0.2">
      <c r="A183" s="113" t="s">
        <v>1859</v>
      </c>
      <c r="B183" s="114" t="s">
        <v>2686</v>
      </c>
      <c r="C183" s="113" t="s">
        <v>20</v>
      </c>
      <c r="D183" s="113" t="s">
        <v>2685</v>
      </c>
      <c r="E183" s="139" t="s">
        <v>1369</v>
      </c>
      <c r="F183" s="139"/>
      <c r="G183" s="112" t="s">
        <v>246</v>
      </c>
      <c r="H183" s="111">
        <v>0.17130000000000001</v>
      </c>
      <c r="I183" s="110">
        <v>0.15</v>
      </c>
      <c r="J183" s="110">
        <v>0.03</v>
      </c>
    </row>
    <row r="184" spans="1:10" ht="24" customHeight="1" x14ac:dyDescent="0.2">
      <c r="A184" s="113" t="s">
        <v>1859</v>
      </c>
      <c r="B184" s="114" t="s">
        <v>2684</v>
      </c>
      <c r="C184" s="113" t="s">
        <v>20</v>
      </c>
      <c r="D184" s="113" t="s">
        <v>2683</v>
      </c>
      <c r="E184" s="139" t="s">
        <v>1369</v>
      </c>
      <c r="F184" s="139"/>
      <c r="G184" s="112" t="s">
        <v>246</v>
      </c>
      <c r="H184" s="111">
        <v>9.4999999999999998E-3</v>
      </c>
      <c r="I184" s="110">
        <v>19.690000000000001</v>
      </c>
      <c r="J184" s="110">
        <v>0.19</v>
      </c>
    </row>
    <row r="185" spans="1:10" ht="24" customHeight="1" x14ac:dyDescent="0.2">
      <c r="A185" s="113" t="s">
        <v>1859</v>
      </c>
      <c r="B185" s="114" t="s">
        <v>2072</v>
      </c>
      <c r="C185" s="113" t="s">
        <v>20</v>
      </c>
      <c r="D185" s="113" t="s">
        <v>2071</v>
      </c>
      <c r="E185" s="139" t="s">
        <v>1369</v>
      </c>
      <c r="F185" s="139"/>
      <c r="G185" s="112" t="s">
        <v>49</v>
      </c>
      <c r="H185" s="111">
        <v>6.9999999999999999E-4</v>
      </c>
      <c r="I185" s="110">
        <v>100.76</v>
      </c>
      <c r="J185" s="110">
        <v>7.0000000000000007E-2</v>
      </c>
    </row>
    <row r="186" spans="1:10" ht="24" customHeight="1" x14ac:dyDescent="0.2">
      <c r="A186" s="113" t="s">
        <v>1859</v>
      </c>
      <c r="B186" s="114" t="s">
        <v>2070</v>
      </c>
      <c r="C186" s="113" t="s">
        <v>20</v>
      </c>
      <c r="D186" s="113" t="s">
        <v>2069</v>
      </c>
      <c r="E186" s="139" t="s">
        <v>1369</v>
      </c>
      <c r="F186" s="139"/>
      <c r="G186" s="112" t="s">
        <v>49</v>
      </c>
      <c r="H186" s="111">
        <v>4.0000000000000002E-4</v>
      </c>
      <c r="I186" s="110">
        <v>169.44</v>
      </c>
      <c r="J186" s="110">
        <v>7.0000000000000007E-2</v>
      </c>
    </row>
    <row r="187" spans="1:10" ht="24" customHeight="1" x14ac:dyDescent="0.2">
      <c r="A187" s="113" t="s">
        <v>1859</v>
      </c>
      <c r="B187" s="114" t="s">
        <v>2592</v>
      </c>
      <c r="C187" s="113" t="s">
        <v>20</v>
      </c>
      <c r="D187" s="113" t="s">
        <v>2591</v>
      </c>
      <c r="E187" s="139" t="s">
        <v>1369</v>
      </c>
      <c r="F187" s="139"/>
      <c r="G187" s="112" t="s">
        <v>22</v>
      </c>
      <c r="H187" s="111">
        <v>1</v>
      </c>
      <c r="I187" s="110">
        <v>14.94</v>
      </c>
      <c r="J187" s="110">
        <v>14.94</v>
      </c>
    </row>
    <row r="188" spans="1:10" ht="24" customHeight="1" x14ac:dyDescent="0.2">
      <c r="A188" s="113" t="s">
        <v>1859</v>
      </c>
      <c r="B188" s="114" t="s">
        <v>2682</v>
      </c>
      <c r="C188" s="113" t="s">
        <v>20</v>
      </c>
      <c r="D188" s="113" t="s">
        <v>2681</v>
      </c>
      <c r="E188" s="139" t="s">
        <v>1369</v>
      </c>
      <c r="F188" s="139"/>
      <c r="G188" s="112" t="s">
        <v>246</v>
      </c>
      <c r="H188" s="111">
        <v>2.86E-2</v>
      </c>
      <c r="I188" s="110">
        <v>19.690000000000001</v>
      </c>
      <c r="J188" s="110">
        <v>0.56000000000000005</v>
      </c>
    </row>
    <row r="189" spans="1:10" ht="24" customHeight="1" x14ac:dyDescent="0.2">
      <c r="A189" s="113" t="s">
        <v>1859</v>
      </c>
      <c r="B189" s="114" t="s">
        <v>1897</v>
      </c>
      <c r="C189" s="113" t="s">
        <v>20</v>
      </c>
      <c r="D189" s="113" t="s">
        <v>1896</v>
      </c>
      <c r="E189" s="139" t="s">
        <v>1369</v>
      </c>
      <c r="F189" s="139"/>
      <c r="G189" s="112" t="s">
        <v>96</v>
      </c>
      <c r="H189" s="111">
        <v>0.1196</v>
      </c>
      <c r="I189" s="110">
        <v>0.6</v>
      </c>
      <c r="J189" s="110">
        <v>7.0000000000000007E-2</v>
      </c>
    </row>
    <row r="190" spans="1:10" ht="24" customHeight="1" x14ac:dyDescent="0.2">
      <c r="A190" s="113" t="s">
        <v>1859</v>
      </c>
      <c r="B190" s="114" t="s">
        <v>2680</v>
      </c>
      <c r="C190" s="113" t="s">
        <v>20</v>
      </c>
      <c r="D190" s="113" t="s">
        <v>2679</v>
      </c>
      <c r="E190" s="139" t="s">
        <v>1369</v>
      </c>
      <c r="F190" s="139"/>
      <c r="G190" s="112" t="s">
        <v>96</v>
      </c>
      <c r="H190" s="111">
        <v>2.5999999999999999E-3</v>
      </c>
      <c r="I190" s="110">
        <v>26.69</v>
      </c>
      <c r="J190" s="110">
        <v>7.0000000000000007E-2</v>
      </c>
    </row>
    <row r="191" spans="1:10" ht="24" customHeight="1" x14ac:dyDescent="0.2">
      <c r="A191" s="113" t="s">
        <v>1859</v>
      </c>
      <c r="B191" s="114" t="s">
        <v>2678</v>
      </c>
      <c r="C191" s="113" t="s">
        <v>20</v>
      </c>
      <c r="D191" s="113" t="s">
        <v>2677</v>
      </c>
      <c r="E191" s="139" t="s">
        <v>1369</v>
      </c>
      <c r="F191" s="139"/>
      <c r="G191" s="112" t="s">
        <v>246</v>
      </c>
      <c r="H191" s="111">
        <v>0.17130000000000001</v>
      </c>
      <c r="I191" s="110">
        <v>1.08</v>
      </c>
      <c r="J191" s="110">
        <v>0.19</v>
      </c>
    </row>
    <row r="192" spans="1:10" ht="24" customHeight="1" x14ac:dyDescent="0.2">
      <c r="A192" s="113" t="s">
        <v>1859</v>
      </c>
      <c r="B192" s="114" t="s">
        <v>2676</v>
      </c>
      <c r="C192" s="113" t="s">
        <v>20</v>
      </c>
      <c r="D192" s="113" t="s">
        <v>2675</v>
      </c>
      <c r="E192" s="139" t="s">
        <v>1369</v>
      </c>
      <c r="F192" s="139"/>
      <c r="G192" s="112" t="s">
        <v>96</v>
      </c>
      <c r="H192" s="111">
        <v>2.18E-2</v>
      </c>
      <c r="I192" s="110">
        <v>20.12</v>
      </c>
      <c r="J192" s="110">
        <v>0.44</v>
      </c>
    </row>
    <row r="193" spans="1:10" ht="24" customHeight="1" x14ac:dyDescent="0.2">
      <c r="A193" s="113" t="s">
        <v>1859</v>
      </c>
      <c r="B193" s="114" t="s">
        <v>2626</v>
      </c>
      <c r="C193" s="113" t="s">
        <v>20</v>
      </c>
      <c r="D193" s="113" t="s">
        <v>2625</v>
      </c>
      <c r="E193" s="139" t="s">
        <v>1369</v>
      </c>
      <c r="F193" s="139"/>
      <c r="G193" s="112" t="s">
        <v>213</v>
      </c>
      <c r="H193" s="111">
        <v>0.21410000000000001</v>
      </c>
      <c r="I193" s="110">
        <v>9.41</v>
      </c>
      <c r="J193" s="110">
        <v>2.0099999999999998</v>
      </c>
    </row>
    <row r="194" spans="1:10" ht="24" customHeight="1" x14ac:dyDescent="0.2">
      <c r="A194" s="113" t="s">
        <v>1859</v>
      </c>
      <c r="B194" s="114" t="s">
        <v>2674</v>
      </c>
      <c r="C194" s="113" t="s">
        <v>20</v>
      </c>
      <c r="D194" s="113" t="s">
        <v>2673</v>
      </c>
      <c r="E194" s="139" t="s">
        <v>1369</v>
      </c>
      <c r="F194" s="139"/>
      <c r="G194" s="112" t="s">
        <v>246</v>
      </c>
      <c r="H194" s="111">
        <v>0.17130000000000001</v>
      </c>
      <c r="I194" s="110">
        <v>0.25</v>
      </c>
      <c r="J194" s="110">
        <v>0.04</v>
      </c>
    </row>
    <row r="195" spans="1:10" ht="24" customHeight="1" x14ac:dyDescent="0.2">
      <c r="A195" s="113" t="s">
        <v>1859</v>
      </c>
      <c r="B195" s="114" t="s">
        <v>2239</v>
      </c>
      <c r="C195" s="113" t="s">
        <v>20</v>
      </c>
      <c r="D195" s="113" t="s">
        <v>2238</v>
      </c>
      <c r="E195" s="139" t="s">
        <v>1369</v>
      </c>
      <c r="F195" s="139"/>
      <c r="G195" s="112" t="s">
        <v>213</v>
      </c>
      <c r="H195" s="111">
        <v>1.466</v>
      </c>
      <c r="I195" s="110">
        <v>9.7100000000000009</v>
      </c>
      <c r="J195" s="110">
        <v>14.23</v>
      </c>
    </row>
    <row r="196" spans="1:10" ht="24" customHeight="1" x14ac:dyDescent="0.2">
      <c r="A196" s="113" t="s">
        <v>1859</v>
      </c>
      <c r="B196" s="114" t="s">
        <v>2612</v>
      </c>
      <c r="C196" s="113" t="s">
        <v>20</v>
      </c>
      <c r="D196" s="113" t="s">
        <v>2611</v>
      </c>
      <c r="E196" s="139" t="s">
        <v>1369</v>
      </c>
      <c r="F196" s="139"/>
      <c r="G196" s="112" t="s">
        <v>213</v>
      </c>
      <c r="H196" s="111">
        <v>1.0597000000000001</v>
      </c>
      <c r="I196" s="110">
        <v>2.61</v>
      </c>
      <c r="J196" s="110">
        <v>2.77</v>
      </c>
    </row>
    <row r="197" spans="1:10" ht="24" customHeight="1" x14ac:dyDescent="0.2">
      <c r="A197" s="113" t="s">
        <v>1859</v>
      </c>
      <c r="B197" s="114" t="s">
        <v>2068</v>
      </c>
      <c r="C197" s="113" t="s">
        <v>20</v>
      </c>
      <c r="D197" s="113" t="s">
        <v>2067</v>
      </c>
      <c r="E197" s="139" t="s">
        <v>1369</v>
      </c>
      <c r="F197" s="139"/>
      <c r="G197" s="112" t="s">
        <v>213</v>
      </c>
      <c r="H197" s="111">
        <v>0.65969999999999995</v>
      </c>
      <c r="I197" s="110">
        <v>15.39</v>
      </c>
      <c r="J197" s="110">
        <v>10.15</v>
      </c>
    </row>
    <row r="198" spans="1:10" ht="24" customHeight="1" x14ac:dyDescent="0.2">
      <c r="A198" s="113" t="s">
        <v>1859</v>
      </c>
      <c r="B198" s="114" t="s">
        <v>2610</v>
      </c>
      <c r="C198" s="113" t="s">
        <v>20</v>
      </c>
      <c r="D198" s="113" t="s">
        <v>2609</v>
      </c>
      <c r="E198" s="139" t="s">
        <v>1369</v>
      </c>
      <c r="F198" s="139"/>
      <c r="G198" s="112" t="s">
        <v>96</v>
      </c>
      <c r="H198" s="111">
        <v>1.7399999999999999E-2</v>
      </c>
      <c r="I198" s="110">
        <v>18.170000000000002</v>
      </c>
      <c r="J198" s="110">
        <v>0.32</v>
      </c>
    </row>
    <row r="199" spans="1:10" ht="24" customHeight="1" x14ac:dyDescent="0.2">
      <c r="A199" s="113" t="s">
        <v>1859</v>
      </c>
      <c r="B199" s="114" t="s">
        <v>2672</v>
      </c>
      <c r="C199" s="113" t="s">
        <v>20</v>
      </c>
      <c r="D199" s="113" t="s">
        <v>2671</v>
      </c>
      <c r="E199" s="139" t="s">
        <v>1369</v>
      </c>
      <c r="F199" s="139"/>
      <c r="G199" s="112" t="s">
        <v>213</v>
      </c>
      <c r="H199" s="111">
        <v>4.6100000000000002E-2</v>
      </c>
      <c r="I199" s="110">
        <v>35.06</v>
      </c>
      <c r="J199" s="110">
        <v>1.62</v>
      </c>
    </row>
    <row r="200" spans="1:10" ht="24" customHeight="1" x14ac:dyDescent="0.2">
      <c r="A200" s="113" t="s">
        <v>1859</v>
      </c>
      <c r="B200" s="114" t="s">
        <v>1872</v>
      </c>
      <c r="C200" s="113" t="s">
        <v>20</v>
      </c>
      <c r="D200" s="113" t="s">
        <v>1871</v>
      </c>
      <c r="E200" s="139" t="s">
        <v>1860</v>
      </c>
      <c r="F200" s="139"/>
      <c r="G200" s="112" t="s">
        <v>1864</v>
      </c>
      <c r="H200" s="111">
        <v>0.48549999999999999</v>
      </c>
      <c r="I200" s="110">
        <v>10.62</v>
      </c>
      <c r="J200" s="110">
        <v>5.16</v>
      </c>
    </row>
    <row r="201" spans="1:10" ht="24" customHeight="1" x14ac:dyDescent="0.2">
      <c r="A201" s="113" t="s">
        <v>1859</v>
      </c>
      <c r="B201" s="114" t="s">
        <v>2060</v>
      </c>
      <c r="C201" s="113" t="s">
        <v>20</v>
      </c>
      <c r="D201" s="113" t="s">
        <v>2059</v>
      </c>
      <c r="E201" s="139" t="s">
        <v>1860</v>
      </c>
      <c r="F201" s="139"/>
      <c r="G201" s="112" t="s">
        <v>1864</v>
      </c>
      <c r="H201" s="111">
        <v>0.495</v>
      </c>
      <c r="I201" s="110">
        <v>15.97</v>
      </c>
      <c r="J201" s="110">
        <v>7.91</v>
      </c>
    </row>
    <row r="202" spans="1:10" x14ac:dyDescent="0.2">
      <c r="A202" s="109"/>
      <c r="B202" s="109"/>
      <c r="C202" s="109"/>
      <c r="D202" s="109"/>
      <c r="E202" s="109" t="s">
        <v>1858</v>
      </c>
      <c r="F202" s="108">
        <v>13.07</v>
      </c>
      <c r="G202" s="109" t="s">
        <v>1857</v>
      </c>
      <c r="H202" s="108">
        <v>0</v>
      </c>
      <c r="I202" s="109" t="s">
        <v>1856</v>
      </c>
      <c r="J202" s="108">
        <v>13.07</v>
      </c>
    </row>
    <row r="203" spans="1:10" ht="13.9" customHeight="1" x14ac:dyDescent="0.2">
      <c r="A203" s="109"/>
      <c r="B203" s="109"/>
      <c r="C203" s="109"/>
      <c r="D203" s="109"/>
      <c r="E203" s="109" t="s">
        <v>1855</v>
      </c>
      <c r="F203" s="108">
        <v>16.153020000000001</v>
      </c>
      <c r="G203" s="109"/>
      <c r="H203" s="140" t="s">
        <v>1854</v>
      </c>
      <c r="I203" s="140"/>
      <c r="J203" s="108">
        <v>76.989999999999995</v>
      </c>
    </row>
    <row r="204" spans="1:10" ht="30" customHeight="1" thickBot="1" x14ac:dyDescent="0.25">
      <c r="A204" s="100"/>
      <c r="B204" s="100"/>
      <c r="C204" s="100"/>
      <c r="D204" s="100"/>
      <c r="E204" s="100"/>
      <c r="F204" s="100"/>
      <c r="G204" s="100" t="s">
        <v>1853</v>
      </c>
      <c r="H204" s="107">
        <v>30.45</v>
      </c>
      <c r="I204" s="100" t="s">
        <v>1852</v>
      </c>
      <c r="J204" s="102">
        <v>2344.35</v>
      </c>
    </row>
    <row r="205" spans="1:10" ht="1.1499999999999999" customHeight="1" thickTop="1" x14ac:dyDescent="0.2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</row>
    <row r="206" spans="1:10" ht="18" customHeight="1" x14ac:dyDescent="0.2">
      <c r="A206" s="117" t="s">
        <v>1336</v>
      </c>
      <c r="B206" s="126" t="s">
        <v>5</v>
      </c>
      <c r="C206" s="117" t="s">
        <v>6</v>
      </c>
      <c r="D206" s="117" t="s">
        <v>7</v>
      </c>
      <c r="E206" s="136" t="s">
        <v>1113</v>
      </c>
      <c r="F206" s="136"/>
      <c r="G206" s="7" t="s">
        <v>8</v>
      </c>
      <c r="H206" s="126" t="s">
        <v>9</v>
      </c>
      <c r="I206" s="126" t="s">
        <v>10</v>
      </c>
      <c r="J206" s="126" t="s">
        <v>12</v>
      </c>
    </row>
    <row r="207" spans="1:10" ht="48" customHeight="1" x14ac:dyDescent="0.2">
      <c r="A207" s="116" t="s">
        <v>1861</v>
      </c>
      <c r="B207" s="1" t="s">
        <v>2842</v>
      </c>
      <c r="C207" s="116" t="s">
        <v>411</v>
      </c>
      <c r="D207" s="116" t="s">
        <v>1335</v>
      </c>
      <c r="E207" s="137">
        <v>203</v>
      </c>
      <c r="F207" s="137"/>
      <c r="G207" s="2" t="s">
        <v>22</v>
      </c>
      <c r="H207" s="115">
        <v>1</v>
      </c>
      <c r="I207" s="61">
        <v>39.5</v>
      </c>
      <c r="J207" s="61">
        <v>39.5</v>
      </c>
    </row>
    <row r="208" spans="1:10" ht="24" customHeight="1" x14ac:dyDescent="0.2">
      <c r="A208" s="113" t="s">
        <v>1859</v>
      </c>
      <c r="B208" s="114" t="s">
        <v>1951</v>
      </c>
      <c r="C208" s="113" t="s">
        <v>20</v>
      </c>
      <c r="D208" s="113" t="s">
        <v>1950</v>
      </c>
      <c r="E208" s="139" t="s">
        <v>1860</v>
      </c>
      <c r="F208" s="139"/>
      <c r="G208" s="112" t="s">
        <v>1864</v>
      </c>
      <c r="H208" s="111">
        <v>0.42</v>
      </c>
      <c r="I208" s="110">
        <v>10.62</v>
      </c>
      <c r="J208" s="110">
        <v>4.46</v>
      </c>
    </row>
    <row r="209" spans="1:10" ht="24" customHeight="1" x14ac:dyDescent="0.2">
      <c r="A209" s="113" t="s">
        <v>1859</v>
      </c>
      <c r="B209" s="114" t="s">
        <v>2060</v>
      </c>
      <c r="C209" s="113" t="s">
        <v>20</v>
      </c>
      <c r="D209" s="113" t="s">
        <v>2059</v>
      </c>
      <c r="E209" s="139" t="s">
        <v>1860</v>
      </c>
      <c r="F209" s="139"/>
      <c r="G209" s="112" t="s">
        <v>1864</v>
      </c>
      <c r="H209" s="111">
        <v>0.42</v>
      </c>
      <c r="I209" s="110">
        <v>15.97</v>
      </c>
      <c r="J209" s="110">
        <v>6.71</v>
      </c>
    </row>
    <row r="210" spans="1:10" ht="24" customHeight="1" x14ac:dyDescent="0.2">
      <c r="A210" s="113" t="s">
        <v>1859</v>
      </c>
      <c r="B210" s="114" t="s">
        <v>2626</v>
      </c>
      <c r="C210" s="113" t="s">
        <v>20</v>
      </c>
      <c r="D210" s="113" t="s">
        <v>2625</v>
      </c>
      <c r="E210" s="139" t="s">
        <v>1369</v>
      </c>
      <c r="F210" s="139"/>
      <c r="G210" s="112" t="s">
        <v>213</v>
      </c>
      <c r="H210" s="111">
        <v>4.1000000000000002E-2</v>
      </c>
      <c r="I210" s="110">
        <v>9.41</v>
      </c>
      <c r="J210" s="110">
        <v>0.39</v>
      </c>
    </row>
    <row r="211" spans="1:10" ht="24" customHeight="1" x14ac:dyDescent="0.2">
      <c r="A211" s="113" t="s">
        <v>1859</v>
      </c>
      <c r="B211" s="114" t="s">
        <v>2845</v>
      </c>
      <c r="C211" s="113" t="s">
        <v>20</v>
      </c>
      <c r="D211" s="113" t="s">
        <v>2846</v>
      </c>
      <c r="E211" s="139" t="s">
        <v>1369</v>
      </c>
      <c r="F211" s="139"/>
      <c r="G211" s="112" t="s">
        <v>213</v>
      </c>
      <c r="H211" s="111">
        <v>1.12E-2</v>
      </c>
      <c r="I211" s="110">
        <v>34.58</v>
      </c>
      <c r="J211" s="110">
        <v>0.39</v>
      </c>
    </row>
    <row r="212" spans="1:10" ht="24" customHeight="1" x14ac:dyDescent="0.2">
      <c r="A212" s="113" t="s">
        <v>1859</v>
      </c>
      <c r="B212" s="114" t="s">
        <v>2395</v>
      </c>
      <c r="C212" s="113" t="s">
        <v>20</v>
      </c>
      <c r="D212" s="113" t="s">
        <v>2394</v>
      </c>
      <c r="E212" s="139" t="s">
        <v>1369</v>
      </c>
      <c r="F212" s="139"/>
      <c r="G212" s="112" t="s">
        <v>22</v>
      </c>
      <c r="H212" s="111">
        <v>0.02</v>
      </c>
      <c r="I212" s="110">
        <v>24.76</v>
      </c>
      <c r="J212" s="110">
        <v>0.5</v>
      </c>
    </row>
    <row r="213" spans="1:10" ht="24" customHeight="1" x14ac:dyDescent="0.2">
      <c r="A213" s="113" t="s">
        <v>1859</v>
      </c>
      <c r="B213" s="114" t="s">
        <v>2620</v>
      </c>
      <c r="C213" s="113" t="s">
        <v>20</v>
      </c>
      <c r="D213" s="113" t="s">
        <v>2619</v>
      </c>
      <c r="E213" s="139" t="s">
        <v>1369</v>
      </c>
      <c r="F213" s="139"/>
      <c r="G213" s="112" t="s">
        <v>96</v>
      </c>
      <c r="H213" s="111">
        <v>0.05</v>
      </c>
      <c r="I213" s="110">
        <v>22.63</v>
      </c>
      <c r="J213" s="110">
        <v>1.1299999999999999</v>
      </c>
    </row>
    <row r="214" spans="1:10" ht="24" customHeight="1" x14ac:dyDescent="0.2">
      <c r="A214" s="113" t="s">
        <v>1859</v>
      </c>
      <c r="B214" s="114" t="s">
        <v>2847</v>
      </c>
      <c r="C214" s="113" t="s">
        <v>20</v>
      </c>
      <c r="D214" s="113" t="s">
        <v>2848</v>
      </c>
      <c r="E214" s="139" t="s">
        <v>1369</v>
      </c>
      <c r="F214" s="139"/>
      <c r="G214" s="112" t="s">
        <v>22</v>
      </c>
      <c r="H214" s="111">
        <v>0.54</v>
      </c>
      <c r="I214" s="110">
        <v>48</v>
      </c>
      <c r="J214" s="110">
        <v>25.92</v>
      </c>
    </row>
    <row r="215" spans="1:10" x14ac:dyDescent="0.2">
      <c r="A215" s="109"/>
      <c r="B215" s="109"/>
      <c r="C215" s="109"/>
      <c r="D215" s="109"/>
      <c r="E215" s="109" t="s">
        <v>1858</v>
      </c>
      <c r="F215" s="108">
        <v>11.17</v>
      </c>
      <c r="G215" s="109" t="s">
        <v>1857</v>
      </c>
      <c r="H215" s="108">
        <v>0</v>
      </c>
      <c r="I215" s="109" t="s">
        <v>1856</v>
      </c>
      <c r="J215" s="108">
        <v>11.17</v>
      </c>
    </row>
    <row r="216" spans="1:10" ht="13.9" customHeight="1" x14ac:dyDescent="0.2">
      <c r="A216" s="109"/>
      <c r="B216" s="109"/>
      <c r="C216" s="109"/>
      <c r="D216" s="109"/>
      <c r="E216" s="109" t="s">
        <v>1855</v>
      </c>
      <c r="F216" s="108">
        <v>10.48725</v>
      </c>
      <c r="G216" s="109"/>
      <c r="H216" s="140" t="s">
        <v>1854</v>
      </c>
      <c r="I216" s="140"/>
      <c r="J216" s="108">
        <v>49.99</v>
      </c>
    </row>
    <row r="217" spans="1:10" ht="30" customHeight="1" thickBot="1" x14ac:dyDescent="0.25">
      <c r="A217" s="100"/>
      <c r="B217" s="100"/>
      <c r="C217" s="100"/>
      <c r="D217" s="100"/>
      <c r="E217" s="100"/>
      <c r="F217" s="100"/>
      <c r="G217" s="100" t="s">
        <v>1853</v>
      </c>
      <c r="H217" s="107">
        <v>180.4</v>
      </c>
      <c r="I217" s="100" t="s">
        <v>1852</v>
      </c>
      <c r="J217" s="102">
        <v>9018.2000000000007</v>
      </c>
    </row>
    <row r="218" spans="1:10" ht="1.1499999999999999" customHeight="1" thickTop="1" x14ac:dyDescent="0.2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</row>
    <row r="219" spans="1:10" ht="24" customHeight="1" x14ac:dyDescent="0.2">
      <c r="A219" s="123" t="s">
        <v>44</v>
      </c>
      <c r="B219" s="123"/>
      <c r="C219" s="123"/>
      <c r="D219" s="123" t="s">
        <v>45</v>
      </c>
      <c r="E219" s="123"/>
      <c r="F219" s="142"/>
      <c r="G219" s="142"/>
      <c r="H219" s="3"/>
      <c r="I219" s="123"/>
      <c r="J219" s="63">
        <v>3903.66</v>
      </c>
    </row>
    <row r="220" spans="1:10" ht="18" customHeight="1" x14ac:dyDescent="0.2">
      <c r="A220" s="117" t="s">
        <v>46</v>
      </c>
      <c r="B220" s="126" t="s">
        <v>5</v>
      </c>
      <c r="C220" s="117" t="s">
        <v>6</v>
      </c>
      <c r="D220" s="117" t="s">
        <v>7</v>
      </c>
      <c r="E220" s="136" t="s">
        <v>1113</v>
      </c>
      <c r="F220" s="136"/>
      <c r="G220" s="7" t="s">
        <v>8</v>
      </c>
      <c r="H220" s="126" t="s">
        <v>9</v>
      </c>
      <c r="I220" s="126" t="s">
        <v>10</v>
      </c>
      <c r="J220" s="126" t="s">
        <v>12</v>
      </c>
    </row>
    <row r="221" spans="1:10" ht="24" customHeight="1" x14ac:dyDescent="0.2">
      <c r="A221" s="116" t="s">
        <v>1861</v>
      </c>
      <c r="B221" s="1" t="s">
        <v>47</v>
      </c>
      <c r="C221" s="116" t="s">
        <v>20</v>
      </c>
      <c r="D221" s="116" t="s">
        <v>48</v>
      </c>
      <c r="E221" s="137">
        <v>2</v>
      </c>
      <c r="F221" s="137"/>
      <c r="G221" s="2" t="s">
        <v>49</v>
      </c>
      <c r="H221" s="115">
        <v>1</v>
      </c>
      <c r="I221" s="61">
        <v>30.54</v>
      </c>
      <c r="J221" s="61">
        <v>30.54</v>
      </c>
    </row>
    <row r="222" spans="1:10" ht="24" customHeight="1" x14ac:dyDescent="0.2">
      <c r="A222" s="113" t="s">
        <v>1859</v>
      </c>
      <c r="B222" s="114" t="s">
        <v>1866</v>
      </c>
      <c r="C222" s="113" t="s">
        <v>20</v>
      </c>
      <c r="D222" s="113" t="s">
        <v>1865</v>
      </c>
      <c r="E222" s="139" t="s">
        <v>1860</v>
      </c>
      <c r="F222" s="139"/>
      <c r="G222" s="112" t="s">
        <v>1864</v>
      </c>
      <c r="H222" s="111">
        <v>0.25</v>
      </c>
      <c r="I222" s="110">
        <v>15.97</v>
      </c>
      <c r="J222" s="110">
        <v>3.99</v>
      </c>
    </row>
    <row r="223" spans="1:10" ht="24" customHeight="1" x14ac:dyDescent="0.2">
      <c r="A223" s="113" t="s">
        <v>1859</v>
      </c>
      <c r="B223" s="114" t="s">
        <v>1872</v>
      </c>
      <c r="C223" s="113" t="s">
        <v>20</v>
      </c>
      <c r="D223" s="113" t="s">
        <v>1871</v>
      </c>
      <c r="E223" s="139" t="s">
        <v>1860</v>
      </c>
      <c r="F223" s="139"/>
      <c r="G223" s="112" t="s">
        <v>1864</v>
      </c>
      <c r="H223" s="111">
        <v>2.5</v>
      </c>
      <c r="I223" s="110">
        <v>10.62</v>
      </c>
      <c r="J223" s="110">
        <v>26.55</v>
      </c>
    </row>
    <row r="224" spans="1:10" x14ac:dyDescent="0.2">
      <c r="A224" s="109"/>
      <c r="B224" s="109"/>
      <c r="C224" s="109"/>
      <c r="D224" s="109"/>
      <c r="E224" s="109" t="s">
        <v>1858</v>
      </c>
      <c r="F224" s="108">
        <v>30.54</v>
      </c>
      <c r="G224" s="109" t="s">
        <v>1857</v>
      </c>
      <c r="H224" s="108">
        <v>0</v>
      </c>
      <c r="I224" s="109" t="s">
        <v>1856</v>
      </c>
      <c r="J224" s="108">
        <v>30.54</v>
      </c>
    </row>
    <row r="225" spans="1:10" ht="13.9" customHeight="1" x14ac:dyDescent="0.2">
      <c r="A225" s="109"/>
      <c r="B225" s="109"/>
      <c r="C225" s="109"/>
      <c r="D225" s="109"/>
      <c r="E225" s="109" t="s">
        <v>1855</v>
      </c>
      <c r="F225" s="108">
        <v>8.1083700000000007</v>
      </c>
      <c r="G225" s="109"/>
      <c r="H225" s="140" t="s">
        <v>1854</v>
      </c>
      <c r="I225" s="140"/>
      <c r="J225" s="108">
        <v>38.65</v>
      </c>
    </row>
    <row r="226" spans="1:10" ht="30" customHeight="1" thickBot="1" x14ac:dyDescent="0.25">
      <c r="A226" s="100"/>
      <c r="B226" s="100"/>
      <c r="C226" s="100"/>
      <c r="D226" s="100"/>
      <c r="E226" s="100"/>
      <c r="F226" s="100"/>
      <c r="G226" s="100" t="s">
        <v>1853</v>
      </c>
      <c r="H226" s="107">
        <v>12.5</v>
      </c>
      <c r="I226" s="100" t="s">
        <v>1852</v>
      </c>
      <c r="J226" s="102">
        <v>483.13</v>
      </c>
    </row>
    <row r="227" spans="1:10" ht="1.1499999999999999" customHeight="1" thickTop="1" x14ac:dyDescent="0.2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</row>
    <row r="228" spans="1:10" ht="18" customHeight="1" x14ac:dyDescent="0.2">
      <c r="A228" s="117" t="s">
        <v>50</v>
      </c>
      <c r="B228" s="126" t="s">
        <v>5</v>
      </c>
      <c r="C228" s="117" t="s">
        <v>6</v>
      </c>
      <c r="D228" s="117" t="s">
        <v>7</v>
      </c>
      <c r="E228" s="136" t="s">
        <v>1113</v>
      </c>
      <c r="F228" s="136"/>
      <c r="G228" s="7" t="s">
        <v>8</v>
      </c>
      <c r="H228" s="126" t="s">
        <v>9</v>
      </c>
      <c r="I228" s="126" t="s">
        <v>10</v>
      </c>
      <c r="J228" s="126" t="s">
        <v>12</v>
      </c>
    </row>
    <row r="229" spans="1:10" ht="24" customHeight="1" x14ac:dyDescent="0.2">
      <c r="A229" s="116" t="s">
        <v>1861</v>
      </c>
      <c r="B229" s="1" t="s">
        <v>51</v>
      </c>
      <c r="C229" s="116" t="s">
        <v>20</v>
      </c>
      <c r="D229" s="116" t="s">
        <v>52</v>
      </c>
      <c r="E229" s="137">
        <v>2</v>
      </c>
      <c r="F229" s="137"/>
      <c r="G229" s="2" t="s">
        <v>22</v>
      </c>
      <c r="H229" s="115">
        <v>1</v>
      </c>
      <c r="I229" s="61">
        <v>3.97</v>
      </c>
      <c r="J229" s="61">
        <v>3.97</v>
      </c>
    </row>
    <row r="230" spans="1:10" ht="24" customHeight="1" x14ac:dyDescent="0.2">
      <c r="A230" s="113" t="s">
        <v>1859</v>
      </c>
      <c r="B230" s="114" t="s">
        <v>1866</v>
      </c>
      <c r="C230" s="113" t="s">
        <v>20</v>
      </c>
      <c r="D230" s="113" t="s">
        <v>1865</v>
      </c>
      <c r="E230" s="139" t="s">
        <v>1860</v>
      </c>
      <c r="F230" s="139"/>
      <c r="G230" s="112" t="s">
        <v>1864</v>
      </c>
      <c r="H230" s="111">
        <v>3.2500000000000001E-2</v>
      </c>
      <c r="I230" s="110">
        <v>15.97</v>
      </c>
      <c r="J230" s="110">
        <v>0.52</v>
      </c>
    </row>
    <row r="231" spans="1:10" ht="24" customHeight="1" x14ac:dyDescent="0.2">
      <c r="A231" s="113" t="s">
        <v>1859</v>
      </c>
      <c r="B231" s="114" t="s">
        <v>1872</v>
      </c>
      <c r="C231" s="113" t="s">
        <v>20</v>
      </c>
      <c r="D231" s="113" t="s">
        <v>1871</v>
      </c>
      <c r="E231" s="139" t="s">
        <v>1860</v>
      </c>
      <c r="F231" s="139"/>
      <c r="G231" s="112" t="s">
        <v>1864</v>
      </c>
      <c r="H231" s="111">
        <v>0.32500000000000001</v>
      </c>
      <c r="I231" s="110">
        <v>10.62</v>
      </c>
      <c r="J231" s="110">
        <v>3.45</v>
      </c>
    </row>
    <row r="232" spans="1:10" x14ac:dyDescent="0.2">
      <c r="A232" s="109"/>
      <c r="B232" s="109"/>
      <c r="C232" s="109"/>
      <c r="D232" s="109"/>
      <c r="E232" s="109" t="s">
        <v>1858</v>
      </c>
      <c r="F232" s="108">
        <v>3.97</v>
      </c>
      <c r="G232" s="109" t="s">
        <v>1857</v>
      </c>
      <c r="H232" s="108">
        <v>0</v>
      </c>
      <c r="I232" s="109" t="s">
        <v>1856</v>
      </c>
      <c r="J232" s="108">
        <v>3.97</v>
      </c>
    </row>
    <row r="233" spans="1:10" ht="13.9" customHeight="1" x14ac:dyDescent="0.2">
      <c r="A233" s="109"/>
      <c r="B233" s="109"/>
      <c r="C233" s="109"/>
      <c r="D233" s="109"/>
      <c r="E233" s="109" t="s">
        <v>1855</v>
      </c>
      <c r="F233" s="108">
        <v>1.0540350000000001</v>
      </c>
      <c r="G233" s="109"/>
      <c r="H233" s="140" t="s">
        <v>1854</v>
      </c>
      <c r="I233" s="140"/>
      <c r="J233" s="108">
        <v>5.0199999999999996</v>
      </c>
    </row>
    <row r="234" spans="1:10" ht="30" customHeight="1" thickBot="1" x14ac:dyDescent="0.25">
      <c r="A234" s="100"/>
      <c r="B234" s="100"/>
      <c r="C234" s="100"/>
      <c r="D234" s="100"/>
      <c r="E234" s="100"/>
      <c r="F234" s="100"/>
      <c r="G234" s="100" t="s">
        <v>1853</v>
      </c>
      <c r="H234" s="107">
        <v>82.18</v>
      </c>
      <c r="I234" s="100" t="s">
        <v>1852</v>
      </c>
      <c r="J234" s="102">
        <v>412.54</v>
      </c>
    </row>
    <row r="235" spans="1:10" ht="1.1499999999999999" customHeight="1" thickTop="1" x14ac:dyDescent="0.2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</row>
    <row r="236" spans="1:10" ht="18" customHeight="1" x14ac:dyDescent="0.2">
      <c r="A236" s="117" t="s">
        <v>53</v>
      </c>
      <c r="B236" s="126" t="s">
        <v>5</v>
      </c>
      <c r="C236" s="117" t="s">
        <v>6</v>
      </c>
      <c r="D236" s="117" t="s">
        <v>7</v>
      </c>
      <c r="E236" s="136" t="s">
        <v>1113</v>
      </c>
      <c r="F236" s="136"/>
      <c r="G236" s="7" t="s">
        <v>8</v>
      </c>
      <c r="H236" s="126" t="s">
        <v>9</v>
      </c>
      <c r="I236" s="126" t="s">
        <v>10</v>
      </c>
      <c r="J236" s="126" t="s">
        <v>12</v>
      </c>
    </row>
    <row r="237" spans="1:10" ht="24" customHeight="1" x14ac:dyDescent="0.2">
      <c r="A237" s="116" t="s">
        <v>1861</v>
      </c>
      <c r="B237" s="1" t="s">
        <v>1334</v>
      </c>
      <c r="C237" s="116" t="s">
        <v>20</v>
      </c>
      <c r="D237" s="116" t="s">
        <v>1333</v>
      </c>
      <c r="E237" s="137">
        <v>2</v>
      </c>
      <c r="F237" s="137"/>
      <c r="G237" s="2" t="s">
        <v>22</v>
      </c>
      <c r="H237" s="115">
        <v>1</v>
      </c>
      <c r="I237" s="61">
        <v>11.11</v>
      </c>
      <c r="J237" s="61">
        <v>11.11</v>
      </c>
    </row>
    <row r="238" spans="1:10" ht="24" customHeight="1" x14ac:dyDescent="0.2">
      <c r="A238" s="113" t="s">
        <v>1859</v>
      </c>
      <c r="B238" s="114" t="s">
        <v>1866</v>
      </c>
      <c r="C238" s="113" t="s">
        <v>20</v>
      </c>
      <c r="D238" s="113" t="s">
        <v>1865</v>
      </c>
      <c r="E238" s="139" t="s">
        <v>1860</v>
      </c>
      <c r="F238" s="139"/>
      <c r="G238" s="112" t="s">
        <v>1864</v>
      </c>
      <c r="H238" s="111">
        <v>9.0999999999999998E-2</v>
      </c>
      <c r="I238" s="110">
        <v>15.97</v>
      </c>
      <c r="J238" s="110">
        <v>1.45</v>
      </c>
    </row>
    <row r="239" spans="1:10" ht="24" customHeight="1" x14ac:dyDescent="0.2">
      <c r="A239" s="113" t="s">
        <v>1859</v>
      </c>
      <c r="B239" s="114" t="s">
        <v>1872</v>
      </c>
      <c r="C239" s="113" t="s">
        <v>20</v>
      </c>
      <c r="D239" s="113" t="s">
        <v>1871</v>
      </c>
      <c r="E239" s="139" t="s">
        <v>1860</v>
      </c>
      <c r="F239" s="139"/>
      <c r="G239" s="112" t="s">
        <v>1864</v>
      </c>
      <c r="H239" s="111">
        <v>0.91</v>
      </c>
      <c r="I239" s="110">
        <v>10.62</v>
      </c>
      <c r="J239" s="110">
        <v>9.66</v>
      </c>
    </row>
    <row r="240" spans="1:10" x14ac:dyDescent="0.2">
      <c r="A240" s="109"/>
      <c r="B240" s="109"/>
      <c r="C240" s="109"/>
      <c r="D240" s="109"/>
      <c r="E240" s="109" t="s">
        <v>1858</v>
      </c>
      <c r="F240" s="108">
        <v>11.11</v>
      </c>
      <c r="G240" s="109" t="s">
        <v>1857</v>
      </c>
      <c r="H240" s="108">
        <v>0</v>
      </c>
      <c r="I240" s="109" t="s">
        <v>1856</v>
      </c>
      <c r="J240" s="108">
        <v>11.11</v>
      </c>
    </row>
    <row r="241" spans="1:10" ht="13.9" customHeight="1" x14ac:dyDescent="0.2">
      <c r="A241" s="109"/>
      <c r="B241" s="109"/>
      <c r="C241" s="109"/>
      <c r="D241" s="109"/>
      <c r="E241" s="109" t="s">
        <v>1855</v>
      </c>
      <c r="F241" s="108">
        <v>2.9497049999999998</v>
      </c>
      <c r="G241" s="109"/>
      <c r="H241" s="140" t="s">
        <v>1854</v>
      </c>
      <c r="I241" s="140"/>
      <c r="J241" s="108">
        <v>14.06</v>
      </c>
    </row>
    <row r="242" spans="1:10" ht="30" customHeight="1" thickBot="1" x14ac:dyDescent="0.25">
      <c r="A242" s="100"/>
      <c r="B242" s="100"/>
      <c r="C242" s="100"/>
      <c r="D242" s="100"/>
      <c r="E242" s="100"/>
      <c r="F242" s="100"/>
      <c r="G242" s="100" t="s">
        <v>1853</v>
      </c>
      <c r="H242" s="107">
        <v>64.900000000000006</v>
      </c>
      <c r="I242" s="100" t="s">
        <v>1852</v>
      </c>
      <c r="J242" s="102">
        <v>912.49</v>
      </c>
    </row>
    <row r="243" spans="1:10" ht="1.1499999999999999" customHeight="1" thickTop="1" x14ac:dyDescent="0.2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</row>
    <row r="244" spans="1:10" ht="18" customHeight="1" x14ac:dyDescent="0.2">
      <c r="A244" s="117" t="s">
        <v>1332</v>
      </c>
      <c r="B244" s="126" t="s">
        <v>5</v>
      </c>
      <c r="C244" s="117" t="s">
        <v>6</v>
      </c>
      <c r="D244" s="117" t="s">
        <v>7</v>
      </c>
      <c r="E244" s="136" t="s">
        <v>1113</v>
      </c>
      <c r="F244" s="136"/>
      <c r="G244" s="7" t="s">
        <v>8</v>
      </c>
      <c r="H244" s="126" t="s">
        <v>9</v>
      </c>
      <c r="I244" s="126" t="s">
        <v>10</v>
      </c>
      <c r="J244" s="126" t="s">
        <v>12</v>
      </c>
    </row>
    <row r="245" spans="1:10" ht="24" customHeight="1" x14ac:dyDescent="0.2">
      <c r="A245" s="116" t="s">
        <v>1861</v>
      </c>
      <c r="B245" s="1" t="s">
        <v>54</v>
      </c>
      <c r="C245" s="116" t="s">
        <v>20</v>
      </c>
      <c r="D245" s="116" t="s">
        <v>55</v>
      </c>
      <c r="E245" s="137">
        <v>3</v>
      </c>
      <c r="F245" s="137"/>
      <c r="G245" s="2" t="s">
        <v>49</v>
      </c>
      <c r="H245" s="115">
        <v>1</v>
      </c>
      <c r="I245" s="61">
        <v>33.119999999999997</v>
      </c>
      <c r="J245" s="61">
        <v>33.119999999999997</v>
      </c>
    </row>
    <row r="246" spans="1:10" ht="24" customHeight="1" x14ac:dyDescent="0.2">
      <c r="A246" s="113" t="s">
        <v>1859</v>
      </c>
      <c r="B246" s="114" t="s">
        <v>2670</v>
      </c>
      <c r="C246" s="113" t="s">
        <v>20</v>
      </c>
      <c r="D246" s="113" t="s">
        <v>2669</v>
      </c>
      <c r="E246" s="139" t="s">
        <v>1369</v>
      </c>
      <c r="F246" s="139"/>
      <c r="G246" s="112" t="s">
        <v>1864</v>
      </c>
      <c r="H246" s="111">
        <v>0.4</v>
      </c>
      <c r="I246" s="110">
        <v>82.79</v>
      </c>
      <c r="J246" s="110">
        <v>33.119999999999997</v>
      </c>
    </row>
    <row r="247" spans="1:10" x14ac:dyDescent="0.2">
      <c r="A247" s="109"/>
      <c r="B247" s="109"/>
      <c r="C247" s="109"/>
      <c r="D247" s="109"/>
      <c r="E247" s="109" t="s">
        <v>1858</v>
      </c>
      <c r="F247" s="108">
        <v>0</v>
      </c>
      <c r="G247" s="109" t="s">
        <v>1857</v>
      </c>
      <c r="H247" s="108">
        <v>0</v>
      </c>
      <c r="I247" s="109" t="s">
        <v>1856</v>
      </c>
      <c r="J247" s="108">
        <v>0</v>
      </c>
    </row>
    <row r="248" spans="1:10" ht="13.9" customHeight="1" x14ac:dyDescent="0.2">
      <c r="A248" s="109"/>
      <c r="B248" s="109"/>
      <c r="C248" s="109"/>
      <c r="D248" s="109"/>
      <c r="E248" s="109" t="s">
        <v>1855</v>
      </c>
      <c r="F248" s="108">
        <v>8.7933599999999998</v>
      </c>
      <c r="G248" s="109"/>
      <c r="H248" s="140" t="s">
        <v>1854</v>
      </c>
      <c r="I248" s="140"/>
      <c r="J248" s="108">
        <v>41.91</v>
      </c>
    </row>
    <row r="249" spans="1:10" ht="30" customHeight="1" thickBot="1" x14ac:dyDescent="0.25">
      <c r="A249" s="100"/>
      <c r="B249" s="100"/>
      <c r="C249" s="100"/>
      <c r="D249" s="100"/>
      <c r="E249" s="100"/>
      <c r="F249" s="100"/>
      <c r="G249" s="100" t="s">
        <v>1853</v>
      </c>
      <c r="H249" s="107">
        <v>50</v>
      </c>
      <c r="I249" s="100" t="s">
        <v>1852</v>
      </c>
      <c r="J249" s="102">
        <v>2095.5</v>
      </c>
    </row>
    <row r="250" spans="1:10" ht="1.1499999999999999" customHeight="1" thickTop="1" x14ac:dyDescent="0.2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</row>
    <row r="251" spans="1:10" ht="24" customHeight="1" x14ac:dyDescent="0.2">
      <c r="A251" s="123" t="s">
        <v>56</v>
      </c>
      <c r="B251" s="123"/>
      <c r="C251" s="123"/>
      <c r="D251" s="123" t="s">
        <v>57</v>
      </c>
      <c r="E251" s="123"/>
      <c r="F251" s="142"/>
      <c r="G251" s="142"/>
      <c r="H251" s="3"/>
      <c r="I251" s="123"/>
      <c r="J251" s="63">
        <v>127192</v>
      </c>
    </row>
    <row r="252" spans="1:10" ht="18" customHeight="1" x14ac:dyDescent="0.2">
      <c r="A252" s="117" t="s">
        <v>58</v>
      </c>
      <c r="B252" s="126" t="s">
        <v>5</v>
      </c>
      <c r="C252" s="117" t="s">
        <v>6</v>
      </c>
      <c r="D252" s="117" t="s">
        <v>7</v>
      </c>
      <c r="E252" s="136" t="s">
        <v>1113</v>
      </c>
      <c r="F252" s="136"/>
      <c r="G252" s="7" t="s">
        <v>8</v>
      </c>
      <c r="H252" s="126" t="s">
        <v>9</v>
      </c>
      <c r="I252" s="126" t="s">
        <v>10</v>
      </c>
      <c r="J252" s="126" t="s">
        <v>12</v>
      </c>
    </row>
    <row r="253" spans="1:10" ht="24" customHeight="1" x14ac:dyDescent="0.2">
      <c r="A253" s="116" t="s">
        <v>1861</v>
      </c>
      <c r="B253" s="1" t="s">
        <v>59</v>
      </c>
      <c r="C253" s="116" t="s">
        <v>20</v>
      </c>
      <c r="D253" s="116" t="s">
        <v>60</v>
      </c>
      <c r="E253" s="137">
        <v>25</v>
      </c>
      <c r="F253" s="137"/>
      <c r="G253" s="2" t="s">
        <v>61</v>
      </c>
      <c r="H253" s="115">
        <v>1</v>
      </c>
      <c r="I253" s="61">
        <v>71.05</v>
      </c>
      <c r="J253" s="61">
        <v>71.05</v>
      </c>
    </row>
    <row r="254" spans="1:10" ht="24" customHeight="1" x14ac:dyDescent="0.2">
      <c r="A254" s="113" t="s">
        <v>1859</v>
      </c>
      <c r="B254" s="114" t="s">
        <v>2668</v>
      </c>
      <c r="C254" s="113" t="s">
        <v>20</v>
      </c>
      <c r="D254" s="113" t="s">
        <v>2667</v>
      </c>
      <c r="E254" s="139" t="s">
        <v>1860</v>
      </c>
      <c r="F254" s="139"/>
      <c r="G254" s="112" t="s">
        <v>1864</v>
      </c>
      <c r="H254" s="111">
        <v>1</v>
      </c>
      <c r="I254" s="110">
        <v>71.05</v>
      </c>
      <c r="J254" s="110">
        <v>71.05</v>
      </c>
    </row>
    <row r="255" spans="1:10" x14ac:dyDescent="0.2">
      <c r="A255" s="109"/>
      <c r="B255" s="109"/>
      <c r="C255" s="109"/>
      <c r="D255" s="109"/>
      <c r="E255" s="109" t="s">
        <v>1858</v>
      </c>
      <c r="F255" s="108">
        <v>71.05</v>
      </c>
      <c r="G255" s="109" t="s">
        <v>1857</v>
      </c>
      <c r="H255" s="108">
        <v>0</v>
      </c>
      <c r="I255" s="109" t="s">
        <v>1856</v>
      </c>
      <c r="J255" s="108">
        <v>71.05</v>
      </c>
    </row>
    <row r="256" spans="1:10" ht="13.9" customHeight="1" x14ac:dyDescent="0.2">
      <c r="A256" s="109"/>
      <c r="B256" s="109"/>
      <c r="C256" s="109"/>
      <c r="D256" s="109"/>
      <c r="E256" s="109" t="s">
        <v>1855</v>
      </c>
      <c r="F256" s="108">
        <v>18.863775</v>
      </c>
      <c r="G256" s="109"/>
      <c r="H256" s="140" t="s">
        <v>1854</v>
      </c>
      <c r="I256" s="140"/>
      <c r="J256" s="108">
        <v>89.91</v>
      </c>
    </row>
    <row r="257" spans="1:10" ht="30" customHeight="1" thickBot="1" x14ac:dyDescent="0.25">
      <c r="A257" s="100"/>
      <c r="B257" s="100"/>
      <c r="C257" s="100"/>
      <c r="D257" s="100"/>
      <c r="E257" s="100"/>
      <c r="F257" s="100"/>
      <c r="G257" s="100" t="s">
        <v>1853</v>
      </c>
      <c r="H257" s="107">
        <v>800</v>
      </c>
      <c r="I257" s="100" t="s">
        <v>1852</v>
      </c>
      <c r="J257" s="102">
        <v>71928</v>
      </c>
    </row>
    <row r="258" spans="1:10" ht="1.1499999999999999" customHeight="1" thickTop="1" x14ac:dyDescent="0.2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</row>
    <row r="259" spans="1:10" ht="18" customHeight="1" x14ac:dyDescent="0.2">
      <c r="A259" s="117" t="s">
        <v>62</v>
      </c>
      <c r="B259" s="126" t="s">
        <v>5</v>
      </c>
      <c r="C259" s="117" t="s">
        <v>6</v>
      </c>
      <c r="D259" s="117" t="s">
        <v>7</v>
      </c>
      <c r="E259" s="136" t="s">
        <v>1113</v>
      </c>
      <c r="F259" s="136"/>
      <c r="G259" s="7" t="s">
        <v>8</v>
      </c>
      <c r="H259" s="126" t="s">
        <v>9</v>
      </c>
      <c r="I259" s="126" t="s">
        <v>10</v>
      </c>
      <c r="J259" s="126" t="s">
        <v>12</v>
      </c>
    </row>
    <row r="260" spans="1:10" ht="24" customHeight="1" x14ac:dyDescent="0.2">
      <c r="A260" s="116" t="s">
        <v>1861</v>
      </c>
      <c r="B260" s="1" t="s">
        <v>63</v>
      </c>
      <c r="C260" s="116" t="s">
        <v>20</v>
      </c>
      <c r="D260" s="116" t="s">
        <v>64</v>
      </c>
      <c r="E260" s="137">
        <v>25</v>
      </c>
      <c r="F260" s="137"/>
      <c r="G260" s="2" t="s">
        <v>61</v>
      </c>
      <c r="H260" s="115">
        <v>1</v>
      </c>
      <c r="I260" s="61">
        <v>33.68</v>
      </c>
      <c r="J260" s="61">
        <v>33.68</v>
      </c>
    </row>
    <row r="261" spans="1:10" ht="24" customHeight="1" x14ac:dyDescent="0.2">
      <c r="A261" s="113" t="s">
        <v>1859</v>
      </c>
      <c r="B261" s="114" t="s">
        <v>2666</v>
      </c>
      <c r="C261" s="113" t="s">
        <v>20</v>
      </c>
      <c r="D261" s="113" t="s">
        <v>2665</v>
      </c>
      <c r="E261" s="139" t="s">
        <v>1860</v>
      </c>
      <c r="F261" s="139"/>
      <c r="G261" s="112" t="s">
        <v>1864</v>
      </c>
      <c r="H261" s="111">
        <v>1</v>
      </c>
      <c r="I261" s="110">
        <v>33.68</v>
      </c>
      <c r="J261" s="110">
        <v>33.68</v>
      </c>
    </row>
    <row r="262" spans="1:10" x14ac:dyDescent="0.2">
      <c r="A262" s="109"/>
      <c r="B262" s="109"/>
      <c r="C262" s="109"/>
      <c r="D262" s="109"/>
      <c r="E262" s="109" t="s">
        <v>1858</v>
      </c>
      <c r="F262" s="108">
        <v>33.68</v>
      </c>
      <c r="G262" s="109" t="s">
        <v>1857</v>
      </c>
      <c r="H262" s="108">
        <v>0</v>
      </c>
      <c r="I262" s="109" t="s">
        <v>1856</v>
      </c>
      <c r="J262" s="108">
        <v>33.68</v>
      </c>
    </row>
    <row r="263" spans="1:10" ht="13.9" customHeight="1" x14ac:dyDescent="0.2">
      <c r="A263" s="109"/>
      <c r="B263" s="109"/>
      <c r="C263" s="109"/>
      <c r="D263" s="109"/>
      <c r="E263" s="109" t="s">
        <v>1855</v>
      </c>
      <c r="F263" s="108">
        <v>8.9420400000000004</v>
      </c>
      <c r="G263" s="109"/>
      <c r="H263" s="140" t="s">
        <v>1854</v>
      </c>
      <c r="I263" s="140"/>
      <c r="J263" s="108">
        <v>42.62</v>
      </c>
    </row>
    <row r="264" spans="1:10" ht="30" customHeight="1" thickBot="1" x14ac:dyDescent="0.25">
      <c r="A264" s="100"/>
      <c r="B264" s="100"/>
      <c r="C264" s="100"/>
      <c r="D264" s="100"/>
      <c r="E264" s="100"/>
      <c r="F264" s="100"/>
      <c r="G264" s="100" t="s">
        <v>1853</v>
      </c>
      <c r="H264" s="107">
        <v>800</v>
      </c>
      <c r="I264" s="100" t="s">
        <v>1852</v>
      </c>
      <c r="J264" s="102">
        <v>34096</v>
      </c>
    </row>
    <row r="265" spans="1:10" ht="1.1499999999999999" customHeight="1" thickTop="1" x14ac:dyDescent="0.2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</row>
    <row r="266" spans="1:10" ht="18" customHeight="1" x14ac:dyDescent="0.2">
      <c r="A266" s="117" t="s">
        <v>65</v>
      </c>
      <c r="B266" s="126" t="s">
        <v>5</v>
      </c>
      <c r="C266" s="117" t="s">
        <v>6</v>
      </c>
      <c r="D266" s="117" t="s">
        <v>7</v>
      </c>
      <c r="E266" s="136" t="s">
        <v>1113</v>
      </c>
      <c r="F266" s="136"/>
      <c r="G266" s="7" t="s">
        <v>8</v>
      </c>
      <c r="H266" s="126" t="s">
        <v>9</v>
      </c>
      <c r="I266" s="126" t="s">
        <v>10</v>
      </c>
      <c r="J266" s="126" t="s">
        <v>12</v>
      </c>
    </row>
    <row r="267" spans="1:10" ht="24" customHeight="1" x14ac:dyDescent="0.2">
      <c r="A267" s="116" t="s">
        <v>1861</v>
      </c>
      <c r="B267" s="1" t="s">
        <v>66</v>
      </c>
      <c r="C267" s="116" t="s">
        <v>20</v>
      </c>
      <c r="D267" s="116" t="s">
        <v>67</v>
      </c>
      <c r="E267" s="137">
        <v>25</v>
      </c>
      <c r="F267" s="137"/>
      <c r="G267" s="2" t="s">
        <v>61</v>
      </c>
      <c r="H267" s="115">
        <v>1</v>
      </c>
      <c r="I267" s="61">
        <v>9.2899999999999991</v>
      </c>
      <c r="J267" s="61">
        <v>9.2899999999999991</v>
      </c>
    </row>
    <row r="268" spans="1:10" ht="24" customHeight="1" x14ac:dyDescent="0.2">
      <c r="A268" s="113" t="s">
        <v>1859</v>
      </c>
      <c r="B268" s="114" t="s">
        <v>2664</v>
      </c>
      <c r="C268" s="113" t="s">
        <v>20</v>
      </c>
      <c r="D268" s="113" t="s">
        <v>2663</v>
      </c>
      <c r="E268" s="139" t="s">
        <v>1860</v>
      </c>
      <c r="F268" s="139"/>
      <c r="G268" s="112" t="s">
        <v>1864</v>
      </c>
      <c r="H268" s="111">
        <v>1</v>
      </c>
      <c r="I268" s="110">
        <v>9.2899999999999991</v>
      </c>
      <c r="J268" s="110">
        <v>9.2899999999999991</v>
      </c>
    </row>
    <row r="269" spans="1:10" x14ac:dyDescent="0.2">
      <c r="A269" s="109"/>
      <c r="B269" s="109"/>
      <c r="C269" s="109"/>
      <c r="D269" s="109"/>
      <c r="E269" s="109" t="s">
        <v>1858</v>
      </c>
      <c r="F269" s="108">
        <v>9.2899999999999991</v>
      </c>
      <c r="G269" s="109" t="s">
        <v>1857</v>
      </c>
      <c r="H269" s="108">
        <v>0</v>
      </c>
      <c r="I269" s="109" t="s">
        <v>1856</v>
      </c>
      <c r="J269" s="108">
        <v>9.2899999999999991</v>
      </c>
    </row>
    <row r="270" spans="1:10" ht="13.9" customHeight="1" x14ac:dyDescent="0.2">
      <c r="A270" s="109"/>
      <c r="B270" s="109"/>
      <c r="C270" s="109"/>
      <c r="D270" s="109"/>
      <c r="E270" s="109" t="s">
        <v>1855</v>
      </c>
      <c r="F270" s="108">
        <v>2.4664950000000001</v>
      </c>
      <c r="G270" s="109"/>
      <c r="H270" s="140" t="s">
        <v>1854</v>
      </c>
      <c r="I270" s="140"/>
      <c r="J270" s="108">
        <v>11.76</v>
      </c>
    </row>
    <row r="271" spans="1:10" ht="30" customHeight="1" thickBot="1" x14ac:dyDescent="0.25">
      <c r="A271" s="100"/>
      <c r="B271" s="100"/>
      <c r="C271" s="100"/>
      <c r="D271" s="100"/>
      <c r="E271" s="100"/>
      <c r="F271" s="100"/>
      <c r="G271" s="100" t="s">
        <v>1853</v>
      </c>
      <c r="H271" s="107">
        <v>1800</v>
      </c>
      <c r="I271" s="100" t="s">
        <v>1852</v>
      </c>
      <c r="J271" s="102">
        <v>21168</v>
      </c>
    </row>
    <row r="272" spans="1:10" ht="1.1499999999999999" customHeight="1" thickTop="1" x14ac:dyDescent="0.2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</row>
    <row r="273" spans="1:10" ht="24" customHeight="1" x14ac:dyDescent="0.2">
      <c r="A273" s="123" t="s">
        <v>68</v>
      </c>
      <c r="B273" s="123"/>
      <c r="C273" s="123"/>
      <c r="D273" s="123" t="s">
        <v>69</v>
      </c>
      <c r="E273" s="123"/>
      <c r="F273" s="142"/>
      <c r="G273" s="142"/>
      <c r="H273" s="3"/>
      <c r="I273" s="123"/>
      <c r="J273" s="63">
        <v>13661.19</v>
      </c>
    </row>
    <row r="274" spans="1:10" ht="24" customHeight="1" x14ac:dyDescent="0.2">
      <c r="A274" s="123" t="s">
        <v>70</v>
      </c>
      <c r="B274" s="123"/>
      <c r="C274" s="123"/>
      <c r="D274" s="123" t="s">
        <v>71</v>
      </c>
      <c r="E274" s="123"/>
      <c r="F274" s="142"/>
      <c r="G274" s="142"/>
      <c r="H274" s="3"/>
      <c r="I274" s="123"/>
      <c r="J274" s="63">
        <v>3065.42</v>
      </c>
    </row>
    <row r="275" spans="1:10" ht="18" customHeight="1" x14ac:dyDescent="0.2">
      <c r="A275" s="117" t="s">
        <v>72</v>
      </c>
      <c r="B275" s="126" t="s">
        <v>5</v>
      </c>
      <c r="C275" s="117" t="s">
        <v>6</v>
      </c>
      <c r="D275" s="117" t="s">
        <v>7</v>
      </c>
      <c r="E275" s="136" t="s">
        <v>1113</v>
      </c>
      <c r="F275" s="136"/>
      <c r="G275" s="7" t="s">
        <v>8</v>
      </c>
      <c r="H275" s="126" t="s">
        <v>9</v>
      </c>
      <c r="I275" s="126" t="s">
        <v>10</v>
      </c>
      <c r="J275" s="126" t="s">
        <v>12</v>
      </c>
    </row>
    <row r="276" spans="1:10" ht="24" customHeight="1" x14ac:dyDescent="0.2">
      <c r="A276" s="116" t="s">
        <v>1861</v>
      </c>
      <c r="B276" s="1" t="s">
        <v>73</v>
      </c>
      <c r="C276" s="116" t="s">
        <v>20</v>
      </c>
      <c r="D276" s="116" t="s">
        <v>74</v>
      </c>
      <c r="E276" s="137">
        <v>5</v>
      </c>
      <c r="F276" s="137"/>
      <c r="G276" s="2" t="s">
        <v>49</v>
      </c>
      <c r="H276" s="115">
        <v>1</v>
      </c>
      <c r="I276" s="61">
        <v>34.51</v>
      </c>
      <c r="J276" s="61">
        <v>34.51</v>
      </c>
    </row>
    <row r="277" spans="1:10" ht="24" customHeight="1" x14ac:dyDescent="0.2">
      <c r="A277" s="113" t="s">
        <v>1859</v>
      </c>
      <c r="B277" s="114" t="s">
        <v>1872</v>
      </c>
      <c r="C277" s="113" t="s">
        <v>20</v>
      </c>
      <c r="D277" s="113" t="s">
        <v>1871</v>
      </c>
      <c r="E277" s="139" t="s">
        <v>1860</v>
      </c>
      <c r="F277" s="139"/>
      <c r="G277" s="112" t="s">
        <v>1864</v>
      </c>
      <c r="H277" s="111">
        <v>3.2490999999999999</v>
      </c>
      <c r="I277" s="110">
        <v>10.62</v>
      </c>
      <c r="J277" s="110">
        <v>34.51</v>
      </c>
    </row>
    <row r="278" spans="1:10" x14ac:dyDescent="0.2">
      <c r="A278" s="109"/>
      <c r="B278" s="109"/>
      <c r="C278" s="109"/>
      <c r="D278" s="109"/>
      <c r="E278" s="109" t="s">
        <v>1858</v>
      </c>
      <c r="F278" s="108">
        <v>34.51</v>
      </c>
      <c r="G278" s="109" t="s">
        <v>1857</v>
      </c>
      <c r="H278" s="108">
        <v>0</v>
      </c>
      <c r="I278" s="109" t="s">
        <v>1856</v>
      </c>
      <c r="J278" s="108">
        <v>34.51</v>
      </c>
    </row>
    <row r="279" spans="1:10" ht="13.9" customHeight="1" x14ac:dyDescent="0.2">
      <c r="A279" s="109"/>
      <c r="B279" s="109"/>
      <c r="C279" s="109"/>
      <c r="D279" s="109"/>
      <c r="E279" s="109" t="s">
        <v>1855</v>
      </c>
      <c r="F279" s="108">
        <v>9.1624049999999997</v>
      </c>
      <c r="G279" s="109"/>
      <c r="H279" s="140" t="s">
        <v>1854</v>
      </c>
      <c r="I279" s="140"/>
      <c r="J279" s="108">
        <v>43.67</v>
      </c>
    </row>
    <row r="280" spans="1:10" ht="30" customHeight="1" thickBot="1" x14ac:dyDescent="0.25">
      <c r="A280" s="100"/>
      <c r="B280" s="100"/>
      <c r="C280" s="100"/>
      <c r="D280" s="100"/>
      <c r="E280" s="100"/>
      <c r="F280" s="100"/>
      <c r="G280" s="100" t="s">
        <v>1853</v>
      </c>
      <c r="H280" s="107">
        <v>1.1519999999999999</v>
      </c>
      <c r="I280" s="100" t="s">
        <v>1852</v>
      </c>
      <c r="J280" s="102">
        <v>50.31</v>
      </c>
    </row>
    <row r="281" spans="1:10" ht="1.1499999999999999" customHeight="1" thickTop="1" x14ac:dyDescent="0.2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</row>
    <row r="282" spans="1:10" ht="18" customHeight="1" x14ac:dyDescent="0.2">
      <c r="A282" s="117" t="s">
        <v>75</v>
      </c>
      <c r="B282" s="126" t="s">
        <v>5</v>
      </c>
      <c r="C282" s="117" t="s">
        <v>6</v>
      </c>
      <c r="D282" s="117" t="s">
        <v>7</v>
      </c>
      <c r="E282" s="136" t="s">
        <v>1113</v>
      </c>
      <c r="F282" s="136"/>
      <c r="G282" s="7" t="s">
        <v>8</v>
      </c>
      <c r="H282" s="126" t="s">
        <v>9</v>
      </c>
      <c r="I282" s="126" t="s">
        <v>10</v>
      </c>
      <c r="J282" s="126" t="s">
        <v>12</v>
      </c>
    </row>
    <row r="283" spans="1:10" ht="24" customHeight="1" x14ac:dyDescent="0.2">
      <c r="A283" s="116" t="s">
        <v>1861</v>
      </c>
      <c r="B283" s="1" t="s">
        <v>76</v>
      </c>
      <c r="C283" s="116" t="s">
        <v>20</v>
      </c>
      <c r="D283" s="116" t="s">
        <v>77</v>
      </c>
      <c r="E283" s="137">
        <v>4</v>
      </c>
      <c r="F283" s="137"/>
      <c r="G283" s="2" t="s">
        <v>49</v>
      </c>
      <c r="H283" s="115">
        <v>1</v>
      </c>
      <c r="I283" s="61">
        <v>27.25</v>
      </c>
      <c r="J283" s="61">
        <v>27.25</v>
      </c>
    </row>
    <row r="284" spans="1:10" ht="24" customHeight="1" x14ac:dyDescent="0.2">
      <c r="A284" s="113" t="s">
        <v>1859</v>
      </c>
      <c r="B284" s="114" t="s">
        <v>1872</v>
      </c>
      <c r="C284" s="113" t="s">
        <v>20</v>
      </c>
      <c r="D284" s="113" t="s">
        <v>1871</v>
      </c>
      <c r="E284" s="139" t="s">
        <v>1860</v>
      </c>
      <c r="F284" s="139"/>
      <c r="G284" s="112" t="s">
        <v>1864</v>
      </c>
      <c r="H284" s="111">
        <v>2.5659999999999998</v>
      </c>
      <c r="I284" s="110">
        <v>10.62</v>
      </c>
      <c r="J284" s="110">
        <v>27.25</v>
      </c>
    </row>
    <row r="285" spans="1:10" x14ac:dyDescent="0.2">
      <c r="A285" s="109"/>
      <c r="B285" s="109"/>
      <c r="C285" s="109"/>
      <c r="D285" s="109"/>
      <c r="E285" s="109" t="s">
        <v>1858</v>
      </c>
      <c r="F285" s="108">
        <v>27.25</v>
      </c>
      <c r="G285" s="109" t="s">
        <v>1857</v>
      </c>
      <c r="H285" s="108">
        <v>0</v>
      </c>
      <c r="I285" s="109" t="s">
        <v>1856</v>
      </c>
      <c r="J285" s="108">
        <v>27.25</v>
      </c>
    </row>
    <row r="286" spans="1:10" ht="13.9" customHeight="1" x14ac:dyDescent="0.2">
      <c r="A286" s="109"/>
      <c r="B286" s="109"/>
      <c r="C286" s="109"/>
      <c r="D286" s="109"/>
      <c r="E286" s="109" t="s">
        <v>1855</v>
      </c>
      <c r="F286" s="108">
        <v>7.2348749999999997</v>
      </c>
      <c r="G286" s="109"/>
      <c r="H286" s="140" t="s">
        <v>1854</v>
      </c>
      <c r="I286" s="140"/>
      <c r="J286" s="108">
        <v>34.479999999999997</v>
      </c>
    </row>
    <row r="287" spans="1:10" ht="30" customHeight="1" thickBot="1" x14ac:dyDescent="0.25">
      <c r="A287" s="100"/>
      <c r="B287" s="100"/>
      <c r="C287" s="100"/>
      <c r="D287" s="100"/>
      <c r="E287" s="100"/>
      <c r="F287" s="100"/>
      <c r="G287" s="100" t="s">
        <v>1853</v>
      </c>
      <c r="H287" s="107">
        <v>2.52</v>
      </c>
      <c r="I287" s="100" t="s">
        <v>1852</v>
      </c>
      <c r="J287" s="102">
        <v>86.89</v>
      </c>
    </row>
    <row r="288" spans="1:10" ht="1.1499999999999999" customHeight="1" thickTop="1" x14ac:dyDescent="0.2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</row>
    <row r="289" spans="1:10" ht="18" customHeight="1" x14ac:dyDescent="0.2">
      <c r="A289" s="117" t="s">
        <v>78</v>
      </c>
      <c r="B289" s="126" t="s">
        <v>5</v>
      </c>
      <c r="C289" s="117" t="s">
        <v>6</v>
      </c>
      <c r="D289" s="117" t="s">
        <v>7</v>
      </c>
      <c r="E289" s="136" t="s">
        <v>1113</v>
      </c>
      <c r="F289" s="136"/>
      <c r="G289" s="7" t="s">
        <v>8</v>
      </c>
      <c r="H289" s="126" t="s">
        <v>9</v>
      </c>
      <c r="I289" s="126" t="s">
        <v>10</v>
      </c>
      <c r="J289" s="126" t="s">
        <v>12</v>
      </c>
    </row>
    <row r="290" spans="1:10" ht="24" customHeight="1" x14ac:dyDescent="0.2">
      <c r="A290" s="116" t="s">
        <v>1861</v>
      </c>
      <c r="B290" s="1" t="s">
        <v>1331</v>
      </c>
      <c r="C290" s="116" t="s">
        <v>20</v>
      </c>
      <c r="D290" s="116" t="s">
        <v>1330</v>
      </c>
      <c r="E290" s="137">
        <v>4</v>
      </c>
      <c r="F290" s="137"/>
      <c r="G290" s="2" t="s">
        <v>49</v>
      </c>
      <c r="H290" s="115">
        <v>1</v>
      </c>
      <c r="I290" s="61">
        <v>38.76</v>
      </c>
      <c r="J290" s="61">
        <v>38.76</v>
      </c>
    </row>
    <row r="291" spans="1:10" ht="24" customHeight="1" x14ac:dyDescent="0.2">
      <c r="A291" s="113" t="s">
        <v>1859</v>
      </c>
      <c r="B291" s="114" t="s">
        <v>1872</v>
      </c>
      <c r="C291" s="113" t="s">
        <v>20</v>
      </c>
      <c r="D291" s="113" t="s">
        <v>1871</v>
      </c>
      <c r="E291" s="139" t="s">
        <v>1860</v>
      </c>
      <c r="F291" s="139"/>
      <c r="G291" s="112" t="s">
        <v>1864</v>
      </c>
      <c r="H291" s="111">
        <v>3.65</v>
      </c>
      <c r="I291" s="110">
        <v>10.62</v>
      </c>
      <c r="J291" s="110">
        <v>38.76</v>
      </c>
    </row>
    <row r="292" spans="1:10" x14ac:dyDescent="0.2">
      <c r="A292" s="109"/>
      <c r="B292" s="109"/>
      <c r="C292" s="109"/>
      <c r="D292" s="109"/>
      <c r="E292" s="109" t="s">
        <v>1858</v>
      </c>
      <c r="F292" s="108">
        <v>38.76</v>
      </c>
      <c r="G292" s="109" t="s">
        <v>1857</v>
      </c>
      <c r="H292" s="108">
        <v>0</v>
      </c>
      <c r="I292" s="109" t="s">
        <v>1856</v>
      </c>
      <c r="J292" s="108">
        <v>38.76</v>
      </c>
    </row>
    <row r="293" spans="1:10" ht="13.9" customHeight="1" x14ac:dyDescent="0.2">
      <c r="A293" s="109"/>
      <c r="B293" s="109"/>
      <c r="C293" s="109"/>
      <c r="D293" s="109"/>
      <c r="E293" s="109" t="s">
        <v>1855</v>
      </c>
      <c r="F293" s="108">
        <v>10.29078</v>
      </c>
      <c r="G293" s="109"/>
      <c r="H293" s="140" t="s">
        <v>1854</v>
      </c>
      <c r="I293" s="140"/>
      <c r="J293" s="108">
        <v>49.05</v>
      </c>
    </row>
    <row r="294" spans="1:10" ht="30" customHeight="1" thickBot="1" x14ac:dyDescent="0.25">
      <c r="A294" s="100"/>
      <c r="B294" s="100"/>
      <c r="C294" s="100"/>
      <c r="D294" s="100"/>
      <c r="E294" s="100"/>
      <c r="F294" s="100"/>
      <c r="G294" s="100" t="s">
        <v>1853</v>
      </c>
      <c r="H294" s="107">
        <v>40</v>
      </c>
      <c r="I294" s="100" t="s">
        <v>1852</v>
      </c>
      <c r="J294" s="102">
        <v>1962</v>
      </c>
    </row>
    <row r="295" spans="1:10" ht="1.1499999999999999" customHeight="1" thickTop="1" x14ac:dyDescent="0.2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</row>
    <row r="296" spans="1:10" ht="18" customHeight="1" x14ac:dyDescent="0.2">
      <c r="A296" s="117" t="s">
        <v>81</v>
      </c>
      <c r="B296" s="126" t="s">
        <v>5</v>
      </c>
      <c r="C296" s="117" t="s">
        <v>6</v>
      </c>
      <c r="D296" s="117" t="s">
        <v>7</v>
      </c>
      <c r="E296" s="136" t="s">
        <v>1113</v>
      </c>
      <c r="F296" s="136"/>
      <c r="G296" s="7" t="s">
        <v>8</v>
      </c>
      <c r="H296" s="126" t="s">
        <v>9</v>
      </c>
      <c r="I296" s="126" t="s">
        <v>10</v>
      </c>
      <c r="J296" s="126" t="s">
        <v>12</v>
      </c>
    </row>
    <row r="297" spans="1:10" ht="24" customHeight="1" x14ac:dyDescent="0.2">
      <c r="A297" s="116" t="s">
        <v>1861</v>
      </c>
      <c r="B297" s="1" t="s">
        <v>79</v>
      </c>
      <c r="C297" s="116" t="s">
        <v>20</v>
      </c>
      <c r="D297" s="116" t="s">
        <v>80</v>
      </c>
      <c r="E297" s="137">
        <v>5</v>
      </c>
      <c r="F297" s="137"/>
      <c r="G297" s="2" t="s">
        <v>49</v>
      </c>
      <c r="H297" s="115">
        <v>1</v>
      </c>
      <c r="I297" s="61">
        <v>18.05</v>
      </c>
      <c r="J297" s="61">
        <v>18.05</v>
      </c>
    </row>
    <row r="298" spans="1:10" ht="24" customHeight="1" x14ac:dyDescent="0.2">
      <c r="A298" s="113" t="s">
        <v>1859</v>
      </c>
      <c r="B298" s="114" t="s">
        <v>1872</v>
      </c>
      <c r="C298" s="113" t="s">
        <v>20</v>
      </c>
      <c r="D298" s="113" t="s">
        <v>1871</v>
      </c>
      <c r="E298" s="139" t="s">
        <v>1860</v>
      </c>
      <c r="F298" s="139"/>
      <c r="G298" s="112" t="s">
        <v>1864</v>
      </c>
      <c r="H298" s="111">
        <v>1.7</v>
      </c>
      <c r="I298" s="110">
        <v>10.62</v>
      </c>
      <c r="J298" s="110">
        <v>18.05</v>
      </c>
    </row>
    <row r="299" spans="1:10" x14ac:dyDescent="0.2">
      <c r="A299" s="109"/>
      <c r="B299" s="109"/>
      <c r="C299" s="109"/>
      <c r="D299" s="109"/>
      <c r="E299" s="109" t="s">
        <v>1858</v>
      </c>
      <c r="F299" s="108">
        <v>18.05</v>
      </c>
      <c r="G299" s="109" t="s">
        <v>1857</v>
      </c>
      <c r="H299" s="108">
        <v>0</v>
      </c>
      <c r="I299" s="109" t="s">
        <v>1856</v>
      </c>
      <c r="J299" s="108">
        <v>18.05</v>
      </c>
    </row>
    <row r="300" spans="1:10" ht="13.9" customHeight="1" x14ac:dyDescent="0.2">
      <c r="A300" s="109"/>
      <c r="B300" s="109"/>
      <c r="C300" s="109"/>
      <c r="D300" s="109"/>
      <c r="E300" s="109" t="s">
        <v>1855</v>
      </c>
      <c r="F300" s="108">
        <v>4.7922750000000001</v>
      </c>
      <c r="G300" s="109"/>
      <c r="H300" s="140" t="s">
        <v>1854</v>
      </c>
      <c r="I300" s="140"/>
      <c r="J300" s="108">
        <v>22.84</v>
      </c>
    </row>
    <row r="301" spans="1:10" ht="30" customHeight="1" thickBot="1" x14ac:dyDescent="0.25">
      <c r="A301" s="100"/>
      <c r="B301" s="100"/>
      <c r="C301" s="100"/>
      <c r="D301" s="100"/>
      <c r="E301" s="100"/>
      <c r="F301" s="100"/>
      <c r="G301" s="100" t="s">
        <v>1853</v>
      </c>
      <c r="H301" s="107">
        <v>0.504</v>
      </c>
      <c r="I301" s="100" t="s">
        <v>1852</v>
      </c>
      <c r="J301" s="102">
        <v>11.51</v>
      </c>
    </row>
    <row r="302" spans="1:10" ht="1.1499999999999999" customHeight="1" thickTop="1" x14ac:dyDescent="0.2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</row>
    <row r="303" spans="1:10" ht="18" customHeight="1" x14ac:dyDescent="0.2">
      <c r="A303" s="117" t="s">
        <v>1329</v>
      </c>
      <c r="B303" s="126" t="s">
        <v>5</v>
      </c>
      <c r="C303" s="117" t="s">
        <v>6</v>
      </c>
      <c r="D303" s="117" t="s">
        <v>7</v>
      </c>
      <c r="E303" s="136" t="s">
        <v>1113</v>
      </c>
      <c r="F303" s="136"/>
      <c r="G303" s="7" t="s">
        <v>8</v>
      </c>
      <c r="H303" s="126" t="s">
        <v>9</v>
      </c>
      <c r="I303" s="126" t="s">
        <v>10</v>
      </c>
      <c r="J303" s="126" t="s">
        <v>12</v>
      </c>
    </row>
    <row r="304" spans="1:10" ht="24" customHeight="1" x14ac:dyDescent="0.2">
      <c r="A304" s="116" t="s">
        <v>1861</v>
      </c>
      <c r="B304" s="1" t="s">
        <v>82</v>
      </c>
      <c r="C304" s="116" t="s">
        <v>20</v>
      </c>
      <c r="D304" s="116" t="s">
        <v>83</v>
      </c>
      <c r="E304" s="137">
        <v>4</v>
      </c>
      <c r="F304" s="137"/>
      <c r="G304" s="2" t="s">
        <v>49</v>
      </c>
      <c r="H304" s="115">
        <v>1</v>
      </c>
      <c r="I304" s="61">
        <v>18.05</v>
      </c>
      <c r="J304" s="61">
        <v>18.05</v>
      </c>
    </row>
    <row r="305" spans="1:10" ht="24" customHeight="1" x14ac:dyDescent="0.2">
      <c r="A305" s="113" t="s">
        <v>1859</v>
      </c>
      <c r="B305" s="114" t="s">
        <v>1872</v>
      </c>
      <c r="C305" s="113" t="s">
        <v>20</v>
      </c>
      <c r="D305" s="113" t="s">
        <v>1871</v>
      </c>
      <c r="E305" s="139" t="s">
        <v>1860</v>
      </c>
      <c r="F305" s="139"/>
      <c r="G305" s="112" t="s">
        <v>1864</v>
      </c>
      <c r="H305" s="111">
        <v>1.7</v>
      </c>
      <c r="I305" s="110">
        <v>10.62</v>
      </c>
      <c r="J305" s="110">
        <v>18.05</v>
      </c>
    </row>
    <row r="306" spans="1:10" x14ac:dyDescent="0.2">
      <c r="A306" s="109"/>
      <c r="B306" s="109"/>
      <c r="C306" s="109"/>
      <c r="D306" s="109"/>
      <c r="E306" s="109" t="s">
        <v>1858</v>
      </c>
      <c r="F306" s="108">
        <v>18.05</v>
      </c>
      <c r="G306" s="109" t="s">
        <v>1857</v>
      </c>
      <c r="H306" s="108">
        <v>0</v>
      </c>
      <c r="I306" s="109" t="s">
        <v>1856</v>
      </c>
      <c r="J306" s="108">
        <v>18.05</v>
      </c>
    </row>
    <row r="307" spans="1:10" ht="13.9" customHeight="1" x14ac:dyDescent="0.2">
      <c r="A307" s="109"/>
      <c r="B307" s="109"/>
      <c r="C307" s="109"/>
      <c r="D307" s="109"/>
      <c r="E307" s="109" t="s">
        <v>1855</v>
      </c>
      <c r="F307" s="108">
        <v>4.7922750000000001</v>
      </c>
      <c r="G307" s="109"/>
      <c r="H307" s="140" t="s">
        <v>1854</v>
      </c>
      <c r="I307" s="140"/>
      <c r="J307" s="108">
        <v>22.84</v>
      </c>
    </row>
    <row r="308" spans="1:10" ht="30" customHeight="1" thickBot="1" x14ac:dyDescent="0.25">
      <c r="A308" s="100"/>
      <c r="B308" s="100"/>
      <c r="C308" s="100"/>
      <c r="D308" s="100"/>
      <c r="E308" s="100"/>
      <c r="F308" s="100"/>
      <c r="G308" s="100" t="s">
        <v>1853</v>
      </c>
      <c r="H308" s="107">
        <v>41.8</v>
      </c>
      <c r="I308" s="100" t="s">
        <v>1852</v>
      </c>
      <c r="J308" s="102">
        <v>954.71</v>
      </c>
    </row>
    <row r="309" spans="1:10" ht="1.1499999999999999" customHeight="1" thickTop="1" x14ac:dyDescent="0.2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</row>
    <row r="310" spans="1:10" ht="24" customHeight="1" x14ac:dyDescent="0.2">
      <c r="A310" s="123" t="s">
        <v>84</v>
      </c>
      <c r="B310" s="123"/>
      <c r="C310" s="123"/>
      <c r="D310" s="123" t="s">
        <v>85</v>
      </c>
      <c r="E310" s="123"/>
      <c r="F310" s="142"/>
      <c r="G310" s="142"/>
      <c r="H310" s="3"/>
      <c r="I310" s="123"/>
      <c r="J310" s="63">
        <v>2369.62</v>
      </c>
    </row>
    <row r="311" spans="1:10" ht="18" customHeight="1" x14ac:dyDescent="0.2">
      <c r="A311" s="117" t="s">
        <v>86</v>
      </c>
      <c r="B311" s="126" t="s">
        <v>5</v>
      </c>
      <c r="C311" s="117" t="s">
        <v>6</v>
      </c>
      <c r="D311" s="117" t="s">
        <v>7</v>
      </c>
      <c r="E311" s="136" t="s">
        <v>1113</v>
      </c>
      <c r="F311" s="136"/>
      <c r="G311" s="7" t="s">
        <v>8</v>
      </c>
      <c r="H311" s="126" t="s">
        <v>9</v>
      </c>
      <c r="I311" s="126" t="s">
        <v>10</v>
      </c>
      <c r="J311" s="126" t="s">
        <v>12</v>
      </c>
    </row>
    <row r="312" spans="1:10" ht="24" customHeight="1" x14ac:dyDescent="0.2">
      <c r="A312" s="116" t="s">
        <v>1861</v>
      </c>
      <c r="B312" s="1" t="s">
        <v>87</v>
      </c>
      <c r="C312" s="116" t="s">
        <v>20</v>
      </c>
      <c r="D312" s="116" t="s">
        <v>88</v>
      </c>
      <c r="E312" s="137">
        <v>4</v>
      </c>
      <c r="F312" s="137"/>
      <c r="G312" s="2" t="s">
        <v>49</v>
      </c>
      <c r="H312" s="115">
        <v>1</v>
      </c>
      <c r="I312" s="61">
        <v>1.71</v>
      </c>
      <c r="J312" s="61">
        <v>1.71</v>
      </c>
    </row>
    <row r="313" spans="1:10" ht="24" customHeight="1" x14ac:dyDescent="0.2">
      <c r="A313" s="113" t="s">
        <v>1859</v>
      </c>
      <c r="B313" s="114" t="s">
        <v>2662</v>
      </c>
      <c r="C313" s="113" t="s">
        <v>20</v>
      </c>
      <c r="D313" s="113" t="s">
        <v>2661</v>
      </c>
      <c r="E313" s="139" t="s">
        <v>1369</v>
      </c>
      <c r="F313" s="139"/>
      <c r="G313" s="112" t="s">
        <v>49</v>
      </c>
      <c r="H313" s="111">
        <v>1</v>
      </c>
      <c r="I313" s="110">
        <v>1.71</v>
      </c>
      <c r="J313" s="110">
        <v>1.71</v>
      </c>
    </row>
    <row r="314" spans="1:10" x14ac:dyDescent="0.2">
      <c r="A314" s="109"/>
      <c r="B314" s="109"/>
      <c r="C314" s="109"/>
      <c r="D314" s="109"/>
      <c r="E314" s="109" t="s">
        <v>1858</v>
      </c>
      <c r="F314" s="108">
        <v>0</v>
      </c>
      <c r="G314" s="109" t="s">
        <v>1857</v>
      </c>
      <c r="H314" s="108">
        <v>0</v>
      </c>
      <c r="I314" s="109" t="s">
        <v>1856</v>
      </c>
      <c r="J314" s="108">
        <v>0</v>
      </c>
    </row>
    <row r="315" spans="1:10" ht="13.9" customHeight="1" x14ac:dyDescent="0.2">
      <c r="A315" s="109"/>
      <c r="B315" s="109"/>
      <c r="C315" s="109"/>
      <c r="D315" s="109"/>
      <c r="E315" s="109" t="s">
        <v>1855</v>
      </c>
      <c r="F315" s="108">
        <v>0.45400499999999999</v>
      </c>
      <c r="G315" s="109"/>
      <c r="H315" s="140" t="s">
        <v>1854</v>
      </c>
      <c r="I315" s="140"/>
      <c r="J315" s="108">
        <v>2.16</v>
      </c>
    </row>
    <row r="316" spans="1:10" ht="30" customHeight="1" thickBot="1" x14ac:dyDescent="0.25">
      <c r="A316" s="100"/>
      <c r="B316" s="100"/>
      <c r="C316" s="100"/>
      <c r="D316" s="100"/>
      <c r="E316" s="100"/>
      <c r="F316" s="100"/>
      <c r="G316" s="100" t="s">
        <v>1853</v>
      </c>
      <c r="H316" s="107">
        <v>5.09</v>
      </c>
      <c r="I316" s="100" t="s">
        <v>1852</v>
      </c>
      <c r="J316" s="102">
        <v>10.99</v>
      </c>
    </row>
    <row r="317" spans="1:10" ht="1.1499999999999999" customHeight="1" thickTop="1" x14ac:dyDescent="0.2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</row>
    <row r="318" spans="1:10" ht="18" customHeight="1" x14ac:dyDescent="0.2">
      <c r="A318" s="117" t="s">
        <v>89</v>
      </c>
      <c r="B318" s="126" t="s">
        <v>5</v>
      </c>
      <c r="C318" s="117" t="s">
        <v>6</v>
      </c>
      <c r="D318" s="117" t="s">
        <v>7</v>
      </c>
      <c r="E318" s="136" t="s">
        <v>1113</v>
      </c>
      <c r="F318" s="136"/>
      <c r="G318" s="7" t="s">
        <v>8</v>
      </c>
      <c r="H318" s="126" t="s">
        <v>9</v>
      </c>
      <c r="I318" s="126" t="s">
        <v>10</v>
      </c>
      <c r="J318" s="126" t="s">
        <v>12</v>
      </c>
    </row>
    <row r="319" spans="1:10" ht="24" customHeight="1" x14ac:dyDescent="0.2">
      <c r="A319" s="116" t="s">
        <v>1861</v>
      </c>
      <c r="B319" s="1" t="s">
        <v>90</v>
      </c>
      <c r="C319" s="116" t="s">
        <v>20</v>
      </c>
      <c r="D319" s="116" t="s">
        <v>91</v>
      </c>
      <c r="E319" s="137">
        <v>5</v>
      </c>
      <c r="F319" s="137"/>
      <c r="G319" s="2" t="s">
        <v>92</v>
      </c>
      <c r="H319" s="115">
        <v>1</v>
      </c>
      <c r="I319" s="61">
        <v>58</v>
      </c>
      <c r="J319" s="61">
        <v>58</v>
      </c>
    </row>
    <row r="320" spans="1:10" ht="24" customHeight="1" x14ac:dyDescent="0.2">
      <c r="A320" s="113" t="s">
        <v>1859</v>
      </c>
      <c r="B320" s="114" t="s">
        <v>2070</v>
      </c>
      <c r="C320" s="113" t="s">
        <v>20</v>
      </c>
      <c r="D320" s="113" t="s">
        <v>2069</v>
      </c>
      <c r="E320" s="139" t="s">
        <v>1369</v>
      </c>
      <c r="F320" s="139"/>
      <c r="G320" s="112" t="s">
        <v>49</v>
      </c>
      <c r="H320" s="111">
        <v>6.3399999999999998E-2</v>
      </c>
      <c r="I320" s="110">
        <v>169.44</v>
      </c>
      <c r="J320" s="110">
        <v>10.74</v>
      </c>
    </row>
    <row r="321" spans="1:10" ht="24" customHeight="1" x14ac:dyDescent="0.2">
      <c r="A321" s="113" t="s">
        <v>1859</v>
      </c>
      <c r="B321" s="114" t="s">
        <v>2076</v>
      </c>
      <c r="C321" s="113" t="s">
        <v>20</v>
      </c>
      <c r="D321" s="113" t="s">
        <v>2075</v>
      </c>
      <c r="E321" s="139" t="s">
        <v>1369</v>
      </c>
      <c r="F321" s="139"/>
      <c r="G321" s="112" t="s">
        <v>49</v>
      </c>
      <c r="H321" s="111">
        <v>2.9600000000000001E-2</v>
      </c>
      <c r="I321" s="110">
        <v>100.76</v>
      </c>
      <c r="J321" s="110">
        <v>2.98</v>
      </c>
    </row>
    <row r="322" spans="1:10" ht="24" customHeight="1" x14ac:dyDescent="0.2">
      <c r="A322" s="113" t="s">
        <v>1859</v>
      </c>
      <c r="B322" s="114" t="s">
        <v>2072</v>
      </c>
      <c r="C322" s="113" t="s">
        <v>20</v>
      </c>
      <c r="D322" s="113" t="s">
        <v>2071</v>
      </c>
      <c r="E322" s="139" t="s">
        <v>1369</v>
      </c>
      <c r="F322" s="139"/>
      <c r="G322" s="112" t="s">
        <v>49</v>
      </c>
      <c r="H322" s="111">
        <v>2.9600000000000001E-2</v>
      </c>
      <c r="I322" s="110">
        <v>100.76</v>
      </c>
      <c r="J322" s="110">
        <v>2.98</v>
      </c>
    </row>
    <row r="323" spans="1:10" ht="24" customHeight="1" x14ac:dyDescent="0.2">
      <c r="A323" s="113" t="s">
        <v>1859</v>
      </c>
      <c r="B323" s="114" t="s">
        <v>1897</v>
      </c>
      <c r="C323" s="113" t="s">
        <v>20</v>
      </c>
      <c r="D323" s="113" t="s">
        <v>1896</v>
      </c>
      <c r="E323" s="139" t="s">
        <v>1369</v>
      </c>
      <c r="F323" s="139"/>
      <c r="G323" s="112" t="s">
        <v>96</v>
      </c>
      <c r="H323" s="111">
        <v>19.9374</v>
      </c>
      <c r="I323" s="110">
        <v>0.6</v>
      </c>
      <c r="J323" s="110">
        <v>11.96</v>
      </c>
    </row>
    <row r="324" spans="1:10" ht="24" customHeight="1" x14ac:dyDescent="0.2">
      <c r="A324" s="113" t="s">
        <v>1859</v>
      </c>
      <c r="B324" s="114" t="s">
        <v>2062</v>
      </c>
      <c r="C324" s="113" t="s">
        <v>20</v>
      </c>
      <c r="D324" s="113" t="s">
        <v>2061</v>
      </c>
      <c r="E324" s="139" t="s">
        <v>1860</v>
      </c>
      <c r="F324" s="139"/>
      <c r="G324" s="112" t="s">
        <v>1864</v>
      </c>
      <c r="H324" s="111">
        <v>0.12959999999999999</v>
      </c>
      <c r="I324" s="110">
        <v>12.74</v>
      </c>
      <c r="J324" s="110">
        <v>1.65</v>
      </c>
    </row>
    <row r="325" spans="1:10" ht="24" customHeight="1" x14ac:dyDescent="0.2">
      <c r="A325" s="113" t="s">
        <v>1859</v>
      </c>
      <c r="B325" s="114" t="s">
        <v>1866</v>
      </c>
      <c r="C325" s="113" t="s">
        <v>20</v>
      </c>
      <c r="D325" s="113" t="s">
        <v>1865</v>
      </c>
      <c r="E325" s="139" t="s">
        <v>1860</v>
      </c>
      <c r="F325" s="139"/>
      <c r="G325" s="112" t="s">
        <v>1864</v>
      </c>
      <c r="H325" s="111">
        <v>0.2828</v>
      </c>
      <c r="I325" s="110">
        <v>15.97</v>
      </c>
      <c r="J325" s="110">
        <v>4.5199999999999996</v>
      </c>
    </row>
    <row r="326" spans="1:10" ht="24" customHeight="1" x14ac:dyDescent="0.2">
      <c r="A326" s="113" t="s">
        <v>1859</v>
      </c>
      <c r="B326" s="114" t="s">
        <v>1872</v>
      </c>
      <c r="C326" s="113" t="s">
        <v>20</v>
      </c>
      <c r="D326" s="113" t="s">
        <v>1871</v>
      </c>
      <c r="E326" s="139" t="s">
        <v>1860</v>
      </c>
      <c r="F326" s="139"/>
      <c r="G326" s="112" t="s">
        <v>1864</v>
      </c>
      <c r="H326" s="111">
        <v>2.1814</v>
      </c>
      <c r="I326" s="110">
        <v>10.62</v>
      </c>
      <c r="J326" s="110">
        <v>23.17</v>
      </c>
    </row>
    <row r="327" spans="1:10" x14ac:dyDescent="0.2">
      <c r="A327" s="109"/>
      <c r="B327" s="109"/>
      <c r="C327" s="109"/>
      <c r="D327" s="109"/>
      <c r="E327" s="109" t="s">
        <v>1858</v>
      </c>
      <c r="F327" s="108">
        <v>29.34</v>
      </c>
      <c r="G327" s="109" t="s">
        <v>1857</v>
      </c>
      <c r="H327" s="108">
        <v>0</v>
      </c>
      <c r="I327" s="109" t="s">
        <v>1856</v>
      </c>
      <c r="J327" s="108">
        <v>29.34</v>
      </c>
    </row>
    <row r="328" spans="1:10" ht="13.9" customHeight="1" x14ac:dyDescent="0.2">
      <c r="A328" s="109"/>
      <c r="B328" s="109"/>
      <c r="C328" s="109"/>
      <c r="D328" s="109"/>
      <c r="E328" s="109" t="s">
        <v>1855</v>
      </c>
      <c r="F328" s="108">
        <v>15.398999999999999</v>
      </c>
      <c r="G328" s="109"/>
      <c r="H328" s="140" t="s">
        <v>1854</v>
      </c>
      <c r="I328" s="140"/>
      <c r="J328" s="108">
        <v>73.400000000000006</v>
      </c>
    </row>
    <row r="329" spans="1:10" ht="30" customHeight="1" thickBot="1" x14ac:dyDescent="0.25">
      <c r="A329" s="100"/>
      <c r="B329" s="100"/>
      <c r="C329" s="100"/>
      <c r="D329" s="100"/>
      <c r="E329" s="100"/>
      <c r="F329" s="100"/>
      <c r="G329" s="100" t="s">
        <v>1853</v>
      </c>
      <c r="H329" s="107">
        <v>18</v>
      </c>
      <c r="I329" s="100" t="s">
        <v>1852</v>
      </c>
      <c r="J329" s="102">
        <v>1321.2</v>
      </c>
    </row>
    <row r="330" spans="1:10" ht="1.1499999999999999" customHeight="1" thickTop="1" x14ac:dyDescent="0.2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</row>
    <row r="331" spans="1:10" ht="18" customHeight="1" x14ac:dyDescent="0.2">
      <c r="A331" s="117" t="s">
        <v>93</v>
      </c>
      <c r="B331" s="126" t="s">
        <v>5</v>
      </c>
      <c r="C331" s="117" t="s">
        <v>6</v>
      </c>
      <c r="D331" s="117" t="s">
        <v>7</v>
      </c>
      <c r="E331" s="136" t="s">
        <v>1113</v>
      </c>
      <c r="F331" s="136"/>
      <c r="G331" s="7" t="s">
        <v>8</v>
      </c>
      <c r="H331" s="126" t="s">
        <v>9</v>
      </c>
      <c r="I331" s="126" t="s">
        <v>10</v>
      </c>
      <c r="J331" s="126" t="s">
        <v>12</v>
      </c>
    </row>
    <row r="332" spans="1:10" ht="24" customHeight="1" x14ac:dyDescent="0.2">
      <c r="A332" s="116" t="s">
        <v>1861</v>
      </c>
      <c r="B332" s="1" t="s">
        <v>94</v>
      </c>
      <c r="C332" s="116" t="s">
        <v>20</v>
      </c>
      <c r="D332" s="116" t="s">
        <v>95</v>
      </c>
      <c r="E332" s="137">
        <v>5</v>
      </c>
      <c r="F332" s="137"/>
      <c r="G332" s="2" t="s">
        <v>96</v>
      </c>
      <c r="H332" s="115">
        <v>1</v>
      </c>
      <c r="I332" s="61">
        <v>12.45</v>
      </c>
      <c r="J332" s="61">
        <v>12.45</v>
      </c>
    </row>
    <row r="333" spans="1:10" ht="24" customHeight="1" x14ac:dyDescent="0.2">
      <c r="A333" s="113" t="s">
        <v>1859</v>
      </c>
      <c r="B333" s="114" t="s">
        <v>2082</v>
      </c>
      <c r="C333" s="113" t="s">
        <v>20</v>
      </c>
      <c r="D333" s="113" t="s">
        <v>2081</v>
      </c>
      <c r="E333" s="139" t="s">
        <v>1369</v>
      </c>
      <c r="F333" s="139"/>
      <c r="G333" s="112" t="s">
        <v>96</v>
      </c>
      <c r="H333" s="111">
        <v>1.1000000000000001</v>
      </c>
      <c r="I333" s="110">
        <v>9.2200000000000006</v>
      </c>
      <c r="J333" s="110">
        <v>10.14</v>
      </c>
    </row>
    <row r="334" spans="1:10" ht="24" customHeight="1" x14ac:dyDescent="0.2">
      <c r="A334" s="113" t="s">
        <v>1859</v>
      </c>
      <c r="B334" s="114" t="s">
        <v>2074</v>
      </c>
      <c r="C334" s="113" t="s">
        <v>20</v>
      </c>
      <c r="D334" s="113" t="s">
        <v>2073</v>
      </c>
      <c r="E334" s="139" t="s">
        <v>1369</v>
      </c>
      <c r="F334" s="139"/>
      <c r="G334" s="112" t="s">
        <v>96</v>
      </c>
      <c r="H334" s="111">
        <v>0.02</v>
      </c>
      <c r="I334" s="110">
        <v>22.63</v>
      </c>
      <c r="J334" s="110">
        <v>0.45</v>
      </c>
    </row>
    <row r="335" spans="1:10" ht="24" customHeight="1" x14ac:dyDescent="0.2">
      <c r="A335" s="113" t="s">
        <v>1859</v>
      </c>
      <c r="B335" s="114" t="s">
        <v>2064</v>
      </c>
      <c r="C335" s="113" t="s">
        <v>20</v>
      </c>
      <c r="D335" s="113" t="s">
        <v>2063</v>
      </c>
      <c r="E335" s="139" t="s">
        <v>1860</v>
      </c>
      <c r="F335" s="139"/>
      <c r="G335" s="112" t="s">
        <v>1864</v>
      </c>
      <c r="H335" s="111">
        <v>7.0000000000000007E-2</v>
      </c>
      <c r="I335" s="110">
        <v>15.97</v>
      </c>
      <c r="J335" s="110">
        <v>1.1200000000000001</v>
      </c>
    </row>
    <row r="336" spans="1:10" ht="24" customHeight="1" x14ac:dyDescent="0.2">
      <c r="A336" s="113" t="s">
        <v>1859</v>
      </c>
      <c r="B336" s="114" t="s">
        <v>1951</v>
      </c>
      <c r="C336" s="113" t="s">
        <v>20</v>
      </c>
      <c r="D336" s="113" t="s">
        <v>1950</v>
      </c>
      <c r="E336" s="139" t="s">
        <v>1860</v>
      </c>
      <c r="F336" s="139"/>
      <c r="G336" s="112" t="s">
        <v>1864</v>
      </c>
      <c r="H336" s="111">
        <v>7.0000000000000007E-2</v>
      </c>
      <c r="I336" s="110">
        <v>10.62</v>
      </c>
      <c r="J336" s="110">
        <v>0.74</v>
      </c>
    </row>
    <row r="337" spans="1:10" x14ac:dyDescent="0.2">
      <c r="A337" s="109"/>
      <c r="B337" s="109"/>
      <c r="C337" s="109"/>
      <c r="D337" s="109"/>
      <c r="E337" s="109" t="s">
        <v>1858</v>
      </c>
      <c r="F337" s="108">
        <v>1.86</v>
      </c>
      <c r="G337" s="109" t="s">
        <v>1857</v>
      </c>
      <c r="H337" s="108">
        <v>0</v>
      </c>
      <c r="I337" s="109" t="s">
        <v>1856</v>
      </c>
      <c r="J337" s="108">
        <v>1.86</v>
      </c>
    </row>
    <row r="338" spans="1:10" ht="13.9" customHeight="1" x14ac:dyDescent="0.2">
      <c r="A338" s="109"/>
      <c r="B338" s="109"/>
      <c r="C338" s="109"/>
      <c r="D338" s="109"/>
      <c r="E338" s="109" t="s">
        <v>1855</v>
      </c>
      <c r="F338" s="108">
        <v>3.3054749999999999</v>
      </c>
      <c r="G338" s="109"/>
      <c r="H338" s="140" t="s">
        <v>1854</v>
      </c>
      <c r="I338" s="140"/>
      <c r="J338" s="108">
        <v>15.76</v>
      </c>
    </row>
    <row r="339" spans="1:10" ht="30" customHeight="1" thickBot="1" x14ac:dyDescent="0.25">
      <c r="A339" s="100"/>
      <c r="B339" s="100"/>
      <c r="C339" s="100"/>
      <c r="D339" s="100"/>
      <c r="E339" s="100"/>
      <c r="F339" s="100"/>
      <c r="G339" s="100" t="s">
        <v>1853</v>
      </c>
      <c r="H339" s="107">
        <v>7.39</v>
      </c>
      <c r="I339" s="100" t="s">
        <v>1852</v>
      </c>
      <c r="J339" s="102">
        <v>116.47</v>
      </c>
    </row>
    <row r="340" spans="1:10" ht="1.1499999999999999" customHeight="1" thickTop="1" x14ac:dyDescent="0.2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</row>
    <row r="341" spans="1:10" ht="18" customHeight="1" x14ac:dyDescent="0.2">
      <c r="A341" s="117" t="s">
        <v>97</v>
      </c>
      <c r="B341" s="126" t="s">
        <v>5</v>
      </c>
      <c r="C341" s="117" t="s">
        <v>6</v>
      </c>
      <c r="D341" s="117" t="s">
        <v>7</v>
      </c>
      <c r="E341" s="136" t="s">
        <v>1113</v>
      </c>
      <c r="F341" s="136"/>
      <c r="G341" s="7" t="s">
        <v>8</v>
      </c>
      <c r="H341" s="126" t="s">
        <v>9</v>
      </c>
      <c r="I341" s="126" t="s">
        <v>10</v>
      </c>
      <c r="J341" s="126" t="s">
        <v>12</v>
      </c>
    </row>
    <row r="342" spans="1:10" ht="24" customHeight="1" x14ac:dyDescent="0.2">
      <c r="A342" s="116" t="s">
        <v>1861</v>
      </c>
      <c r="B342" s="1" t="s">
        <v>98</v>
      </c>
      <c r="C342" s="116" t="s">
        <v>20</v>
      </c>
      <c r="D342" s="116" t="s">
        <v>99</v>
      </c>
      <c r="E342" s="137">
        <v>5</v>
      </c>
      <c r="F342" s="137"/>
      <c r="G342" s="2" t="s">
        <v>96</v>
      </c>
      <c r="H342" s="115">
        <v>1</v>
      </c>
      <c r="I342" s="61">
        <v>10.92</v>
      </c>
      <c r="J342" s="61">
        <v>10.92</v>
      </c>
    </row>
    <row r="343" spans="1:10" ht="24" customHeight="1" x14ac:dyDescent="0.2">
      <c r="A343" s="113" t="s">
        <v>1859</v>
      </c>
      <c r="B343" s="114" t="s">
        <v>2074</v>
      </c>
      <c r="C343" s="113" t="s">
        <v>20</v>
      </c>
      <c r="D343" s="113" t="s">
        <v>2073</v>
      </c>
      <c r="E343" s="139" t="s">
        <v>1369</v>
      </c>
      <c r="F343" s="139"/>
      <c r="G343" s="112" t="s">
        <v>96</v>
      </c>
      <c r="H343" s="111">
        <v>0.02</v>
      </c>
      <c r="I343" s="110">
        <v>22.63</v>
      </c>
      <c r="J343" s="110">
        <v>0.45</v>
      </c>
    </row>
    <row r="344" spans="1:10" ht="24" customHeight="1" x14ac:dyDescent="0.2">
      <c r="A344" s="113" t="s">
        <v>1859</v>
      </c>
      <c r="B344" s="114" t="s">
        <v>2624</v>
      </c>
      <c r="C344" s="113" t="s">
        <v>20</v>
      </c>
      <c r="D344" s="113" t="s">
        <v>2623</v>
      </c>
      <c r="E344" s="139" t="s">
        <v>1369</v>
      </c>
      <c r="F344" s="139"/>
      <c r="G344" s="112" t="s">
        <v>96</v>
      </c>
      <c r="H344" s="111">
        <v>1.1000000000000001</v>
      </c>
      <c r="I344" s="110">
        <v>7.58</v>
      </c>
      <c r="J344" s="110">
        <v>8.34</v>
      </c>
    </row>
    <row r="345" spans="1:10" ht="24" customHeight="1" x14ac:dyDescent="0.2">
      <c r="A345" s="113" t="s">
        <v>1859</v>
      </c>
      <c r="B345" s="114" t="s">
        <v>1951</v>
      </c>
      <c r="C345" s="113" t="s">
        <v>20</v>
      </c>
      <c r="D345" s="113" t="s">
        <v>1950</v>
      </c>
      <c r="E345" s="139" t="s">
        <v>1860</v>
      </c>
      <c r="F345" s="139"/>
      <c r="G345" s="112" t="s">
        <v>1864</v>
      </c>
      <c r="H345" s="111">
        <v>0.08</v>
      </c>
      <c r="I345" s="110">
        <v>10.62</v>
      </c>
      <c r="J345" s="110">
        <v>0.85</v>
      </c>
    </row>
    <row r="346" spans="1:10" ht="24" customHeight="1" x14ac:dyDescent="0.2">
      <c r="A346" s="113" t="s">
        <v>1859</v>
      </c>
      <c r="B346" s="114" t="s">
        <v>2064</v>
      </c>
      <c r="C346" s="113" t="s">
        <v>20</v>
      </c>
      <c r="D346" s="113" t="s">
        <v>2063</v>
      </c>
      <c r="E346" s="139" t="s">
        <v>1860</v>
      </c>
      <c r="F346" s="139"/>
      <c r="G346" s="112" t="s">
        <v>1864</v>
      </c>
      <c r="H346" s="111">
        <v>0.08</v>
      </c>
      <c r="I346" s="110">
        <v>15.97</v>
      </c>
      <c r="J346" s="110">
        <v>1.28</v>
      </c>
    </row>
    <row r="347" spans="1:10" x14ac:dyDescent="0.2">
      <c r="A347" s="109"/>
      <c r="B347" s="109"/>
      <c r="C347" s="109"/>
      <c r="D347" s="109"/>
      <c r="E347" s="109" t="s">
        <v>1858</v>
      </c>
      <c r="F347" s="108">
        <v>2.13</v>
      </c>
      <c r="G347" s="109" t="s">
        <v>1857</v>
      </c>
      <c r="H347" s="108">
        <v>0</v>
      </c>
      <c r="I347" s="109" t="s">
        <v>1856</v>
      </c>
      <c r="J347" s="108">
        <v>2.13</v>
      </c>
    </row>
    <row r="348" spans="1:10" ht="13.9" customHeight="1" x14ac:dyDescent="0.2">
      <c r="A348" s="109"/>
      <c r="B348" s="109"/>
      <c r="C348" s="109"/>
      <c r="D348" s="109"/>
      <c r="E348" s="109" t="s">
        <v>1855</v>
      </c>
      <c r="F348" s="108">
        <v>2.8992599999999999</v>
      </c>
      <c r="G348" s="109"/>
      <c r="H348" s="140" t="s">
        <v>1854</v>
      </c>
      <c r="I348" s="140"/>
      <c r="J348" s="108">
        <v>13.82</v>
      </c>
    </row>
    <row r="349" spans="1:10" ht="30" customHeight="1" thickBot="1" x14ac:dyDescent="0.25">
      <c r="A349" s="100"/>
      <c r="B349" s="100"/>
      <c r="C349" s="100"/>
      <c r="D349" s="100"/>
      <c r="E349" s="100"/>
      <c r="F349" s="100"/>
      <c r="G349" s="100" t="s">
        <v>1853</v>
      </c>
      <c r="H349" s="107">
        <v>66.64</v>
      </c>
      <c r="I349" s="100" t="s">
        <v>1852</v>
      </c>
      <c r="J349" s="102">
        <v>920.96</v>
      </c>
    </row>
    <row r="350" spans="1:10" ht="1.1499999999999999" customHeight="1" thickTop="1" x14ac:dyDescent="0.2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</row>
    <row r="351" spans="1:10" ht="24" customHeight="1" x14ac:dyDescent="0.2">
      <c r="A351" s="123" t="s">
        <v>100</v>
      </c>
      <c r="B351" s="123"/>
      <c r="C351" s="123"/>
      <c r="D351" s="123" t="s">
        <v>101</v>
      </c>
      <c r="E351" s="123"/>
      <c r="F351" s="142"/>
      <c r="G351" s="142"/>
      <c r="H351" s="3"/>
      <c r="I351" s="123"/>
      <c r="J351" s="63">
        <v>998.64</v>
      </c>
    </row>
    <row r="352" spans="1:10" ht="18" customHeight="1" x14ac:dyDescent="0.2">
      <c r="A352" s="117" t="s">
        <v>102</v>
      </c>
      <c r="B352" s="126" t="s">
        <v>5</v>
      </c>
      <c r="C352" s="117" t="s">
        <v>6</v>
      </c>
      <c r="D352" s="117" t="s">
        <v>7</v>
      </c>
      <c r="E352" s="136" t="s">
        <v>1113</v>
      </c>
      <c r="F352" s="136"/>
      <c r="G352" s="7" t="s">
        <v>8</v>
      </c>
      <c r="H352" s="126" t="s">
        <v>9</v>
      </c>
      <c r="I352" s="126" t="s">
        <v>10</v>
      </c>
      <c r="J352" s="126" t="s">
        <v>12</v>
      </c>
    </row>
    <row r="353" spans="1:10" ht="24" customHeight="1" x14ac:dyDescent="0.2">
      <c r="A353" s="116" t="s">
        <v>1861</v>
      </c>
      <c r="B353" s="1" t="s">
        <v>103</v>
      </c>
      <c r="C353" s="116" t="s">
        <v>20</v>
      </c>
      <c r="D353" s="116" t="s">
        <v>104</v>
      </c>
      <c r="E353" s="137">
        <v>5</v>
      </c>
      <c r="F353" s="137"/>
      <c r="G353" s="2" t="s">
        <v>49</v>
      </c>
      <c r="H353" s="115">
        <v>1</v>
      </c>
      <c r="I353" s="61">
        <v>151.37</v>
      </c>
      <c r="J353" s="61">
        <v>151.37</v>
      </c>
    </row>
    <row r="354" spans="1:10" ht="24" customHeight="1" x14ac:dyDescent="0.2">
      <c r="A354" s="113" t="s">
        <v>1859</v>
      </c>
      <c r="B354" s="114" t="s">
        <v>2156</v>
      </c>
      <c r="C354" s="113" t="s">
        <v>20</v>
      </c>
      <c r="D354" s="113" t="s">
        <v>2155</v>
      </c>
      <c r="E354" s="139" t="s">
        <v>1369</v>
      </c>
      <c r="F354" s="139"/>
      <c r="G354" s="112" t="s">
        <v>49</v>
      </c>
      <c r="H354" s="111">
        <v>0.6</v>
      </c>
      <c r="I354" s="110">
        <v>116.12</v>
      </c>
      <c r="J354" s="110">
        <v>69.67</v>
      </c>
    </row>
    <row r="355" spans="1:10" ht="24" customHeight="1" x14ac:dyDescent="0.2">
      <c r="A355" s="113" t="s">
        <v>1859</v>
      </c>
      <c r="B355" s="114" t="s">
        <v>2072</v>
      </c>
      <c r="C355" s="113" t="s">
        <v>20</v>
      </c>
      <c r="D355" s="113" t="s">
        <v>2071</v>
      </c>
      <c r="E355" s="139" t="s">
        <v>1369</v>
      </c>
      <c r="F355" s="139"/>
      <c r="G355" s="112" t="s">
        <v>49</v>
      </c>
      <c r="H355" s="111">
        <v>0.6</v>
      </c>
      <c r="I355" s="110">
        <v>100.76</v>
      </c>
      <c r="J355" s="110">
        <v>60.46</v>
      </c>
    </row>
    <row r="356" spans="1:10" ht="24" customHeight="1" x14ac:dyDescent="0.2">
      <c r="A356" s="113" t="s">
        <v>1859</v>
      </c>
      <c r="B356" s="114" t="s">
        <v>1872</v>
      </c>
      <c r="C356" s="113" t="s">
        <v>20</v>
      </c>
      <c r="D356" s="113" t="s">
        <v>1871</v>
      </c>
      <c r="E356" s="139" t="s">
        <v>1860</v>
      </c>
      <c r="F356" s="139"/>
      <c r="G356" s="112" t="s">
        <v>1864</v>
      </c>
      <c r="H356" s="111">
        <v>2</v>
      </c>
      <c r="I356" s="110">
        <v>10.62</v>
      </c>
      <c r="J356" s="110">
        <v>21.24</v>
      </c>
    </row>
    <row r="357" spans="1:10" x14ac:dyDescent="0.2">
      <c r="A357" s="109"/>
      <c r="B357" s="109"/>
      <c r="C357" s="109"/>
      <c r="D357" s="109"/>
      <c r="E357" s="109" t="s">
        <v>1858</v>
      </c>
      <c r="F357" s="108">
        <v>21.24</v>
      </c>
      <c r="G357" s="109" t="s">
        <v>1857</v>
      </c>
      <c r="H357" s="108">
        <v>0</v>
      </c>
      <c r="I357" s="109" t="s">
        <v>1856</v>
      </c>
      <c r="J357" s="108">
        <v>21.24</v>
      </c>
    </row>
    <row r="358" spans="1:10" ht="13.9" customHeight="1" x14ac:dyDescent="0.2">
      <c r="A358" s="109"/>
      <c r="B358" s="109"/>
      <c r="C358" s="109"/>
      <c r="D358" s="109"/>
      <c r="E358" s="109" t="s">
        <v>1855</v>
      </c>
      <c r="F358" s="108">
        <v>40.188735000000001</v>
      </c>
      <c r="G358" s="109"/>
      <c r="H358" s="140" t="s">
        <v>1854</v>
      </c>
      <c r="I358" s="140"/>
      <c r="J358" s="108">
        <v>191.56</v>
      </c>
    </row>
    <row r="359" spans="1:10" ht="30" customHeight="1" thickBot="1" x14ac:dyDescent="0.25">
      <c r="A359" s="100"/>
      <c r="B359" s="100"/>
      <c r="C359" s="100"/>
      <c r="D359" s="100"/>
      <c r="E359" s="100"/>
      <c r="F359" s="100"/>
      <c r="G359" s="100" t="s">
        <v>1853</v>
      </c>
      <c r="H359" s="107">
        <v>0.05</v>
      </c>
      <c r="I359" s="100" t="s">
        <v>1852</v>
      </c>
      <c r="J359" s="102">
        <v>9.58</v>
      </c>
    </row>
    <row r="360" spans="1:10" ht="1.1499999999999999" customHeight="1" thickTop="1" x14ac:dyDescent="0.2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</row>
    <row r="361" spans="1:10" ht="18" customHeight="1" x14ac:dyDescent="0.2">
      <c r="A361" s="117" t="s">
        <v>105</v>
      </c>
      <c r="B361" s="126" t="s">
        <v>5</v>
      </c>
      <c r="C361" s="117" t="s">
        <v>6</v>
      </c>
      <c r="D361" s="117" t="s">
        <v>7</v>
      </c>
      <c r="E361" s="136" t="s">
        <v>1113</v>
      </c>
      <c r="F361" s="136"/>
      <c r="G361" s="7" t="s">
        <v>8</v>
      </c>
      <c r="H361" s="126" t="s">
        <v>9</v>
      </c>
      <c r="I361" s="126" t="s">
        <v>10</v>
      </c>
      <c r="J361" s="126" t="s">
        <v>12</v>
      </c>
    </row>
    <row r="362" spans="1:10" ht="24" customHeight="1" x14ac:dyDescent="0.2">
      <c r="A362" s="116" t="s">
        <v>1861</v>
      </c>
      <c r="B362" s="1" t="s">
        <v>106</v>
      </c>
      <c r="C362" s="116" t="s">
        <v>20</v>
      </c>
      <c r="D362" s="116" t="s">
        <v>107</v>
      </c>
      <c r="E362" s="137">
        <v>5</v>
      </c>
      <c r="F362" s="137"/>
      <c r="G362" s="2" t="s">
        <v>22</v>
      </c>
      <c r="H362" s="115">
        <v>1</v>
      </c>
      <c r="I362" s="61">
        <v>65.41</v>
      </c>
      <c r="J362" s="61">
        <v>65.41</v>
      </c>
    </row>
    <row r="363" spans="1:10" ht="24" customHeight="1" x14ac:dyDescent="0.2">
      <c r="A363" s="113" t="s">
        <v>1859</v>
      </c>
      <c r="B363" s="114" t="s">
        <v>2590</v>
      </c>
      <c r="C363" s="113" t="s">
        <v>20</v>
      </c>
      <c r="D363" s="113" t="s">
        <v>2589</v>
      </c>
      <c r="E363" s="139" t="s">
        <v>1369</v>
      </c>
      <c r="F363" s="139"/>
      <c r="G363" s="112" t="s">
        <v>1877</v>
      </c>
      <c r="H363" s="111">
        <v>0.4</v>
      </c>
      <c r="I363" s="110">
        <v>5.88</v>
      </c>
      <c r="J363" s="110">
        <v>2.35</v>
      </c>
    </row>
    <row r="364" spans="1:10" ht="24" customHeight="1" x14ac:dyDescent="0.2">
      <c r="A364" s="113" t="s">
        <v>1859</v>
      </c>
      <c r="B364" s="114" t="s">
        <v>2626</v>
      </c>
      <c r="C364" s="113" t="s">
        <v>20</v>
      </c>
      <c r="D364" s="113" t="s">
        <v>2625</v>
      </c>
      <c r="E364" s="139" t="s">
        <v>1369</v>
      </c>
      <c r="F364" s="139"/>
      <c r="G364" s="112" t="s">
        <v>213</v>
      </c>
      <c r="H364" s="111">
        <v>0.5</v>
      </c>
      <c r="I364" s="110">
        <v>9.41</v>
      </c>
      <c r="J364" s="110">
        <v>4.71</v>
      </c>
    </row>
    <row r="365" spans="1:10" ht="24" customHeight="1" x14ac:dyDescent="0.2">
      <c r="A365" s="113" t="s">
        <v>1859</v>
      </c>
      <c r="B365" s="114" t="s">
        <v>2068</v>
      </c>
      <c r="C365" s="113" t="s">
        <v>20</v>
      </c>
      <c r="D365" s="113" t="s">
        <v>2067</v>
      </c>
      <c r="E365" s="139" t="s">
        <v>1369</v>
      </c>
      <c r="F365" s="139"/>
      <c r="G365" s="112" t="s">
        <v>213</v>
      </c>
      <c r="H365" s="111">
        <v>1.3674999999999999</v>
      </c>
      <c r="I365" s="110">
        <v>15.39</v>
      </c>
      <c r="J365" s="110">
        <v>21.05</v>
      </c>
    </row>
    <row r="366" spans="1:10" ht="24" customHeight="1" x14ac:dyDescent="0.2">
      <c r="A366" s="113" t="s">
        <v>1859</v>
      </c>
      <c r="B366" s="114" t="s">
        <v>2610</v>
      </c>
      <c r="C366" s="113" t="s">
        <v>20</v>
      </c>
      <c r="D366" s="113" t="s">
        <v>2609</v>
      </c>
      <c r="E366" s="139" t="s">
        <v>1369</v>
      </c>
      <c r="F366" s="139"/>
      <c r="G366" s="112" t="s">
        <v>96</v>
      </c>
      <c r="H366" s="111">
        <v>0.15</v>
      </c>
      <c r="I366" s="110">
        <v>18.170000000000002</v>
      </c>
      <c r="J366" s="110">
        <v>2.73</v>
      </c>
    </row>
    <row r="367" spans="1:10" ht="24" customHeight="1" x14ac:dyDescent="0.2">
      <c r="A367" s="113" t="s">
        <v>1859</v>
      </c>
      <c r="B367" s="114" t="s">
        <v>1951</v>
      </c>
      <c r="C367" s="113" t="s">
        <v>20</v>
      </c>
      <c r="D367" s="113" t="s">
        <v>1950</v>
      </c>
      <c r="E367" s="139" t="s">
        <v>1860</v>
      </c>
      <c r="F367" s="139"/>
      <c r="G367" s="112" t="s">
        <v>1864</v>
      </c>
      <c r="H367" s="111">
        <v>1.3</v>
      </c>
      <c r="I367" s="110">
        <v>10.62</v>
      </c>
      <c r="J367" s="110">
        <v>13.81</v>
      </c>
    </row>
    <row r="368" spans="1:10" ht="24" customHeight="1" x14ac:dyDescent="0.2">
      <c r="A368" s="113" t="s">
        <v>1859</v>
      </c>
      <c r="B368" s="114" t="s">
        <v>2060</v>
      </c>
      <c r="C368" s="113" t="s">
        <v>20</v>
      </c>
      <c r="D368" s="113" t="s">
        <v>2059</v>
      </c>
      <c r="E368" s="139" t="s">
        <v>1860</v>
      </c>
      <c r="F368" s="139"/>
      <c r="G368" s="112" t="s">
        <v>1864</v>
      </c>
      <c r="H368" s="111">
        <v>1.3</v>
      </c>
      <c r="I368" s="110">
        <v>15.97</v>
      </c>
      <c r="J368" s="110">
        <v>20.76</v>
      </c>
    </row>
    <row r="369" spans="1:10" x14ac:dyDescent="0.2">
      <c r="A369" s="109"/>
      <c r="B369" s="109"/>
      <c r="C369" s="109"/>
      <c r="D369" s="109"/>
      <c r="E369" s="109" t="s">
        <v>1858</v>
      </c>
      <c r="F369" s="108">
        <v>34.57</v>
      </c>
      <c r="G369" s="109" t="s">
        <v>1857</v>
      </c>
      <c r="H369" s="108">
        <v>0</v>
      </c>
      <c r="I369" s="109" t="s">
        <v>1856</v>
      </c>
      <c r="J369" s="108">
        <v>34.57</v>
      </c>
    </row>
    <row r="370" spans="1:10" ht="13.9" customHeight="1" x14ac:dyDescent="0.2">
      <c r="A370" s="109"/>
      <c r="B370" s="109"/>
      <c r="C370" s="109"/>
      <c r="D370" s="109"/>
      <c r="E370" s="109" t="s">
        <v>1855</v>
      </c>
      <c r="F370" s="108">
        <v>17.366354999999999</v>
      </c>
      <c r="G370" s="109"/>
      <c r="H370" s="140" t="s">
        <v>1854</v>
      </c>
      <c r="I370" s="140"/>
      <c r="J370" s="108">
        <v>82.78</v>
      </c>
    </row>
    <row r="371" spans="1:10" ht="30" customHeight="1" thickBot="1" x14ac:dyDescent="0.25">
      <c r="A371" s="100"/>
      <c r="B371" s="100"/>
      <c r="C371" s="100"/>
      <c r="D371" s="100"/>
      <c r="E371" s="100"/>
      <c r="F371" s="100"/>
      <c r="G371" s="100" t="s">
        <v>1853</v>
      </c>
      <c r="H371" s="107">
        <v>4.92</v>
      </c>
      <c r="I371" s="100" t="s">
        <v>1852</v>
      </c>
      <c r="J371" s="102">
        <v>407.28</v>
      </c>
    </row>
    <row r="372" spans="1:10" ht="1.1499999999999999" customHeight="1" thickTop="1" x14ac:dyDescent="0.2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</row>
    <row r="373" spans="1:10" ht="18" customHeight="1" x14ac:dyDescent="0.2">
      <c r="A373" s="117" t="s">
        <v>108</v>
      </c>
      <c r="B373" s="126" t="s">
        <v>5</v>
      </c>
      <c r="C373" s="117" t="s">
        <v>6</v>
      </c>
      <c r="D373" s="117" t="s">
        <v>7</v>
      </c>
      <c r="E373" s="136" t="s">
        <v>1113</v>
      </c>
      <c r="F373" s="136"/>
      <c r="G373" s="7" t="s">
        <v>8</v>
      </c>
      <c r="H373" s="126" t="s">
        <v>9</v>
      </c>
      <c r="I373" s="126" t="s">
        <v>10</v>
      </c>
      <c r="J373" s="126" t="s">
        <v>12</v>
      </c>
    </row>
    <row r="374" spans="1:10" ht="24" customHeight="1" x14ac:dyDescent="0.2">
      <c r="A374" s="116" t="s">
        <v>1861</v>
      </c>
      <c r="B374" s="1" t="s">
        <v>94</v>
      </c>
      <c r="C374" s="116" t="s">
        <v>20</v>
      </c>
      <c r="D374" s="116" t="s">
        <v>95</v>
      </c>
      <c r="E374" s="137">
        <v>5</v>
      </c>
      <c r="F374" s="137"/>
      <c r="G374" s="2" t="s">
        <v>96</v>
      </c>
      <c r="H374" s="115">
        <v>1</v>
      </c>
      <c r="I374" s="61">
        <v>12.45</v>
      </c>
      <c r="J374" s="61">
        <v>12.45</v>
      </c>
    </row>
    <row r="375" spans="1:10" ht="24" customHeight="1" x14ac:dyDescent="0.2">
      <c r="A375" s="113" t="s">
        <v>1859</v>
      </c>
      <c r="B375" s="114" t="s">
        <v>2082</v>
      </c>
      <c r="C375" s="113" t="s">
        <v>20</v>
      </c>
      <c r="D375" s="113" t="s">
        <v>2081</v>
      </c>
      <c r="E375" s="139" t="s">
        <v>1369</v>
      </c>
      <c r="F375" s="139"/>
      <c r="G375" s="112" t="s">
        <v>96</v>
      </c>
      <c r="H375" s="111">
        <v>1.1000000000000001</v>
      </c>
      <c r="I375" s="110">
        <v>9.2200000000000006</v>
      </c>
      <c r="J375" s="110">
        <v>10.14</v>
      </c>
    </row>
    <row r="376" spans="1:10" ht="24" customHeight="1" x14ac:dyDescent="0.2">
      <c r="A376" s="113" t="s">
        <v>1859</v>
      </c>
      <c r="B376" s="114" t="s">
        <v>2074</v>
      </c>
      <c r="C376" s="113" t="s">
        <v>20</v>
      </c>
      <c r="D376" s="113" t="s">
        <v>2073</v>
      </c>
      <c r="E376" s="139" t="s">
        <v>1369</v>
      </c>
      <c r="F376" s="139"/>
      <c r="G376" s="112" t="s">
        <v>96</v>
      </c>
      <c r="H376" s="111">
        <v>0.02</v>
      </c>
      <c r="I376" s="110">
        <v>22.63</v>
      </c>
      <c r="J376" s="110">
        <v>0.45</v>
      </c>
    </row>
    <row r="377" spans="1:10" ht="24" customHeight="1" x14ac:dyDescent="0.2">
      <c r="A377" s="113" t="s">
        <v>1859</v>
      </c>
      <c r="B377" s="114" t="s">
        <v>2064</v>
      </c>
      <c r="C377" s="113" t="s">
        <v>20</v>
      </c>
      <c r="D377" s="113" t="s">
        <v>2063</v>
      </c>
      <c r="E377" s="139" t="s">
        <v>1860</v>
      </c>
      <c r="F377" s="139"/>
      <c r="G377" s="112" t="s">
        <v>1864</v>
      </c>
      <c r="H377" s="111">
        <v>7.0000000000000007E-2</v>
      </c>
      <c r="I377" s="110">
        <v>15.97</v>
      </c>
      <c r="J377" s="110">
        <v>1.1200000000000001</v>
      </c>
    </row>
    <row r="378" spans="1:10" ht="24" customHeight="1" x14ac:dyDescent="0.2">
      <c r="A378" s="113" t="s">
        <v>1859</v>
      </c>
      <c r="B378" s="114" t="s">
        <v>1951</v>
      </c>
      <c r="C378" s="113" t="s">
        <v>20</v>
      </c>
      <c r="D378" s="113" t="s">
        <v>1950</v>
      </c>
      <c r="E378" s="139" t="s">
        <v>1860</v>
      </c>
      <c r="F378" s="139"/>
      <c r="G378" s="112" t="s">
        <v>1864</v>
      </c>
      <c r="H378" s="111">
        <v>7.0000000000000007E-2</v>
      </c>
      <c r="I378" s="110">
        <v>10.62</v>
      </c>
      <c r="J378" s="110">
        <v>0.74</v>
      </c>
    </row>
    <row r="379" spans="1:10" x14ac:dyDescent="0.2">
      <c r="A379" s="109"/>
      <c r="B379" s="109"/>
      <c r="C379" s="109"/>
      <c r="D379" s="109"/>
      <c r="E379" s="109" t="s">
        <v>1858</v>
      </c>
      <c r="F379" s="108">
        <v>1.86</v>
      </c>
      <c r="G379" s="109" t="s">
        <v>1857</v>
      </c>
      <c r="H379" s="108">
        <v>0</v>
      </c>
      <c r="I379" s="109" t="s">
        <v>1856</v>
      </c>
      <c r="J379" s="108">
        <v>1.86</v>
      </c>
    </row>
    <row r="380" spans="1:10" ht="13.9" customHeight="1" x14ac:dyDescent="0.2">
      <c r="A380" s="109"/>
      <c r="B380" s="109"/>
      <c r="C380" s="109"/>
      <c r="D380" s="109"/>
      <c r="E380" s="109" t="s">
        <v>1855</v>
      </c>
      <c r="F380" s="108">
        <v>3.3054749999999999</v>
      </c>
      <c r="G380" s="109"/>
      <c r="H380" s="140" t="s">
        <v>1854</v>
      </c>
      <c r="I380" s="140"/>
      <c r="J380" s="108">
        <v>15.76</v>
      </c>
    </row>
    <row r="381" spans="1:10" ht="30" customHeight="1" thickBot="1" x14ac:dyDescent="0.25">
      <c r="A381" s="100"/>
      <c r="B381" s="100"/>
      <c r="C381" s="100"/>
      <c r="D381" s="100"/>
      <c r="E381" s="100"/>
      <c r="F381" s="100"/>
      <c r="G381" s="100" t="s">
        <v>1853</v>
      </c>
      <c r="H381" s="107">
        <v>7</v>
      </c>
      <c r="I381" s="100" t="s">
        <v>1852</v>
      </c>
      <c r="J381" s="102">
        <v>110.32</v>
      </c>
    </row>
    <row r="382" spans="1:10" ht="1.1499999999999999" customHeight="1" thickTop="1" x14ac:dyDescent="0.2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</row>
    <row r="383" spans="1:10" ht="18" customHeight="1" x14ac:dyDescent="0.2">
      <c r="A383" s="117" t="s">
        <v>109</v>
      </c>
      <c r="B383" s="126" t="s">
        <v>5</v>
      </c>
      <c r="C383" s="117" t="s">
        <v>6</v>
      </c>
      <c r="D383" s="117" t="s">
        <v>7</v>
      </c>
      <c r="E383" s="136" t="s">
        <v>1113</v>
      </c>
      <c r="F383" s="136"/>
      <c r="G383" s="7" t="s">
        <v>8</v>
      </c>
      <c r="H383" s="126" t="s">
        <v>9</v>
      </c>
      <c r="I383" s="126" t="s">
        <v>10</v>
      </c>
      <c r="J383" s="126" t="s">
        <v>12</v>
      </c>
    </row>
    <row r="384" spans="1:10" ht="24" customHeight="1" x14ac:dyDescent="0.2">
      <c r="A384" s="116" t="s">
        <v>1861</v>
      </c>
      <c r="B384" s="1" t="s">
        <v>110</v>
      </c>
      <c r="C384" s="116" t="s">
        <v>20</v>
      </c>
      <c r="D384" s="116" t="s">
        <v>111</v>
      </c>
      <c r="E384" s="137">
        <v>5</v>
      </c>
      <c r="F384" s="137"/>
      <c r="G384" s="2" t="s">
        <v>96</v>
      </c>
      <c r="H384" s="115">
        <v>1</v>
      </c>
      <c r="I384" s="61">
        <v>11.83</v>
      </c>
      <c r="J384" s="61">
        <v>11.83</v>
      </c>
    </row>
    <row r="385" spans="1:10" ht="24" customHeight="1" x14ac:dyDescent="0.2">
      <c r="A385" s="113" t="s">
        <v>1859</v>
      </c>
      <c r="B385" s="114" t="s">
        <v>2074</v>
      </c>
      <c r="C385" s="113" t="s">
        <v>20</v>
      </c>
      <c r="D385" s="113" t="s">
        <v>2073</v>
      </c>
      <c r="E385" s="139" t="s">
        <v>1369</v>
      </c>
      <c r="F385" s="139"/>
      <c r="G385" s="112" t="s">
        <v>96</v>
      </c>
      <c r="H385" s="111">
        <v>0.02</v>
      </c>
      <c r="I385" s="110">
        <v>22.63</v>
      </c>
      <c r="J385" s="110">
        <v>0.45</v>
      </c>
    </row>
    <row r="386" spans="1:10" ht="24" customHeight="1" x14ac:dyDescent="0.2">
      <c r="A386" s="113" t="s">
        <v>1859</v>
      </c>
      <c r="B386" s="114" t="s">
        <v>2078</v>
      </c>
      <c r="C386" s="113" t="s">
        <v>20</v>
      </c>
      <c r="D386" s="113" t="s">
        <v>2077</v>
      </c>
      <c r="E386" s="139" t="s">
        <v>1369</v>
      </c>
      <c r="F386" s="139"/>
      <c r="G386" s="112" t="s">
        <v>96</v>
      </c>
      <c r="H386" s="111">
        <v>1.1000000000000001</v>
      </c>
      <c r="I386" s="110">
        <v>8.41</v>
      </c>
      <c r="J386" s="110">
        <v>9.25</v>
      </c>
    </row>
    <row r="387" spans="1:10" ht="24" customHeight="1" x14ac:dyDescent="0.2">
      <c r="A387" s="113" t="s">
        <v>1859</v>
      </c>
      <c r="B387" s="114" t="s">
        <v>1951</v>
      </c>
      <c r="C387" s="113" t="s">
        <v>20</v>
      </c>
      <c r="D387" s="113" t="s">
        <v>1950</v>
      </c>
      <c r="E387" s="139" t="s">
        <v>1860</v>
      </c>
      <c r="F387" s="139"/>
      <c r="G387" s="112" t="s">
        <v>1864</v>
      </c>
      <c r="H387" s="111">
        <v>0.08</v>
      </c>
      <c r="I387" s="110">
        <v>10.62</v>
      </c>
      <c r="J387" s="110">
        <v>0.85</v>
      </c>
    </row>
    <row r="388" spans="1:10" ht="24" customHeight="1" x14ac:dyDescent="0.2">
      <c r="A388" s="113" t="s">
        <v>1859</v>
      </c>
      <c r="B388" s="114" t="s">
        <v>2064</v>
      </c>
      <c r="C388" s="113" t="s">
        <v>20</v>
      </c>
      <c r="D388" s="113" t="s">
        <v>2063</v>
      </c>
      <c r="E388" s="139" t="s">
        <v>1860</v>
      </c>
      <c r="F388" s="139"/>
      <c r="G388" s="112" t="s">
        <v>1864</v>
      </c>
      <c r="H388" s="111">
        <v>0.08</v>
      </c>
      <c r="I388" s="110">
        <v>15.97</v>
      </c>
      <c r="J388" s="110">
        <v>1.28</v>
      </c>
    </row>
    <row r="389" spans="1:10" x14ac:dyDescent="0.2">
      <c r="A389" s="109"/>
      <c r="B389" s="109"/>
      <c r="C389" s="109"/>
      <c r="D389" s="109"/>
      <c r="E389" s="109" t="s">
        <v>1858</v>
      </c>
      <c r="F389" s="108">
        <v>2.13</v>
      </c>
      <c r="G389" s="109" t="s">
        <v>1857</v>
      </c>
      <c r="H389" s="108">
        <v>0</v>
      </c>
      <c r="I389" s="109" t="s">
        <v>1856</v>
      </c>
      <c r="J389" s="108">
        <v>2.13</v>
      </c>
    </row>
    <row r="390" spans="1:10" ht="13.9" customHeight="1" x14ac:dyDescent="0.2">
      <c r="A390" s="109"/>
      <c r="B390" s="109"/>
      <c r="C390" s="109"/>
      <c r="D390" s="109"/>
      <c r="E390" s="109" t="s">
        <v>1855</v>
      </c>
      <c r="F390" s="108">
        <v>3.1408649999999998</v>
      </c>
      <c r="G390" s="109"/>
      <c r="H390" s="140" t="s">
        <v>1854</v>
      </c>
      <c r="I390" s="140"/>
      <c r="J390" s="108">
        <v>14.97</v>
      </c>
    </row>
    <row r="391" spans="1:10" ht="30" customHeight="1" thickBot="1" x14ac:dyDescent="0.25">
      <c r="A391" s="100"/>
      <c r="B391" s="100"/>
      <c r="C391" s="100"/>
      <c r="D391" s="100"/>
      <c r="E391" s="100"/>
      <c r="F391" s="100"/>
      <c r="G391" s="100" t="s">
        <v>1853</v>
      </c>
      <c r="H391" s="107">
        <v>1.5</v>
      </c>
      <c r="I391" s="100" t="s">
        <v>1852</v>
      </c>
      <c r="J391" s="102">
        <v>22.46</v>
      </c>
    </row>
    <row r="392" spans="1:10" ht="1.1499999999999999" customHeight="1" thickTop="1" x14ac:dyDescent="0.2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</row>
    <row r="393" spans="1:10" ht="18" customHeight="1" x14ac:dyDescent="0.2">
      <c r="A393" s="117" t="s">
        <v>112</v>
      </c>
      <c r="B393" s="126" t="s">
        <v>5</v>
      </c>
      <c r="C393" s="117" t="s">
        <v>6</v>
      </c>
      <c r="D393" s="117" t="s">
        <v>7</v>
      </c>
      <c r="E393" s="136" t="s">
        <v>1113</v>
      </c>
      <c r="F393" s="136"/>
      <c r="G393" s="7" t="s">
        <v>8</v>
      </c>
      <c r="H393" s="126" t="s">
        <v>9</v>
      </c>
      <c r="I393" s="126" t="s">
        <v>10</v>
      </c>
      <c r="J393" s="126" t="s">
        <v>12</v>
      </c>
    </row>
    <row r="394" spans="1:10" ht="24" customHeight="1" x14ac:dyDescent="0.2">
      <c r="A394" s="116" t="s">
        <v>1861</v>
      </c>
      <c r="B394" s="1" t="s">
        <v>113</v>
      </c>
      <c r="C394" s="116" t="s">
        <v>20</v>
      </c>
      <c r="D394" s="116" t="s">
        <v>114</v>
      </c>
      <c r="E394" s="137">
        <v>6</v>
      </c>
      <c r="F394" s="137"/>
      <c r="G394" s="2" t="s">
        <v>49</v>
      </c>
      <c r="H394" s="115">
        <v>1</v>
      </c>
      <c r="I394" s="61">
        <v>468.79</v>
      </c>
      <c r="J394" s="61">
        <v>468.79</v>
      </c>
    </row>
    <row r="395" spans="1:10" ht="24" customHeight="1" x14ac:dyDescent="0.2">
      <c r="A395" s="113" t="s">
        <v>1859</v>
      </c>
      <c r="B395" s="114" t="s">
        <v>2660</v>
      </c>
      <c r="C395" s="113" t="s">
        <v>20</v>
      </c>
      <c r="D395" s="113" t="s">
        <v>2659</v>
      </c>
      <c r="E395" s="139" t="s">
        <v>1369</v>
      </c>
      <c r="F395" s="139"/>
      <c r="G395" s="112" t="s">
        <v>49</v>
      </c>
      <c r="H395" s="111">
        <v>1.02</v>
      </c>
      <c r="I395" s="110">
        <v>459.6</v>
      </c>
      <c r="J395" s="110">
        <v>468.79</v>
      </c>
    </row>
    <row r="396" spans="1:10" x14ac:dyDescent="0.2">
      <c r="A396" s="109"/>
      <c r="B396" s="109"/>
      <c r="C396" s="109"/>
      <c r="D396" s="109"/>
      <c r="E396" s="109" t="s">
        <v>1858</v>
      </c>
      <c r="F396" s="108">
        <v>0</v>
      </c>
      <c r="G396" s="109" t="s">
        <v>1857</v>
      </c>
      <c r="H396" s="108">
        <v>0</v>
      </c>
      <c r="I396" s="109" t="s">
        <v>1856</v>
      </c>
      <c r="J396" s="108">
        <v>0</v>
      </c>
    </row>
    <row r="397" spans="1:10" ht="13.9" customHeight="1" x14ac:dyDescent="0.2">
      <c r="A397" s="109"/>
      <c r="B397" s="109"/>
      <c r="C397" s="109"/>
      <c r="D397" s="109"/>
      <c r="E397" s="109" t="s">
        <v>1855</v>
      </c>
      <c r="F397" s="108">
        <v>124.463745</v>
      </c>
      <c r="G397" s="109"/>
      <c r="H397" s="140" t="s">
        <v>1854</v>
      </c>
      <c r="I397" s="140"/>
      <c r="J397" s="108">
        <v>593.25</v>
      </c>
    </row>
    <row r="398" spans="1:10" ht="30" customHeight="1" thickBot="1" x14ac:dyDescent="0.25">
      <c r="A398" s="100"/>
      <c r="B398" s="100"/>
      <c r="C398" s="100"/>
      <c r="D398" s="100"/>
      <c r="E398" s="100"/>
      <c r="F398" s="100"/>
      <c r="G398" s="100" t="s">
        <v>1853</v>
      </c>
      <c r="H398" s="107">
        <v>0.71</v>
      </c>
      <c r="I398" s="100" t="s">
        <v>1852</v>
      </c>
      <c r="J398" s="102">
        <v>421.21</v>
      </c>
    </row>
    <row r="399" spans="1:10" ht="1.1499999999999999" customHeight="1" thickTop="1" x14ac:dyDescent="0.2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</row>
    <row r="400" spans="1:10" ht="18" customHeight="1" x14ac:dyDescent="0.2">
      <c r="A400" s="117" t="s">
        <v>115</v>
      </c>
      <c r="B400" s="126" t="s">
        <v>5</v>
      </c>
      <c r="C400" s="117" t="s">
        <v>6</v>
      </c>
      <c r="D400" s="117" t="s">
        <v>7</v>
      </c>
      <c r="E400" s="136" t="s">
        <v>1113</v>
      </c>
      <c r="F400" s="136"/>
      <c r="G400" s="7" t="s">
        <v>8</v>
      </c>
      <c r="H400" s="126" t="s">
        <v>9</v>
      </c>
      <c r="I400" s="126" t="s">
        <v>10</v>
      </c>
      <c r="J400" s="126" t="s">
        <v>12</v>
      </c>
    </row>
    <row r="401" spans="1:10" ht="24" customHeight="1" x14ac:dyDescent="0.2">
      <c r="A401" s="116" t="s">
        <v>1861</v>
      </c>
      <c r="B401" s="1" t="s">
        <v>116</v>
      </c>
      <c r="C401" s="116" t="s">
        <v>20</v>
      </c>
      <c r="D401" s="116" t="s">
        <v>117</v>
      </c>
      <c r="E401" s="137">
        <v>5</v>
      </c>
      <c r="F401" s="137"/>
      <c r="G401" s="2" t="s">
        <v>49</v>
      </c>
      <c r="H401" s="115">
        <v>1</v>
      </c>
      <c r="I401" s="61">
        <v>30.93</v>
      </c>
      <c r="J401" s="61">
        <v>30.93</v>
      </c>
    </row>
    <row r="402" spans="1:10" ht="36" customHeight="1" x14ac:dyDescent="0.2">
      <c r="A402" s="113" t="s">
        <v>1859</v>
      </c>
      <c r="B402" s="114" t="s">
        <v>2638</v>
      </c>
      <c r="C402" s="113" t="s">
        <v>20</v>
      </c>
      <c r="D402" s="113" t="s">
        <v>2637</v>
      </c>
      <c r="E402" s="139" t="s">
        <v>1369</v>
      </c>
      <c r="F402" s="139"/>
      <c r="G402" s="112" t="s">
        <v>246</v>
      </c>
      <c r="H402" s="111">
        <v>4.6800000000000001E-2</v>
      </c>
      <c r="I402" s="110">
        <v>2</v>
      </c>
      <c r="J402" s="110">
        <v>0.09</v>
      </c>
    </row>
    <row r="403" spans="1:10" ht="24" customHeight="1" x14ac:dyDescent="0.2">
      <c r="A403" s="113" t="s">
        <v>1859</v>
      </c>
      <c r="B403" s="114" t="s">
        <v>1872</v>
      </c>
      <c r="C403" s="113" t="s">
        <v>20</v>
      </c>
      <c r="D403" s="113" t="s">
        <v>1871</v>
      </c>
      <c r="E403" s="139" t="s">
        <v>1860</v>
      </c>
      <c r="F403" s="139"/>
      <c r="G403" s="112" t="s">
        <v>1864</v>
      </c>
      <c r="H403" s="111">
        <v>1.9348000000000001</v>
      </c>
      <c r="I403" s="110">
        <v>10.62</v>
      </c>
      <c r="J403" s="110">
        <v>20.55</v>
      </c>
    </row>
    <row r="404" spans="1:10" ht="24" customHeight="1" x14ac:dyDescent="0.2">
      <c r="A404" s="113" t="s">
        <v>1859</v>
      </c>
      <c r="B404" s="114" t="s">
        <v>1949</v>
      </c>
      <c r="C404" s="113" t="s">
        <v>20</v>
      </c>
      <c r="D404" s="113" t="s">
        <v>1948</v>
      </c>
      <c r="E404" s="139" t="s">
        <v>1860</v>
      </c>
      <c r="F404" s="139"/>
      <c r="G404" s="112" t="s">
        <v>1864</v>
      </c>
      <c r="H404" s="111">
        <v>0.64459999999999995</v>
      </c>
      <c r="I404" s="110">
        <v>15.97</v>
      </c>
      <c r="J404" s="110">
        <v>10.29</v>
      </c>
    </row>
    <row r="405" spans="1:10" x14ac:dyDescent="0.2">
      <c r="A405" s="109"/>
      <c r="B405" s="109"/>
      <c r="C405" s="109"/>
      <c r="D405" s="109"/>
      <c r="E405" s="109" t="s">
        <v>1858</v>
      </c>
      <c r="F405" s="108">
        <v>30.84</v>
      </c>
      <c r="G405" s="109" t="s">
        <v>1857</v>
      </c>
      <c r="H405" s="108">
        <v>0</v>
      </c>
      <c r="I405" s="109" t="s">
        <v>1856</v>
      </c>
      <c r="J405" s="108">
        <v>30.84</v>
      </c>
    </row>
    <row r="406" spans="1:10" ht="13.9" customHeight="1" x14ac:dyDescent="0.2">
      <c r="A406" s="109"/>
      <c r="B406" s="109"/>
      <c r="C406" s="109"/>
      <c r="D406" s="109"/>
      <c r="E406" s="109" t="s">
        <v>1855</v>
      </c>
      <c r="F406" s="108">
        <v>8.2119149999999994</v>
      </c>
      <c r="G406" s="109"/>
      <c r="H406" s="140" t="s">
        <v>1854</v>
      </c>
      <c r="I406" s="140"/>
      <c r="J406" s="108">
        <v>39.14</v>
      </c>
    </row>
    <row r="407" spans="1:10" ht="30" customHeight="1" thickBot="1" x14ac:dyDescent="0.25">
      <c r="A407" s="100"/>
      <c r="B407" s="100"/>
      <c r="C407" s="100"/>
      <c r="D407" s="100"/>
      <c r="E407" s="100"/>
      <c r="F407" s="100"/>
      <c r="G407" s="100" t="s">
        <v>1853</v>
      </c>
      <c r="H407" s="107">
        <v>0.71</v>
      </c>
      <c r="I407" s="100" t="s">
        <v>1852</v>
      </c>
      <c r="J407" s="102">
        <v>27.79</v>
      </c>
    </row>
    <row r="408" spans="1:10" ht="1.1499999999999999" customHeight="1" thickTop="1" x14ac:dyDescent="0.2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</row>
    <row r="409" spans="1:10" ht="24" customHeight="1" x14ac:dyDescent="0.2">
      <c r="A409" s="123" t="s">
        <v>118</v>
      </c>
      <c r="B409" s="123"/>
      <c r="C409" s="123"/>
      <c r="D409" s="123" t="s">
        <v>119</v>
      </c>
      <c r="E409" s="123"/>
      <c r="F409" s="142"/>
      <c r="G409" s="142"/>
      <c r="H409" s="3"/>
      <c r="I409" s="123"/>
      <c r="J409" s="63">
        <v>1818.02</v>
      </c>
    </row>
    <row r="410" spans="1:10" ht="18" customHeight="1" x14ac:dyDescent="0.2">
      <c r="A410" s="117" t="s">
        <v>120</v>
      </c>
      <c r="B410" s="126" t="s">
        <v>5</v>
      </c>
      <c r="C410" s="117" t="s">
        <v>6</v>
      </c>
      <c r="D410" s="117" t="s">
        <v>7</v>
      </c>
      <c r="E410" s="136" t="s">
        <v>1113</v>
      </c>
      <c r="F410" s="136"/>
      <c r="G410" s="7" t="s">
        <v>8</v>
      </c>
      <c r="H410" s="126" t="s">
        <v>9</v>
      </c>
      <c r="I410" s="126" t="s">
        <v>10</v>
      </c>
      <c r="J410" s="126" t="s">
        <v>12</v>
      </c>
    </row>
    <row r="411" spans="1:10" ht="24" customHeight="1" x14ac:dyDescent="0.2">
      <c r="A411" s="116" t="s">
        <v>1861</v>
      </c>
      <c r="B411" s="1" t="s">
        <v>103</v>
      </c>
      <c r="C411" s="116" t="s">
        <v>20</v>
      </c>
      <c r="D411" s="116" t="s">
        <v>104</v>
      </c>
      <c r="E411" s="137">
        <v>5</v>
      </c>
      <c r="F411" s="137"/>
      <c r="G411" s="2" t="s">
        <v>49</v>
      </c>
      <c r="H411" s="115">
        <v>1</v>
      </c>
      <c r="I411" s="61">
        <v>151.37</v>
      </c>
      <c r="J411" s="61">
        <v>151.37</v>
      </c>
    </row>
    <row r="412" spans="1:10" ht="24" customHeight="1" x14ac:dyDescent="0.2">
      <c r="A412" s="113" t="s">
        <v>1859</v>
      </c>
      <c r="B412" s="114" t="s">
        <v>2156</v>
      </c>
      <c r="C412" s="113" t="s">
        <v>20</v>
      </c>
      <c r="D412" s="113" t="s">
        <v>2155</v>
      </c>
      <c r="E412" s="139" t="s">
        <v>1369</v>
      </c>
      <c r="F412" s="139"/>
      <c r="G412" s="112" t="s">
        <v>49</v>
      </c>
      <c r="H412" s="111">
        <v>0.6</v>
      </c>
      <c r="I412" s="110">
        <v>116.12</v>
      </c>
      <c r="J412" s="110">
        <v>69.67</v>
      </c>
    </row>
    <row r="413" spans="1:10" ht="24" customHeight="1" x14ac:dyDescent="0.2">
      <c r="A413" s="113" t="s">
        <v>1859</v>
      </c>
      <c r="B413" s="114" t="s">
        <v>2072</v>
      </c>
      <c r="C413" s="113" t="s">
        <v>20</v>
      </c>
      <c r="D413" s="113" t="s">
        <v>2071</v>
      </c>
      <c r="E413" s="139" t="s">
        <v>1369</v>
      </c>
      <c r="F413" s="139"/>
      <c r="G413" s="112" t="s">
        <v>49</v>
      </c>
      <c r="H413" s="111">
        <v>0.6</v>
      </c>
      <c r="I413" s="110">
        <v>100.76</v>
      </c>
      <c r="J413" s="110">
        <v>60.46</v>
      </c>
    </row>
    <row r="414" spans="1:10" ht="24" customHeight="1" x14ac:dyDescent="0.2">
      <c r="A414" s="113" t="s">
        <v>1859</v>
      </c>
      <c r="B414" s="114" t="s">
        <v>1872</v>
      </c>
      <c r="C414" s="113" t="s">
        <v>20</v>
      </c>
      <c r="D414" s="113" t="s">
        <v>1871</v>
      </c>
      <c r="E414" s="139" t="s">
        <v>1860</v>
      </c>
      <c r="F414" s="139"/>
      <c r="G414" s="112" t="s">
        <v>1864</v>
      </c>
      <c r="H414" s="111">
        <v>2</v>
      </c>
      <c r="I414" s="110">
        <v>10.62</v>
      </c>
      <c r="J414" s="110">
        <v>21.24</v>
      </c>
    </row>
    <row r="415" spans="1:10" x14ac:dyDescent="0.2">
      <c r="A415" s="109"/>
      <c r="B415" s="109"/>
      <c r="C415" s="109"/>
      <c r="D415" s="109"/>
      <c r="E415" s="109" t="s">
        <v>1858</v>
      </c>
      <c r="F415" s="108">
        <v>21.24</v>
      </c>
      <c r="G415" s="109" t="s">
        <v>1857</v>
      </c>
      <c r="H415" s="108">
        <v>0</v>
      </c>
      <c r="I415" s="109" t="s">
        <v>1856</v>
      </c>
      <c r="J415" s="108">
        <v>21.24</v>
      </c>
    </row>
    <row r="416" spans="1:10" ht="13.9" customHeight="1" x14ac:dyDescent="0.2">
      <c r="A416" s="109"/>
      <c r="B416" s="109"/>
      <c r="C416" s="109"/>
      <c r="D416" s="109"/>
      <c r="E416" s="109" t="s">
        <v>1855</v>
      </c>
      <c r="F416" s="108">
        <v>40.188735000000001</v>
      </c>
      <c r="G416" s="109"/>
      <c r="H416" s="140" t="s">
        <v>1854</v>
      </c>
      <c r="I416" s="140"/>
      <c r="J416" s="108">
        <v>191.56</v>
      </c>
    </row>
    <row r="417" spans="1:10" ht="30" customHeight="1" thickBot="1" x14ac:dyDescent="0.25">
      <c r="A417" s="100"/>
      <c r="B417" s="100"/>
      <c r="C417" s="100"/>
      <c r="D417" s="100"/>
      <c r="E417" s="100"/>
      <c r="F417" s="100"/>
      <c r="G417" s="100" t="s">
        <v>1853</v>
      </c>
      <c r="H417" s="107">
        <v>0.09</v>
      </c>
      <c r="I417" s="100" t="s">
        <v>1852</v>
      </c>
      <c r="J417" s="102">
        <v>17.239999999999998</v>
      </c>
    </row>
    <row r="418" spans="1:10" ht="1.1499999999999999" customHeight="1" thickTop="1" x14ac:dyDescent="0.2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</row>
    <row r="419" spans="1:10" ht="18" customHeight="1" x14ac:dyDescent="0.2">
      <c r="A419" s="117" t="s">
        <v>121</v>
      </c>
      <c r="B419" s="126" t="s">
        <v>5</v>
      </c>
      <c r="C419" s="117" t="s">
        <v>6</v>
      </c>
      <c r="D419" s="117" t="s">
        <v>7</v>
      </c>
      <c r="E419" s="136" t="s">
        <v>1113</v>
      </c>
      <c r="F419" s="136"/>
      <c r="G419" s="7" t="s">
        <v>8</v>
      </c>
      <c r="H419" s="126" t="s">
        <v>9</v>
      </c>
      <c r="I419" s="126" t="s">
        <v>10</v>
      </c>
      <c r="J419" s="126" t="s">
        <v>12</v>
      </c>
    </row>
    <row r="420" spans="1:10" ht="24" customHeight="1" x14ac:dyDescent="0.2">
      <c r="A420" s="116" t="s">
        <v>1861</v>
      </c>
      <c r="B420" s="1" t="s">
        <v>122</v>
      </c>
      <c r="C420" s="116" t="s">
        <v>20</v>
      </c>
      <c r="D420" s="116" t="s">
        <v>123</v>
      </c>
      <c r="E420" s="137">
        <v>6</v>
      </c>
      <c r="F420" s="137"/>
      <c r="G420" s="2" t="s">
        <v>22</v>
      </c>
      <c r="H420" s="115">
        <v>1</v>
      </c>
      <c r="I420" s="61">
        <v>34.380000000000003</v>
      </c>
      <c r="J420" s="61">
        <v>34.380000000000003</v>
      </c>
    </row>
    <row r="421" spans="1:10" ht="24" customHeight="1" x14ac:dyDescent="0.2">
      <c r="A421" s="113" t="s">
        <v>1859</v>
      </c>
      <c r="B421" s="114" t="s">
        <v>2066</v>
      </c>
      <c r="C421" s="113" t="s">
        <v>20</v>
      </c>
      <c r="D421" s="113" t="s">
        <v>2065</v>
      </c>
      <c r="E421" s="139" t="s">
        <v>1369</v>
      </c>
      <c r="F421" s="139"/>
      <c r="G421" s="112" t="s">
        <v>96</v>
      </c>
      <c r="H421" s="111">
        <v>8.7599999999999997E-2</v>
      </c>
      <c r="I421" s="110">
        <v>18.170000000000002</v>
      </c>
      <c r="J421" s="110">
        <v>1.59</v>
      </c>
    </row>
    <row r="422" spans="1:10" ht="24" customHeight="1" x14ac:dyDescent="0.2">
      <c r="A422" s="113" t="s">
        <v>1859</v>
      </c>
      <c r="B422" s="114" t="s">
        <v>2239</v>
      </c>
      <c r="C422" s="113" t="s">
        <v>20</v>
      </c>
      <c r="D422" s="113" t="s">
        <v>2238</v>
      </c>
      <c r="E422" s="139" t="s">
        <v>1369</v>
      </c>
      <c r="F422" s="139"/>
      <c r="G422" s="112" t="s">
        <v>213</v>
      </c>
      <c r="H422" s="111">
        <v>1.4124000000000001</v>
      </c>
      <c r="I422" s="110">
        <v>9.7100000000000009</v>
      </c>
      <c r="J422" s="110">
        <v>13.71</v>
      </c>
    </row>
    <row r="423" spans="1:10" ht="24" customHeight="1" x14ac:dyDescent="0.2">
      <c r="A423" s="113" t="s">
        <v>1859</v>
      </c>
      <c r="B423" s="114" t="s">
        <v>2068</v>
      </c>
      <c r="C423" s="113" t="s">
        <v>20</v>
      </c>
      <c r="D423" s="113" t="s">
        <v>2067</v>
      </c>
      <c r="E423" s="139" t="s">
        <v>1369</v>
      </c>
      <c r="F423" s="139"/>
      <c r="G423" s="112" t="s">
        <v>213</v>
      </c>
      <c r="H423" s="111">
        <v>0.71340000000000003</v>
      </c>
      <c r="I423" s="110">
        <v>15.39</v>
      </c>
      <c r="J423" s="110">
        <v>10.98</v>
      </c>
    </row>
    <row r="424" spans="1:10" ht="24" customHeight="1" x14ac:dyDescent="0.2">
      <c r="A424" s="113" t="s">
        <v>1859</v>
      </c>
      <c r="B424" s="114" t="s">
        <v>1951</v>
      </c>
      <c r="C424" s="113" t="s">
        <v>20</v>
      </c>
      <c r="D424" s="113" t="s">
        <v>1950</v>
      </c>
      <c r="E424" s="139" t="s">
        <v>1860</v>
      </c>
      <c r="F424" s="139"/>
      <c r="G424" s="112" t="s">
        <v>1864</v>
      </c>
      <c r="H424" s="111">
        <v>0.31240000000000001</v>
      </c>
      <c r="I424" s="110">
        <v>10.62</v>
      </c>
      <c r="J424" s="110">
        <v>3.32</v>
      </c>
    </row>
    <row r="425" spans="1:10" ht="24" customHeight="1" x14ac:dyDescent="0.2">
      <c r="A425" s="113" t="s">
        <v>1859</v>
      </c>
      <c r="B425" s="114" t="s">
        <v>2060</v>
      </c>
      <c r="C425" s="113" t="s">
        <v>20</v>
      </c>
      <c r="D425" s="113" t="s">
        <v>2059</v>
      </c>
      <c r="E425" s="139" t="s">
        <v>1860</v>
      </c>
      <c r="F425" s="139"/>
      <c r="G425" s="112" t="s">
        <v>1864</v>
      </c>
      <c r="H425" s="111">
        <v>0.29930000000000001</v>
      </c>
      <c r="I425" s="110">
        <v>15.97</v>
      </c>
      <c r="J425" s="110">
        <v>4.78</v>
      </c>
    </row>
    <row r="426" spans="1:10" x14ac:dyDescent="0.2">
      <c r="A426" s="109"/>
      <c r="B426" s="109"/>
      <c r="C426" s="109"/>
      <c r="D426" s="109"/>
      <c r="E426" s="109" t="s">
        <v>1858</v>
      </c>
      <c r="F426" s="108">
        <v>8.1</v>
      </c>
      <c r="G426" s="109" t="s">
        <v>1857</v>
      </c>
      <c r="H426" s="108">
        <v>0</v>
      </c>
      <c r="I426" s="109" t="s">
        <v>1856</v>
      </c>
      <c r="J426" s="108">
        <v>8.1</v>
      </c>
    </row>
    <row r="427" spans="1:10" ht="13.9" customHeight="1" x14ac:dyDescent="0.2">
      <c r="A427" s="109"/>
      <c r="B427" s="109"/>
      <c r="C427" s="109"/>
      <c r="D427" s="109"/>
      <c r="E427" s="109" t="s">
        <v>1855</v>
      </c>
      <c r="F427" s="108">
        <v>9.1278900000000007</v>
      </c>
      <c r="G427" s="109"/>
      <c r="H427" s="140" t="s">
        <v>1854</v>
      </c>
      <c r="I427" s="140"/>
      <c r="J427" s="108">
        <v>43.51</v>
      </c>
    </row>
    <row r="428" spans="1:10" ht="30" customHeight="1" thickBot="1" x14ac:dyDescent="0.25">
      <c r="A428" s="100"/>
      <c r="B428" s="100"/>
      <c r="C428" s="100"/>
      <c r="D428" s="100"/>
      <c r="E428" s="100"/>
      <c r="F428" s="100"/>
      <c r="G428" s="100" t="s">
        <v>1853</v>
      </c>
      <c r="H428" s="107">
        <v>12.33</v>
      </c>
      <c r="I428" s="100" t="s">
        <v>1852</v>
      </c>
      <c r="J428" s="102">
        <v>536.48</v>
      </c>
    </row>
    <row r="429" spans="1:10" ht="1.1499999999999999" customHeight="1" thickTop="1" x14ac:dyDescent="0.2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</row>
    <row r="430" spans="1:10" ht="18" customHeight="1" x14ac:dyDescent="0.2">
      <c r="A430" s="117" t="s">
        <v>124</v>
      </c>
      <c r="B430" s="126" t="s">
        <v>5</v>
      </c>
      <c r="C430" s="117" t="s">
        <v>6</v>
      </c>
      <c r="D430" s="117" t="s">
        <v>7</v>
      </c>
      <c r="E430" s="136" t="s">
        <v>1113</v>
      </c>
      <c r="F430" s="136"/>
      <c r="G430" s="7" t="s">
        <v>8</v>
      </c>
      <c r="H430" s="126" t="s">
        <v>9</v>
      </c>
      <c r="I430" s="126" t="s">
        <v>10</v>
      </c>
      <c r="J430" s="126" t="s">
        <v>12</v>
      </c>
    </row>
    <row r="431" spans="1:10" ht="24" customHeight="1" x14ac:dyDescent="0.2">
      <c r="A431" s="116" t="s">
        <v>1861</v>
      </c>
      <c r="B431" s="1" t="s">
        <v>94</v>
      </c>
      <c r="C431" s="116" t="s">
        <v>20</v>
      </c>
      <c r="D431" s="116" t="s">
        <v>95</v>
      </c>
      <c r="E431" s="137">
        <v>5</v>
      </c>
      <c r="F431" s="137"/>
      <c r="G431" s="2" t="s">
        <v>96</v>
      </c>
      <c r="H431" s="115">
        <v>1</v>
      </c>
      <c r="I431" s="61">
        <v>12.45</v>
      </c>
      <c r="J431" s="61">
        <v>12.45</v>
      </c>
    </row>
    <row r="432" spans="1:10" ht="24" customHeight="1" x14ac:dyDescent="0.2">
      <c r="A432" s="113" t="s">
        <v>1859</v>
      </c>
      <c r="B432" s="114" t="s">
        <v>2082</v>
      </c>
      <c r="C432" s="113" t="s">
        <v>20</v>
      </c>
      <c r="D432" s="113" t="s">
        <v>2081</v>
      </c>
      <c r="E432" s="139" t="s">
        <v>1369</v>
      </c>
      <c r="F432" s="139"/>
      <c r="G432" s="112" t="s">
        <v>96</v>
      </c>
      <c r="H432" s="111">
        <v>1.1000000000000001</v>
      </c>
      <c r="I432" s="110">
        <v>9.2200000000000006</v>
      </c>
      <c r="J432" s="110">
        <v>10.14</v>
      </c>
    </row>
    <row r="433" spans="1:10" ht="24" customHeight="1" x14ac:dyDescent="0.2">
      <c r="A433" s="113" t="s">
        <v>1859</v>
      </c>
      <c r="B433" s="114" t="s">
        <v>2074</v>
      </c>
      <c r="C433" s="113" t="s">
        <v>20</v>
      </c>
      <c r="D433" s="113" t="s">
        <v>2073</v>
      </c>
      <c r="E433" s="139" t="s">
        <v>1369</v>
      </c>
      <c r="F433" s="139"/>
      <c r="G433" s="112" t="s">
        <v>96</v>
      </c>
      <c r="H433" s="111">
        <v>0.02</v>
      </c>
      <c r="I433" s="110">
        <v>22.63</v>
      </c>
      <c r="J433" s="110">
        <v>0.45</v>
      </c>
    </row>
    <row r="434" spans="1:10" ht="24" customHeight="1" x14ac:dyDescent="0.2">
      <c r="A434" s="113" t="s">
        <v>1859</v>
      </c>
      <c r="B434" s="114" t="s">
        <v>2064</v>
      </c>
      <c r="C434" s="113" t="s">
        <v>20</v>
      </c>
      <c r="D434" s="113" t="s">
        <v>2063</v>
      </c>
      <c r="E434" s="139" t="s">
        <v>1860</v>
      </c>
      <c r="F434" s="139"/>
      <c r="G434" s="112" t="s">
        <v>1864</v>
      </c>
      <c r="H434" s="111">
        <v>7.0000000000000007E-2</v>
      </c>
      <c r="I434" s="110">
        <v>15.97</v>
      </c>
      <c r="J434" s="110">
        <v>1.1200000000000001</v>
      </c>
    </row>
    <row r="435" spans="1:10" ht="24" customHeight="1" x14ac:dyDescent="0.2">
      <c r="A435" s="113" t="s">
        <v>1859</v>
      </c>
      <c r="B435" s="114" t="s">
        <v>1951</v>
      </c>
      <c r="C435" s="113" t="s">
        <v>20</v>
      </c>
      <c r="D435" s="113" t="s">
        <v>1950</v>
      </c>
      <c r="E435" s="139" t="s">
        <v>1860</v>
      </c>
      <c r="F435" s="139"/>
      <c r="G435" s="112" t="s">
        <v>1864</v>
      </c>
      <c r="H435" s="111">
        <v>7.0000000000000007E-2</v>
      </c>
      <c r="I435" s="110">
        <v>10.62</v>
      </c>
      <c r="J435" s="110">
        <v>0.74</v>
      </c>
    </row>
    <row r="436" spans="1:10" x14ac:dyDescent="0.2">
      <c r="A436" s="109"/>
      <c r="B436" s="109"/>
      <c r="C436" s="109"/>
      <c r="D436" s="109"/>
      <c r="E436" s="109" t="s">
        <v>1858</v>
      </c>
      <c r="F436" s="108">
        <v>1.86</v>
      </c>
      <c r="G436" s="109" t="s">
        <v>1857</v>
      </c>
      <c r="H436" s="108">
        <v>0</v>
      </c>
      <c r="I436" s="109" t="s">
        <v>1856</v>
      </c>
      <c r="J436" s="108">
        <v>1.86</v>
      </c>
    </row>
    <row r="437" spans="1:10" ht="13.9" customHeight="1" x14ac:dyDescent="0.2">
      <c r="A437" s="109"/>
      <c r="B437" s="109"/>
      <c r="C437" s="109"/>
      <c r="D437" s="109"/>
      <c r="E437" s="109" t="s">
        <v>1855</v>
      </c>
      <c r="F437" s="108">
        <v>3.3054749999999999</v>
      </c>
      <c r="G437" s="109"/>
      <c r="H437" s="140" t="s">
        <v>1854</v>
      </c>
      <c r="I437" s="140"/>
      <c r="J437" s="108">
        <v>15.76</v>
      </c>
    </row>
    <row r="438" spans="1:10" ht="30" customHeight="1" thickBot="1" x14ac:dyDescent="0.25">
      <c r="A438" s="100"/>
      <c r="B438" s="100"/>
      <c r="C438" s="100"/>
      <c r="D438" s="100"/>
      <c r="E438" s="100"/>
      <c r="F438" s="100"/>
      <c r="G438" s="100" t="s">
        <v>1853</v>
      </c>
      <c r="H438" s="107">
        <v>9.1999999999999993</v>
      </c>
      <c r="I438" s="100" t="s">
        <v>1852</v>
      </c>
      <c r="J438" s="102">
        <v>144.99</v>
      </c>
    </row>
    <row r="439" spans="1:10" ht="1.1499999999999999" customHeight="1" thickTop="1" x14ac:dyDescent="0.2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</row>
    <row r="440" spans="1:10" ht="18" customHeight="1" x14ac:dyDescent="0.2">
      <c r="A440" s="117" t="s">
        <v>125</v>
      </c>
      <c r="B440" s="126" t="s">
        <v>5</v>
      </c>
      <c r="C440" s="117" t="s">
        <v>6</v>
      </c>
      <c r="D440" s="117" t="s">
        <v>7</v>
      </c>
      <c r="E440" s="136" t="s">
        <v>1113</v>
      </c>
      <c r="F440" s="136"/>
      <c r="G440" s="7" t="s">
        <v>8</v>
      </c>
      <c r="H440" s="126" t="s">
        <v>9</v>
      </c>
      <c r="I440" s="126" t="s">
        <v>10</v>
      </c>
      <c r="J440" s="126" t="s">
        <v>12</v>
      </c>
    </row>
    <row r="441" spans="1:10" ht="24" customHeight="1" x14ac:dyDescent="0.2">
      <c r="A441" s="116" t="s">
        <v>1861</v>
      </c>
      <c r="B441" s="1" t="s">
        <v>126</v>
      </c>
      <c r="C441" s="116" t="s">
        <v>20</v>
      </c>
      <c r="D441" s="116" t="s">
        <v>127</v>
      </c>
      <c r="E441" s="137">
        <v>5</v>
      </c>
      <c r="F441" s="137"/>
      <c r="G441" s="2" t="s">
        <v>96</v>
      </c>
      <c r="H441" s="115">
        <v>1</v>
      </c>
      <c r="I441" s="61">
        <v>11.25</v>
      </c>
      <c r="J441" s="61">
        <v>11.25</v>
      </c>
    </row>
    <row r="442" spans="1:10" ht="24" customHeight="1" x14ac:dyDescent="0.2">
      <c r="A442" s="113" t="s">
        <v>1859</v>
      </c>
      <c r="B442" s="114" t="s">
        <v>2243</v>
      </c>
      <c r="C442" s="113" t="s">
        <v>20</v>
      </c>
      <c r="D442" s="113" t="s">
        <v>2242</v>
      </c>
      <c r="E442" s="139" t="s">
        <v>1369</v>
      </c>
      <c r="F442" s="139"/>
      <c r="G442" s="112" t="s">
        <v>96</v>
      </c>
      <c r="H442" s="111">
        <v>1.1000000000000001</v>
      </c>
      <c r="I442" s="110">
        <v>7.88</v>
      </c>
      <c r="J442" s="110">
        <v>8.67</v>
      </c>
    </row>
    <row r="443" spans="1:10" ht="24" customHeight="1" x14ac:dyDescent="0.2">
      <c r="A443" s="113" t="s">
        <v>1859</v>
      </c>
      <c r="B443" s="114" t="s">
        <v>2074</v>
      </c>
      <c r="C443" s="113" t="s">
        <v>20</v>
      </c>
      <c r="D443" s="113" t="s">
        <v>2073</v>
      </c>
      <c r="E443" s="139" t="s">
        <v>1369</v>
      </c>
      <c r="F443" s="139"/>
      <c r="G443" s="112" t="s">
        <v>96</v>
      </c>
      <c r="H443" s="111">
        <v>0.02</v>
      </c>
      <c r="I443" s="110">
        <v>22.63</v>
      </c>
      <c r="J443" s="110">
        <v>0.45</v>
      </c>
    </row>
    <row r="444" spans="1:10" ht="24" customHeight="1" x14ac:dyDescent="0.2">
      <c r="A444" s="113" t="s">
        <v>1859</v>
      </c>
      <c r="B444" s="114" t="s">
        <v>2064</v>
      </c>
      <c r="C444" s="113" t="s">
        <v>20</v>
      </c>
      <c r="D444" s="113" t="s">
        <v>2063</v>
      </c>
      <c r="E444" s="139" t="s">
        <v>1860</v>
      </c>
      <c r="F444" s="139"/>
      <c r="G444" s="112" t="s">
        <v>1864</v>
      </c>
      <c r="H444" s="111">
        <v>0.08</v>
      </c>
      <c r="I444" s="110">
        <v>15.97</v>
      </c>
      <c r="J444" s="110">
        <v>1.28</v>
      </c>
    </row>
    <row r="445" spans="1:10" ht="24" customHeight="1" x14ac:dyDescent="0.2">
      <c r="A445" s="113" t="s">
        <v>1859</v>
      </c>
      <c r="B445" s="114" t="s">
        <v>1951</v>
      </c>
      <c r="C445" s="113" t="s">
        <v>20</v>
      </c>
      <c r="D445" s="113" t="s">
        <v>1950</v>
      </c>
      <c r="E445" s="139" t="s">
        <v>1860</v>
      </c>
      <c r="F445" s="139"/>
      <c r="G445" s="112" t="s">
        <v>1864</v>
      </c>
      <c r="H445" s="111">
        <v>0.08</v>
      </c>
      <c r="I445" s="110">
        <v>10.62</v>
      </c>
      <c r="J445" s="110">
        <v>0.85</v>
      </c>
    </row>
    <row r="446" spans="1:10" x14ac:dyDescent="0.2">
      <c r="A446" s="109"/>
      <c r="B446" s="109"/>
      <c r="C446" s="109"/>
      <c r="D446" s="109"/>
      <c r="E446" s="109" t="s">
        <v>1858</v>
      </c>
      <c r="F446" s="108">
        <v>2.13</v>
      </c>
      <c r="G446" s="109" t="s">
        <v>1857</v>
      </c>
      <c r="H446" s="108">
        <v>0</v>
      </c>
      <c r="I446" s="109" t="s">
        <v>1856</v>
      </c>
      <c r="J446" s="108">
        <v>2.13</v>
      </c>
    </row>
    <row r="447" spans="1:10" ht="13.9" customHeight="1" x14ac:dyDescent="0.2">
      <c r="A447" s="109"/>
      <c r="B447" s="109"/>
      <c r="C447" s="109"/>
      <c r="D447" s="109"/>
      <c r="E447" s="109" t="s">
        <v>1855</v>
      </c>
      <c r="F447" s="108">
        <v>2.9868749999999999</v>
      </c>
      <c r="G447" s="109"/>
      <c r="H447" s="140" t="s">
        <v>1854</v>
      </c>
      <c r="I447" s="140"/>
      <c r="J447" s="108">
        <v>14.24</v>
      </c>
    </row>
    <row r="448" spans="1:10" ht="30" customHeight="1" thickBot="1" x14ac:dyDescent="0.25">
      <c r="A448" s="100"/>
      <c r="B448" s="100"/>
      <c r="C448" s="100"/>
      <c r="D448" s="100"/>
      <c r="E448" s="100"/>
      <c r="F448" s="100"/>
      <c r="G448" s="100" t="s">
        <v>1853</v>
      </c>
      <c r="H448" s="107">
        <v>19.7</v>
      </c>
      <c r="I448" s="100" t="s">
        <v>1852</v>
      </c>
      <c r="J448" s="102">
        <v>280.52999999999997</v>
      </c>
    </row>
    <row r="449" spans="1:10" ht="1.1499999999999999" customHeight="1" thickTop="1" x14ac:dyDescent="0.2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</row>
    <row r="450" spans="1:10" ht="18" customHeight="1" x14ac:dyDescent="0.2">
      <c r="A450" s="117" t="s">
        <v>128</v>
      </c>
      <c r="B450" s="126" t="s">
        <v>5</v>
      </c>
      <c r="C450" s="117" t="s">
        <v>6</v>
      </c>
      <c r="D450" s="117" t="s">
        <v>7</v>
      </c>
      <c r="E450" s="136" t="s">
        <v>1113</v>
      </c>
      <c r="F450" s="136"/>
      <c r="G450" s="7" t="s">
        <v>8</v>
      </c>
      <c r="H450" s="126" t="s">
        <v>9</v>
      </c>
      <c r="I450" s="126" t="s">
        <v>10</v>
      </c>
      <c r="J450" s="126" t="s">
        <v>12</v>
      </c>
    </row>
    <row r="451" spans="1:10" ht="24" customHeight="1" x14ac:dyDescent="0.2">
      <c r="A451" s="116" t="s">
        <v>1861</v>
      </c>
      <c r="B451" s="1" t="s">
        <v>98</v>
      </c>
      <c r="C451" s="116" t="s">
        <v>20</v>
      </c>
      <c r="D451" s="116" t="s">
        <v>99</v>
      </c>
      <c r="E451" s="137">
        <v>5</v>
      </c>
      <c r="F451" s="137"/>
      <c r="G451" s="2" t="s">
        <v>96</v>
      </c>
      <c r="H451" s="115">
        <v>1</v>
      </c>
      <c r="I451" s="61">
        <v>10.92</v>
      </c>
      <c r="J451" s="61">
        <v>10.92</v>
      </c>
    </row>
    <row r="452" spans="1:10" ht="24" customHeight="1" x14ac:dyDescent="0.2">
      <c r="A452" s="113" t="s">
        <v>1859</v>
      </c>
      <c r="B452" s="114" t="s">
        <v>2074</v>
      </c>
      <c r="C452" s="113" t="s">
        <v>20</v>
      </c>
      <c r="D452" s="113" t="s">
        <v>2073</v>
      </c>
      <c r="E452" s="139" t="s">
        <v>1369</v>
      </c>
      <c r="F452" s="139"/>
      <c r="G452" s="112" t="s">
        <v>96</v>
      </c>
      <c r="H452" s="111">
        <v>0.02</v>
      </c>
      <c r="I452" s="110">
        <v>22.63</v>
      </c>
      <c r="J452" s="110">
        <v>0.45</v>
      </c>
    </row>
    <row r="453" spans="1:10" ht="24" customHeight="1" x14ac:dyDescent="0.2">
      <c r="A453" s="113" t="s">
        <v>1859</v>
      </c>
      <c r="B453" s="114" t="s">
        <v>2624</v>
      </c>
      <c r="C453" s="113" t="s">
        <v>20</v>
      </c>
      <c r="D453" s="113" t="s">
        <v>2623</v>
      </c>
      <c r="E453" s="139" t="s">
        <v>1369</v>
      </c>
      <c r="F453" s="139"/>
      <c r="G453" s="112" t="s">
        <v>96</v>
      </c>
      <c r="H453" s="111">
        <v>1.1000000000000001</v>
      </c>
      <c r="I453" s="110">
        <v>7.58</v>
      </c>
      <c r="J453" s="110">
        <v>8.34</v>
      </c>
    </row>
    <row r="454" spans="1:10" ht="24" customHeight="1" x14ac:dyDescent="0.2">
      <c r="A454" s="113" t="s">
        <v>1859</v>
      </c>
      <c r="B454" s="114" t="s">
        <v>1951</v>
      </c>
      <c r="C454" s="113" t="s">
        <v>20</v>
      </c>
      <c r="D454" s="113" t="s">
        <v>1950</v>
      </c>
      <c r="E454" s="139" t="s">
        <v>1860</v>
      </c>
      <c r="F454" s="139"/>
      <c r="G454" s="112" t="s">
        <v>1864</v>
      </c>
      <c r="H454" s="111">
        <v>0.08</v>
      </c>
      <c r="I454" s="110">
        <v>10.62</v>
      </c>
      <c r="J454" s="110">
        <v>0.85</v>
      </c>
    </row>
    <row r="455" spans="1:10" ht="24" customHeight="1" x14ac:dyDescent="0.2">
      <c r="A455" s="113" t="s">
        <v>1859</v>
      </c>
      <c r="B455" s="114" t="s">
        <v>2064</v>
      </c>
      <c r="C455" s="113" t="s">
        <v>20</v>
      </c>
      <c r="D455" s="113" t="s">
        <v>2063</v>
      </c>
      <c r="E455" s="139" t="s">
        <v>1860</v>
      </c>
      <c r="F455" s="139"/>
      <c r="G455" s="112" t="s">
        <v>1864</v>
      </c>
      <c r="H455" s="111">
        <v>0.08</v>
      </c>
      <c r="I455" s="110">
        <v>15.97</v>
      </c>
      <c r="J455" s="110">
        <v>1.28</v>
      </c>
    </row>
    <row r="456" spans="1:10" x14ac:dyDescent="0.2">
      <c r="A456" s="109"/>
      <c r="B456" s="109"/>
      <c r="C456" s="109"/>
      <c r="D456" s="109"/>
      <c r="E456" s="109" t="s">
        <v>1858</v>
      </c>
      <c r="F456" s="108">
        <v>2.13</v>
      </c>
      <c r="G456" s="109" t="s">
        <v>1857</v>
      </c>
      <c r="H456" s="108">
        <v>0</v>
      </c>
      <c r="I456" s="109" t="s">
        <v>1856</v>
      </c>
      <c r="J456" s="108">
        <v>2.13</v>
      </c>
    </row>
    <row r="457" spans="1:10" ht="13.9" customHeight="1" x14ac:dyDescent="0.2">
      <c r="A457" s="109"/>
      <c r="B457" s="109"/>
      <c r="C457" s="109"/>
      <c r="D457" s="109"/>
      <c r="E457" s="109" t="s">
        <v>1855</v>
      </c>
      <c r="F457" s="108">
        <v>2.8992599999999999</v>
      </c>
      <c r="G457" s="109"/>
      <c r="H457" s="140" t="s">
        <v>1854</v>
      </c>
      <c r="I457" s="140"/>
      <c r="J457" s="108">
        <v>13.82</v>
      </c>
    </row>
    <row r="458" spans="1:10" ht="30" customHeight="1" thickBot="1" x14ac:dyDescent="0.25">
      <c r="A458" s="100"/>
      <c r="B458" s="100"/>
      <c r="C458" s="100"/>
      <c r="D458" s="100"/>
      <c r="E458" s="100"/>
      <c r="F458" s="100"/>
      <c r="G458" s="100" t="s">
        <v>1853</v>
      </c>
      <c r="H458" s="107">
        <v>23.5</v>
      </c>
      <c r="I458" s="100" t="s">
        <v>1852</v>
      </c>
      <c r="J458" s="102">
        <v>324.77</v>
      </c>
    </row>
    <row r="459" spans="1:10" ht="1.1499999999999999" customHeight="1" thickTop="1" x14ac:dyDescent="0.2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</row>
    <row r="460" spans="1:10" ht="18" customHeight="1" x14ac:dyDescent="0.2">
      <c r="A460" s="117" t="s">
        <v>129</v>
      </c>
      <c r="B460" s="126" t="s">
        <v>5</v>
      </c>
      <c r="C460" s="117" t="s">
        <v>6</v>
      </c>
      <c r="D460" s="117" t="s">
        <v>7</v>
      </c>
      <c r="E460" s="136" t="s">
        <v>1113</v>
      </c>
      <c r="F460" s="136"/>
      <c r="G460" s="7" t="s">
        <v>8</v>
      </c>
      <c r="H460" s="126" t="s">
        <v>9</v>
      </c>
      <c r="I460" s="126" t="s">
        <v>10</v>
      </c>
      <c r="J460" s="126" t="s">
        <v>12</v>
      </c>
    </row>
    <row r="461" spans="1:10" ht="24" customHeight="1" x14ac:dyDescent="0.2">
      <c r="A461" s="116" t="s">
        <v>1861</v>
      </c>
      <c r="B461" s="1" t="s">
        <v>130</v>
      </c>
      <c r="C461" s="116" t="s">
        <v>20</v>
      </c>
      <c r="D461" s="116" t="s">
        <v>131</v>
      </c>
      <c r="E461" s="137">
        <v>5</v>
      </c>
      <c r="F461" s="137"/>
      <c r="G461" s="2" t="s">
        <v>49</v>
      </c>
      <c r="H461" s="115">
        <v>1</v>
      </c>
      <c r="I461" s="61">
        <v>489.81</v>
      </c>
      <c r="J461" s="61">
        <v>489.81</v>
      </c>
    </row>
    <row r="462" spans="1:10" ht="24" customHeight="1" x14ac:dyDescent="0.2">
      <c r="A462" s="113" t="s">
        <v>1859</v>
      </c>
      <c r="B462" s="114" t="s">
        <v>2640</v>
      </c>
      <c r="C462" s="113" t="s">
        <v>20</v>
      </c>
      <c r="D462" s="113" t="s">
        <v>2639</v>
      </c>
      <c r="E462" s="139" t="s">
        <v>1369</v>
      </c>
      <c r="F462" s="139"/>
      <c r="G462" s="112" t="s">
        <v>49</v>
      </c>
      <c r="H462" s="111">
        <v>1.02</v>
      </c>
      <c r="I462" s="110">
        <v>480.21</v>
      </c>
      <c r="J462" s="110">
        <v>489.81</v>
      </c>
    </row>
    <row r="463" spans="1:10" x14ac:dyDescent="0.2">
      <c r="A463" s="109"/>
      <c r="B463" s="109"/>
      <c r="C463" s="109"/>
      <c r="D463" s="109"/>
      <c r="E463" s="109" t="s">
        <v>1858</v>
      </c>
      <c r="F463" s="108">
        <v>0</v>
      </c>
      <c r="G463" s="109" t="s">
        <v>1857</v>
      </c>
      <c r="H463" s="108">
        <v>0</v>
      </c>
      <c r="I463" s="109" t="s">
        <v>1856</v>
      </c>
      <c r="J463" s="108">
        <v>0</v>
      </c>
    </row>
    <row r="464" spans="1:10" ht="13.9" customHeight="1" x14ac:dyDescent="0.2">
      <c r="A464" s="109"/>
      <c r="B464" s="109"/>
      <c r="C464" s="109"/>
      <c r="D464" s="109"/>
      <c r="E464" s="109" t="s">
        <v>1855</v>
      </c>
      <c r="F464" s="108">
        <v>130.044555</v>
      </c>
      <c r="G464" s="109"/>
      <c r="H464" s="140" t="s">
        <v>1854</v>
      </c>
      <c r="I464" s="140"/>
      <c r="J464" s="108">
        <v>619.85</v>
      </c>
    </row>
    <row r="465" spans="1:10" ht="30" customHeight="1" thickBot="1" x14ac:dyDescent="0.25">
      <c r="A465" s="100"/>
      <c r="B465" s="100"/>
      <c r="C465" s="100"/>
      <c r="D465" s="100"/>
      <c r="E465" s="100"/>
      <c r="F465" s="100"/>
      <c r="G465" s="100" t="s">
        <v>1853</v>
      </c>
      <c r="H465" s="107">
        <v>0.78</v>
      </c>
      <c r="I465" s="100" t="s">
        <v>1852</v>
      </c>
      <c r="J465" s="102">
        <v>483.48</v>
      </c>
    </row>
    <row r="466" spans="1:10" ht="1.1499999999999999" customHeight="1" thickTop="1" x14ac:dyDescent="0.2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</row>
    <row r="467" spans="1:10" ht="18" customHeight="1" x14ac:dyDescent="0.2">
      <c r="A467" s="117" t="s">
        <v>132</v>
      </c>
      <c r="B467" s="126" t="s">
        <v>5</v>
      </c>
      <c r="C467" s="117" t="s">
        <v>6</v>
      </c>
      <c r="D467" s="117" t="s">
        <v>7</v>
      </c>
      <c r="E467" s="136" t="s">
        <v>1113</v>
      </c>
      <c r="F467" s="136"/>
      <c r="G467" s="7" t="s">
        <v>8</v>
      </c>
      <c r="H467" s="126" t="s">
        <v>9</v>
      </c>
      <c r="I467" s="126" t="s">
        <v>10</v>
      </c>
      <c r="J467" s="126" t="s">
        <v>12</v>
      </c>
    </row>
    <row r="468" spans="1:10" ht="24" customHeight="1" x14ac:dyDescent="0.2">
      <c r="A468" s="116" t="s">
        <v>1861</v>
      </c>
      <c r="B468" s="1" t="s">
        <v>116</v>
      </c>
      <c r="C468" s="116" t="s">
        <v>20</v>
      </c>
      <c r="D468" s="116" t="s">
        <v>117</v>
      </c>
      <c r="E468" s="137">
        <v>5</v>
      </c>
      <c r="F468" s="137"/>
      <c r="G468" s="2" t="s">
        <v>49</v>
      </c>
      <c r="H468" s="115">
        <v>1</v>
      </c>
      <c r="I468" s="61">
        <v>30.93</v>
      </c>
      <c r="J468" s="61">
        <v>30.93</v>
      </c>
    </row>
    <row r="469" spans="1:10" ht="36" customHeight="1" x14ac:dyDescent="0.2">
      <c r="A469" s="113" t="s">
        <v>1859</v>
      </c>
      <c r="B469" s="114" t="s">
        <v>2638</v>
      </c>
      <c r="C469" s="113" t="s">
        <v>20</v>
      </c>
      <c r="D469" s="113" t="s">
        <v>2637</v>
      </c>
      <c r="E469" s="139" t="s">
        <v>1369</v>
      </c>
      <c r="F469" s="139"/>
      <c r="G469" s="112" t="s">
        <v>246</v>
      </c>
      <c r="H469" s="111">
        <v>4.6800000000000001E-2</v>
      </c>
      <c r="I469" s="110">
        <v>2</v>
      </c>
      <c r="J469" s="110">
        <v>0.09</v>
      </c>
    </row>
    <row r="470" spans="1:10" ht="24" customHeight="1" x14ac:dyDescent="0.2">
      <c r="A470" s="113" t="s">
        <v>1859</v>
      </c>
      <c r="B470" s="114" t="s">
        <v>1872</v>
      </c>
      <c r="C470" s="113" t="s">
        <v>20</v>
      </c>
      <c r="D470" s="113" t="s">
        <v>1871</v>
      </c>
      <c r="E470" s="139" t="s">
        <v>1860</v>
      </c>
      <c r="F470" s="139"/>
      <c r="G470" s="112" t="s">
        <v>1864</v>
      </c>
      <c r="H470" s="111">
        <v>1.9348000000000001</v>
      </c>
      <c r="I470" s="110">
        <v>10.62</v>
      </c>
      <c r="J470" s="110">
        <v>20.55</v>
      </c>
    </row>
    <row r="471" spans="1:10" ht="24" customHeight="1" x14ac:dyDescent="0.2">
      <c r="A471" s="113" t="s">
        <v>1859</v>
      </c>
      <c r="B471" s="114" t="s">
        <v>1949</v>
      </c>
      <c r="C471" s="113" t="s">
        <v>20</v>
      </c>
      <c r="D471" s="113" t="s">
        <v>1948</v>
      </c>
      <c r="E471" s="139" t="s">
        <v>1860</v>
      </c>
      <c r="F471" s="139"/>
      <c r="G471" s="112" t="s">
        <v>1864</v>
      </c>
      <c r="H471" s="111">
        <v>0.64459999999999995</v>
      </c>
      <c r="I471" s="110">
        <v>15.97</v>
      </c>
      <c r="J471" s="110">
        <v>10.29</v>
      </c>
    </row>
    <row r="472" spans="1:10" x14ac:dyDescent="0.2">
      <c r="A472" s="109"/>
      <c r="B472" s="109"/>
      <c r="C472" s="109"/>
      <c r="D472" s="109"/>
      <c r="E472" s="109" t="s">
        <v>1858</v>
      </c>
      <c r="F472" s="108">
        <v>30.84</v>
      </c>
      <c r="G472" s="109" t="s">
        <v>1857</v>
      </c>
      <c r="H472" s="108">
        <v>0</v>
      </c>
      <c r="I472" s="109" t="s">
        <v>1856</v>
      </c>
      <c r="J472" s="108">
        <v>30.84</v>
      </c>
    </row>
    <row r="473" spans="1:10" ht="13.9" customHeight="1" x14ac:dyDescent="0.2">
      <c r="A473" s="109"/>
      <c r="B473" s="109"/>
      <c r="C473" s="109"/>
      <c r="D473" s="109"/>
      <c r="E473" s="109" t="s">
        <v>1855</v>
      </c>
      <c r="F473" s="108">
        <v>8.2119149999999994</v>
      </c>
      <c r="G473" s="109"/>
      <c r="H473" s="140" t="s">
        <v>1854</v>
      </c>
      <c r="I473" s="140"/>
      <c r="J473" s="108">
        <v>39.14</v>
      </c>
    </row>
    <row r="474" spans="1:10" ht="30" customHeight="1" thickBot="1" x14ac:dyDescent="0.25">
      <c r="A474" s="100"/>
      <c r="B474" s="100"/>
      <c r="C474" s="100"/>
      <c r="D474" s="100"/>
      <c r="E474" s="100"/>
      <c r="F474" s="100"/>
      <c r="G474" s="100" t="s">
        <v>1853</v>
      </c>
      <c r="H474" s="107">
        <v>0.78</v>
      </c>
      <c r="I474" s="100" t="s">
        <v>1852</v>
      </c>
      <c r="J474" s="102">
        <v>30.53</v>
      </c>
    </row>
    <row r="475" spans="1:10" ht="1.1499999999999999" customHeight="1" thickTop="1" x14ac:dyDescent="0.2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</row>
    <row r="476" spans="1:10" ht="24" customHeight="1" x14ac:dyDescent="0.2">
      <c r="A476" s="123" t="s">
        <v>133</v>
      </c>
      <c r="B476" s="123"/>
      <c r="C476" s="123"/>
      <c r="D476" s="123" t="s">
        <v>134</v>
      </c>
      <c r="E476" s="123"/>
      <c r="F476" s="142"/>
      <c r="G476" s="142"/>
      <c r="H476" s="3"/>
      <c r="I476" s="123"/>
      <c r="J476" s="63">
        <v>5409.49</v>
      </c>
    </row>
    <row r="477" spans="1:10" ht="18" customHeight="1" x14ac:dyDescent="0.2">
      <c r="A477" s="117"/>
      <c r="B477" s="126" t="s">
        <v>5</v>
      </c>
      <c r="C477" s="117" t="s">
        <v>6</v>
      </c>
      <c r="D477" s="117" t="s">
        <v>7</v>
      </c>
      <c r="E477" s="136" t="s">
        <v>1113</v>
      </c>
      <c r="F477" s="136"/>
      <c r="G477" s="7" t="s">
        <v>8</v>
      </c>
      <c r="H477" s="126" t="s">
        <v>9</v>
      </c>
      <c r="I477" s="126" t="s">
        <v>10</v>
      </c>
      <c r="J477" s="126" t="s">
        <v>12</v>
      </c>
    </row>
    <row r="478" spans="1:10" ht="24" customHeight="1" x14ac:dyDescent="0.2">
      <c r="A478" s="116" t="s">
        <v>1859</v>
      </c>
      <c r="B478" s="1" t="s">
        <v>136</v>
      </c>
      <c r="C478" s="116" t="s">
        <v>25</v>
      </c>
      <c r="D478" s="116" t="s">
        <v>137</v>
      </c>
      <c r="E478" s="137" t="s">
        <v>1369</v>
      </c>
      <c r="F478" s="137"/>
      <c r="G478" s="2" t="s">
        <v>49</v>
      </c>
      <c r="H478" s="115">
        <v>1</v>
      </c>
      <c r="I478" s="61">
        <v>52.19</v>
      </c>
      <c r="J478" s="61">
        <v>52.19</v>
      </c>
    </row>
    <row r="479" spans="1:10" x14ac:dyDescent="0.2">
      <c r="A479" s="109"/>
      <c r="B479" s="109"/>
      <c r="C479" s="109"/>
      <c r="D479" s="109"/>
      <c r="E479" s="109" t="s">
        <v>1858</v>
      </c>
      <c r="F479" s="108">
        <v>0</v>
      </c>
      <c r="G479" s="109" t="s">
        <v>1857</v>
      </c>
      <c r="H479" s="108">
        <v>0</v>
      </c>
      <c r="I479" s="109" t="s">
        <v>1856</v>
      </c>
      <c r="J479" s="108">
        <v>0</v>
      </c>
    </row>
    <row r="480" spans="1:10" ht="13.9" customHeight="1" x14ac:dyDescent="0.2">
      <c r="A480" s="109"/>
      <c r="B480" s="109"/>
      <c r="C480" s="109"/>
      <c r="D480" s="109"/>
      <c r="E480" s="109" t="s">
        <v>1855</v>
      </c>
      <c r="F480" s="108">
        <v>13.86</v>
      </c>
      <c r="G480" s="109"/>
      <c r="H480" s="140" t="s">
        <v>1854</v>
      </c>
      <c r="I480" s="140"/>
      <c r="J480" s="108">
        <v>66.05</v>
      </c>
    </row>
    <row r="481" spans="1:10" ht="30" customHeight="1" thickBot="1" x14ac:dyDescent="0.25">
      <c r="A481" s="100"/>
      <c r="B481" s="100"/>
      <c r="C481" s="100"/>
      <c r="D481" s="100"/>
      <c r="E481" s="100"/>
      <c r="F481" s="100"/>
      <c r="G481" s="100" t="s">
        <v>1853</v>
      </c>
      <c r="H481" s="107">
        <v>68.25</v>
      </c>
      <c r="I481" s="100" t="s">
        <v>1852</v>
      </c>
      <c r="J481" s="102">
        <v>4507.91</v>
      </c>
    </row>
    <row r="482" spans="1:10" ht="1.1499999999999999" customHeight="1" thickTop="1" x14ac:dyDescent="0.2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</row>
    <row r="483" spans="1:10" ht="18" customHeight="1" x14ac:dyDescent="0.2">
      <c r="A483" s="117" t="s">
        <v>138</v>
      </c>
      <c r="B483" s="126" t="s">
        <v>5</v>
      </c>
      <c r="C483" s="117" t="s">
        <v>6</v>
      </c>
      <c r="D483" s="117" t="s">
        <v>7</v>
      </c>
      <c r="E483" s="136" t="s">
        <v>1113</v>
      </c>
      <c r="F483" s="136"/>
      <c r="G483" s="7" t="s">
        <v>8</v>
      </c>
      <c r="H483" s="126" t="s">
        <v>9</v>
      </c>
      <c r="I483" s="126" t="s">
        <v>10</v>
      </c>
      <c r="J483" s="126" t="s">
        <v>12</v>
      </c>
    </row>
    <row r="484" spans="1:10" ht="36" customHeight="1" x14ac:dyDescent="0.2">
      <c r="A484" s="116" t="s">
        <v>1861</v>
      </c>
      <c r="B484" s="1" t="s">
        <v>139</v>
      </c>
      <c r="C484" s="116" t="s">
        <v>25</v>
      </c>
      <c r="D484" s="116" t="s">
        <v>140</v>
      </c>
      <c r="E484" s="137" t="s">
        <v>1413</v>
      </c>
      <c r="F484" s="137"/>
      <c r="G484" s="2" t="s">
        <v>49</v>
      </c>
      <c r="H484" s="115">
        <v>1</v>
      </c>
      <c r="I484" s="61">
        <v>10.44</v>
      </c>
      <c r="J484" s="61">
        <v>10.44</v>
      </c>
    </row>
    <row r="485" spans="1:10" ht="36" customHeight="1" x14ac:dyDescent="0.2">
      <c r="A485" s="121" t="s">
        <v>1888</v>
      </c>
      <c r="B485" s="122" t="s">
        <v>2658</v>
      </c>
      <c r="C485" s="121" t="s">
        <v>25</v>
      </c>
      <c r="D485" s="121" t="s">
        <v>2657</v>
      </c>
      <c r="E485" s="138" t="s">
        <v>1908</v>
      </c>
      <c r="F485" s="138"/>
      <c r="G485" s="120" t="s">
        <v>1911</v>
      </c>
      <c r="H485" s="119">
        <v>6.0000000000000001E-3</v>
      </c>
      <c r="I485" s="118">
        <v>233.49</v>
      </c>
      <c r="J485" s="118">
        <v>1.4</v>
      </c>
    </row>
    <row r="486" spans="1:10" ht="60" customHeight="1" x14ac:dyDescent="0.2">
      <c r="A486" s="121" t="s">
        <v>1888</v>
      </c>
      <c r="B486" s="122" t="s">
        <v>2656</v>
      </c>
      <c r="C486" s="121" t="s">
        <v>25</v>
      </c>
      <c r="D486" s="121" t="s">
        <v>2655</v>
      </c>
      <c r="E486" s="138" t="s">
        <v>1908</v>
      </c>
      <c r="F486" s="138"/>
      <c r="G486" s="120" t="s">
        <v>1911</v>
      </c>
      <c r="H486" s="119">
        <v>4.0000000000000001E-3</v>
      </c>
      <c r="I486" s="118">
        <v>299</v>
      </c>
      <c r="J486" s="118">
        <v>1.2</v>
      </c>
    </row>
    <row r="487" spans="1:10" ht="48" customHeight="1" x14ac:dyDescent="0.2">
      <c r="A487" s="121" t="s">
        <v>1888</v>
      </c>
      <c r="B487" s="122" t="s">
        <v>2654</v>
      </c>
      <c r="C487" s="121" t="s">
        <v>25</v>
      </c>
      <c r="D487" s="121" t="s">
        <v>2653</v>
      </c>
      <c r="E487" s="138" t="s">
        <v>1908</v>
      </c>
      <c r="F487" s="138"/>
      <c r="G487" s="120" t="s">
        <v>1911</v>
      </c>
      <c r="H487" s="119">
        <v>0.01</v>
      </c>
      <c r="I487" s="118">
        <v>211.76</v>
      </c>
      <c r="J487" s="118">
        <v>2.12</v>
      </c>
    </row>
    <row r="488" spans="1:10" ht="48" customHeight="1" x14ac:dyDescent="0.2">
      <c r="A488" s="121" t="s">
        <v>1888</v>
      </c>
      <c r="B488" s="122" t="s">
        <v>2652</v>
      </c>
      <c r="C488" s="121" t="s">
        <v>25</v>
      </c>
      <c r="D488" s="121" t="s">
        <v>2651</v>
      </c>
      <c r="E488" s="138" t="s">
        <v>1908</v>
      </c>
      <c r="F488" s="138"/>
      <c r="G488" s="120" t="s">
        <v>1907</v>
      </c>
      <c r="H488" s="119">
        <v>2.3E-2</v>
      </c>
      <c r="I488" s="118">
        <v>61.47</v>
      </c>
      <c r="J488" s="118">
        <v>1.41</v>
      </c>
    </row>
    <row r="489" spans="1:10" ht="36" customHeight="1" x14ac:dyDescent="0.2">
      <c r="A489" s="121" t="s">
        <v>1888</v>
      </c>
      <c r="B489" s="122" t="s">
        <v>2650</v>
      </c>
      <c r="C489" s="121" t="s">
        <v>25</v>
      </c>
      <c r="D489" s="121" t="s">
        <v>2649</v>
      </c>
      <c r="E489" s="138" t="s">
        <v>1908</v>
      </c>
      <c r="F489" s="138"/>
      <c r="G489" s="120" t="s">
        <v>1907</v>
      </c>
      <c r="H489" s="119">
        <v>2.7E-2</v>
      </c>
      <c r="I489" s="118">
        <v>79.650000000000006</v>
      </c>
      <c r="J489" s="118">
        <v>2.15</v>
      </c>
    </row>
    <row r="490" spans="1:10" ht="60" customHeight="1" x14ac:dyDescent="0.2">
      <c r="A490" s="121" t="s">
        <v>1888</v>
      </c>
      <c r="B490" s="122" t="s">
        <v>2648</v>
      </c>
      <c r="C490" s="121" t="s">
        <v>25</v>
      </c>
      <c r="D490" s="121" t="s">
        <v>2647</v>
      </c>
      <c r="E490" s="138" t="s">
        <v>1908</v>
      </c>
      <c r="F490" s="138"/>
      <c r="G490" s="120" t="s">
        <v>1907</v>
      </c>
      <c r="H490" s="119">
        <v>0.03</v>
      </c>
      <c r="I490" s="118">
        <v>54.21</v>
      </c>
      <c r="J490" s="118">
        <v>1.63</v>
      </c>
    </row>
    <row r="491" spans="1:10" ht="24" customHeight="1" x14ac:dyDescent="0.2">
      <c r="A491" s="121" t="s">
        <v>1888</v>
      </c>
      <c r="B491" s="122" t="s">
        <v>1906</v>
      </c>
      <c r="C491" s="121" t="s">
        <v>25</v>
      </c>
      <c r="D491" s="121" t="s">
        <v>1905</v>
      </c>
      <c r="E491" s="138" t="s">
        <v>1902</v>
      </c>
      <c r="F491" s="138"/>
      <c r="G491" s="120" t="s">
        <v>61</v>
      </c>
      <c r="H491" s="119">
        <v>3.3000000000000002E-2</v>
      </c>
      <c r="I491" s="118">
        <v>16.059999999999999</v>
      </c>
      <c r="J491" s="118">
        <v>0.53</v>
      </c>
    </row>
    <row r="492" spans="1:10" x14ac:dyDescent="0.2">
      <c r="A492" s="109"/>
      <c r="B492" s="109"/>
      <c r="C492" s="109"/>
      <c r="D492" s="109"/>
      <c r="E492" s="109" t="s">
        <v>1858</v>
      </c>
      <c r="F492" s="108">
        <v>2.99</v>
      </c>
      <c r="G492" s="109" t="s">
        <v>1857</v>
      </c>
      <c r="H492" s="108">
        <v>0</v>
      </c>
      <c r="I492" s="109" t="s">
        <v>1856</v>
      </c>
      <c r="J492" s="108">
        <v>2.99</v>
      </c>
    </row>
    <row r="493" spans="1:10" ht="13.9" customHeight="1" x14ac:dyDescent="0.2">
      <c r="A493" s="109"/>
      <c r="B493" s="109"/>
      <c r="C493" s="109"/>
      <c r="D493" s="109"/>
      <c r="E493" s="109" t="s">
        <v>1855</v>
      </c>
      <c r="F493" s="108">
        <v>2.77182</v>
      </c>
      <c r="G493" s="109"/>
      <c r="H493" s="140" t="s">
        <v>1854</v>
      </c>
      <c r="I493" s="140"/>
      <c r="J493" s="108">
        <v>13.21</v>
      </c>
    </row>
    <row r="494" spans="1:10" ht="30" customHeight="1" thickBot="1" x14ac:dyDescent="0.25">
      <c r="A494" s="100"/>
      <c r="B494" s="100"/>
      <c r="C494" s="100"/>
      <c r="D494" s="100"/>
      <c r="E494" s="100"/>
      <c r="F494" s="100"/>
      <c r="G494" s="100" t="s">
        <v>1853</v>
      </c>
      <c r="H494" s="107">
        <v>68.25</v>
      </c>
      <c r="I494" s="100" t="s">
        <v>1852</v>
      </c>
      <c r="J494" s="102">
        <v>901.58</v>
      </c>
    </row>
    <row r="495" spans="1:10" ht="1.1499999999999999" customHeight="1" thickTop="1" x14ac:dyDescent="0.2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</row>
    <row r="496" spans="1:10" ht="24" customHeight="1" x14ac:dyDescent="0.2">
      <c r="A496" s="123" t="s">
        <v>141</v>
      </c>
      <c r="B496" s="123"/>
      <c r="C496" s="123"/>
      <c r="D496" s="123" t="s">
        <v>142</v>
      </c>
      <c r="E496" s="123"/>
      <c r="F496" s="142"/>
      <c r="G496" s="142"/>
      <c r="H496" s="3"/>
      <c r="I496" s="123"/>
      <c r="J496" s="63">
        <v>111318.41</v>
      </c>
    </row>
    <row r="497" spans="1:10" ht="24" customHeight="1" x14ac:dyDescent="0.2">
      <c r="A497" s="123" t="s">
        <v>143</v>
      </c>
      <c r="B497" s="123"/>
      <c r="C497" s="123"/>
      <c r="D497" s="123" t="s">
        <v>144</v>
      </c>
      <c r="E497" s="123"/>
      <c r="F497" s="142"/>
      <c r="G497" s="142"/>
      <c r="H497" s="3"/>
      <c r="I497" s="123"/>
      <c r="J497" s="63">
        <v>24317.77</v>
      </c>
    </row>
    <row r="498" spans="1:10" ht="18" customHeight="1" x14ac:dyDescent="0.2">
      <c r="A498" s="117" t="s">
        <v>145</v>
      </c>
      <c r="B498" s="126" t="s">
        <v>5</v>
      </c>
      <c r="C498" s="117" t="s">
        <v>6</v>
      </c>
      <c r="D498" s="117" t="s">
        <v>7</v>
      </c>
      <c r="E498" s="136" t="s">
        <v>1113</v>
      </c>
      <c r="F498" s="136"/>
      <c r="G498" s="7" t="s">
        <v>8</v>
      </c>
      <c r="H498" s="126" t="s">
        <v>9</v>
      </c>
      <c r="I498" s="126" t="s">
        <v>10</v>
      </c>
      <c r="J498" s="126" t="s">
        <v>12</v>
      </c>
    </row>
    <row r="499" spans="1:10" ht="24" customHeight="1" x14ac:dyDescent="0.2">
      <c r="A499" s="116" t="s">
        <v>1861</v>
      </c>
      <c r="B499" s="1" t="s">
        <v>146</v>
      </c>
      <c r="C499" s="116" t="s">
        <v>20</v>
      </c>
      <c r="D499" s="116" t="s">
        <v>147</v>
      </c>
      <c r="E499" s="137">
        <v>6</v>
      </c>
      <c r="F499" s="137"/>
      <c r="G499" s="2" t="s">
        <v>22</v>
      </c>
      <c r="H499" s="115">
        <v>1</v>
      </c>
      <c r="I499" s="61">
        <v>91.35</v>
      </c>
      <c r="J499" s="61">
        <v>91.35</v>
      </c>
    </row>
    <row r="500" spans="1:10" ht="24" customHeight="1" x14ac:dyDescent="0.2">
      <c r="A500" s="113" t="s">
        <v>1859</v>
      </c>
      <c r="B500" s="114" t="s">
        <v>2624</v>
      </c>
      <c r="C500" s="113" t="s">
        <v>20</v>
      </c>
      <c r="D500" s="113" t="s">
        <v>2623</v>
      </c>
      <c r="E500" s="139" t="s">
        <v>1369</v>
      </c>
      <c r="F500" s="139"/>
      <c r="G500" s="112" t="s">
        <v>96</v>
      </c>
      <c r="H500" s="111">
        <v>0.47199999999999998</v>
      </c>
      <c r="I500" s="110">
        <v>7.58</v>
      </c>
      <c r="J500" s="110">
        <v>3.58</v>
      </c>
    </row>
    <row r="501" spans="1:10" ht="24" customHeight="1" x14ac:dyDescent="0.2">
      <c r="A501" s="113" t="s">
        <v>1859</v>
      </c>
      <c r="B501" s="114" t="s">
        <v>2620</v>
      </c>
      <c r="C501" s="113" t="s">
        <v>20</v>
      </c>
      <c r="D501" s="113" t="s">
        <v>2619</v>
      </c>
      <c r="E501" s="139" t="s">
        <v>1369</v>
      </c>
      <c r="F501" s="139"/>
      <c r="G501" s="112" t="s">
        <v>96</v>
      </c>
      <c r="H501" s="111">
        <v>2.4E-2</v>
      </c>
      <c r="I501" s="110">
        <v>22.63</v>
      </c>
      <c r="J501" s="110">
        <v>0.54</v>
      </c>
    </row>
    <row r="502" spans="1:10" ht="24" customHeight="1" x14ac:dyDescent="0.2">
      <c r="A502" s="113" t="s">
        <v>1859</v>
      </c>
      <c r="B502" s="114" t="s">
        <v>2616</v>
      </c>
      <c r="C502" s="113" t="s">
        <v>20</v>
      </c>
      <c r="D502" s="113" t="s">
        <v>2615</v>
      </c>
      <c r="E502" s="139" t="s">
        <v>1369</v>
      </c>
      <c r="F502" s="139"/>
      <c r="G502" s="112" t="s">
        <v>213</v>
      </c>
      <c r="H502" s="111">
        <v>2.5329999999999999</v>
      </c>
      <c r="I502" s="110">
        <v>3.26</v>
      </c>
      <c r="J502" s="110">
        <v>8.26</v>
      </c>
    </row>
    <row r="503" spans="1:10" ht="24" customHeight="1" x14ac:dyDescent="0.2">
      <c r="A503" s="113" t="s">
        <v>1859</v>
      </c>
      <c r="B503" s="114" t="s">
        <v>2646</v>
      </c>
      <c r="C503" s="113" t="s">
        <v>20</v>
      </c>
      <c r="D503" s="113" t="s">
        <v>2645</v>
      </c>
      <c r="E503" s="139" t="s">
        <v>1369</v>
      </c>
      <c r="F503" s="139"/>
      <c r="G503" s="112" t="s">
        <v>22</v>
      </c>
      <c r="H503" s="111">
        <v>0.437</v>
      </c>
      <c r="I503" s="110">
        <v>50.41</v>
      </c>
      <c r="J503" s="110">
        <v>22.03</v>
      </c>
    </row>
    <row r="504" spans="1:10" ht="24" customHeight="1" x14ac:dyDescent="0.2">
      <c r="A504" s="113" t="s">
        <v>1859</v>
      </c>
      <c r="B504" s="114" t="s">
        <v>2590</v>
      </c>
      <c r="C504" s="113" t="s">
        <v>20</v>
      </c>
      <c r="D504" s="113" t="s">
        <v>2589</v>
      </c>
      <c r="E504" s="139" t="s">
        <v>1369</v>
      </c>
      <c r="F504" s="139"/>
      <c r="G504" s="112" t="s">
        <v>1877</v>
      </c>
      <c r="H504" s="111">
        <v>0.15</v>
      </c>
      <c r="I504" s="110">
        <v>5.88</v>
      </c>
      <c r="J504" s="110">
        <v>0.88</v>
      </c>
    </row>
    <row r="505" spans="1:10" ht="24" customHeight="1" x14ac:dyDescent="0.2">
      <c r="A505" s="113" t="s">
        <v>1859</v>
      </c>
      <c r="B505" s="114" t="s">
        <v>2068</v>
      </c>
      <c r="C505" s="113" t="s">
        <v>20</v>
      </c>
      <c r="D505" s="113" t="s">
        <v>2067</v>
      </c>
      <c r="E505" s="139" t="s">
        <v>1369</v>
      </c>
      <c r="F505" s="139"/>
      <c r="G505" s="112" t="s">
        <v>213</v>
      </c>
      <c r="H505" s="111">
        <v>0.92300000000000004</v>
      </c>
      <c r="I505" s="110">
        <v>15.39</v>
      </c>
      <c r="J505" s="110">
        <v>14.2</v>
      </c>
    </row>
    <row r="506" spans="1:10" ht="24" customHeight="1" x14ac:dyDescent="0.2">
      <c r="A506" s="113" t="s">
        <v>1859</v>
      </c>
      <c r="B506" s="114" t="s">
        <v>2610</v>
      </c>
      <c r="C506" s="113" t="s">
        <v>20</v>
      </c>
      <c r="D506" s="113" t="s">
        <v>2609</v>
      </c>
      <c r="E506" s="139" t="s">
        <v>1369</v>
      </c>
      <c r="F506" s="139"/>
      <c r="G506" s="112" t="s">
        <v>96</v>
      </c>
      <c r="H506" s="111">
        <v>0.26500000000000001</v>
      </c>
      <c r="I506" s="110">
        <v>18.170000000000002</v>
      </c>
      <c r="J506" s="110">
        <v>4.82</v>
      </c>
    </row>
    <row r="507" spans="1:10" ht="24" customHeight="1" x14ac:dyDescent="0.2">
      <c r="A507" s="113" t="s">
        <v>1859</v>
      </c>
      <c r="B507" s="114" t="s">
        <v>2608</v>
      </c>
      <c r="C507" s="113" t="s">
        <v>20</v>
      </c>
      <c r="D507" s="113" t="s">
        <v>2607</v>
      </c>
      <c r="E507" s="139" t="s">
        <v>1369</v>
      </c>
      <c r="F507" s="139"/>
      <c r="G507" s="112" t="s">
        <v>213</v>
      </c>
      <c r="H507" s="111">
        <v>4.2999999999999997E-2</v>
      </c>
      <c r="I507" s="110">
        <v>26.47</v>
      </c>
      <c r="J507" s="110">
        <v>1.1399999999999999</v>
      </c>
    </row>
    <row r="508" spans="1:10" ht="24" customHeight="1" x14ac:dyDescent="0.2">
      <c r="A508" s="113" t="s">
        <v>1859</v>
      </c>
      <c r="B508" s="114" t="s">
        <v>1872</v>
      </c>
      <c r="C508" s="113" t="s">
        <v>20</v>
      </c>
      <c r="D508" s="113" t="s">
        <v>1871</v>
      </c>
      <c r="E508" s="139" t="s">
        <v>1860</v>
      </c>
      <c r="F508" s="139"/>
      <c r="G508" s="112" t="s">
        <v>1864</v>
      </c>
      <c r="H508" s="111">
        <v>1.35</v>
      </c>
      <c r="I508" s="110">
        <v>10.62</v>
      </c>
      <c r="J508" s="110">
        <v>14.34</v>
      </c>
    </row>
    <row r="509" spans="1:10" ht="24" customHeight="1" x14ac:dyDescent="0.2">
      <c r="A509" s="113" t="s">
        <v>1859</v>
      </c>
      <c r="B509" s="114" t="s">
        <v>2060</v>
      </c>
      <c r="C509" s="113" t="s">
        <v>20</v>
      </c>
      <c r="D509" s="113" t="s">
        <v>2059</v>
      </c>
      <c r="E509" s="139" t="s">
        <v>1860</v>
      </c>
      <c r="F509" s="139"/>
      <c r="G509" s="112" t="s">
        <v>1864</v>
      </c>
      <c r="H509" s="111">
        <v>1.35</v>
      </c>
      <c r="I509" s="110">
        <v>15.97</v>
      </c>
      <c r="J509" s="110">
        <v>21.56</v>
      </c>
    </row>
    <row r="510" spans="1:10" x14ac:dyDescent="0.2">
      <c r="A510" s="109"/>
      <c r="B510" s="109"/>
      <c r="C510" s="109"/>
      <c r="D510" s="109"/>
      <c r="E510" s="109" t="s">
        <v>1858</v>
      </c>
      <c r="F510" s="108">
        <v>35.9</v>
      </c>
      <c r="G510" s="109" t="s">
        <v>1857</v>
      </c>
      <c r="H510" s="108">
        <v>0</v>
      </c>
      <c r="I510" s="109" t="s">
        <v>1856</v>
      </c>
      <c r="J510" s="108">
        <v>35.9</v>
      </c>
    </row>
    <row r="511" spans="1:10" ht="13.9" customHeight="1" x14ac:dyDescent="0.2">
      <c r="A511" s="109"/>
      <c r="B511" s="109"/>
      <c r="C511" s="109"/>
      <c r="D511" s="109"/>
      <c r="E511" s="109" t="s">
        <v>1855</v>
      </c>
      <c r="F511" s="108">
        <v>24.253425</v>
      </c>
      <c r="G511" s="109"/>
      <c r="H511" s="140" t="s">
        <v>1854</v>
      </c>
      <c r="I511" s="140"/>
      <c r="J511" s="108">
        <v>115.6</v>
      </c>
    </row>
    <row r="512" spans="1:10" ht="30" customHeight="1" thickBot="1" x14ac:dyDescent="0.25">
      <c r="A512" s="100"/>
      <c r="B512" s="100"/>
      <c r="C512" s="100"/>
      <c r="D512" s="100"/>
      <c r="E512" s="100"/>
      <c r="F512" s="100"/>
      <c r="G512" s="100" t="s">
        <v>1853</v>
      </c>
      <c r="H512" s="107">
        <v>89.99</v>
      </c>
      <c r="I512" s="100" t="s">
        <v>1852</v>
      </c>
      <c r="J512" s="102">
        <v>10402.84</v>
      </c>
    </row>
    <row r="513" spans="1:10" ht="1.1499999999999999" customHeight="1" thickTop="1" x14ac:dyDescent="0.2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</row>
    <row r="514" spans="1:10" ht="18" customHeight="1" x14ac:dyDescent="0.2">
      <c r="A514" s="117" t="s">
        <v>148</v>
      </c>
      <c r="B514" s="126" t="s">
        <v>5</v>
      </c>
      <c r="C514" s="117" t="s">
        <v>6</v>
      </c>
      <c r="D514" s="117" t="s">
        <v>7</v>
      </c>
      <c r="E514" s="136" t="s">
        <v>1113</v>
      </c>
      <c r="F514" s="136"/>
      <c r="G514" s="7" t="s">
        <v>8</v>
      </c>
      <c r="H514" s="126" t="s">
        <v>9</v>
      </c>
      <c r="I514" s="126" t="s">
        <v>10</v>
      </c>
      <c r="J514" s="126" t="s">
        <v>12</v>
      </c>
    </row>
    <row r="515" spans="1:10" ht="24" customHeight="1" x14ac:dyDescent="0.2">
      <c r="A515" s="116" t="s">
        <v>1861</v>
      </c>
      <c r="B515" s="1" t="s">
        <v>94</v>
      </c>
      <c r="C515" s="116" t="s">
        <v>20</v>
      </c>
      <c r="D515" s="116" t="s">
        <v>95</v>
      </c>
      <c r="E515" s="137">
        <v>5</v>
      </c>
      <c r="F515" s="137"/>
      <c r="G515" s="2" t="s">
        <v>96</v>
      </c>
      <c r="H515" s="115">
        <v>1</v>
      </c>
      <c r="I515" s="61">
        <v>12.45</v>
      </c>
      <c r="J515" s="61">
        <v>12.45</v>
      </c>
    </row>
    <row r="516" spans="1:10" ht="24" customHeight="1" x14ac:dyDescent="0.2">
      <c r="A516" s="113" t="s">
        <v>1859</v>
      </c>
      <c r="B516" s="114" t="s">
        <v>2082</v>
      </c>
      <c r="C516" s="113" t="s">
        <v>20</v>
      </c>
      <c r="D516" s="113" t="s">
        <v>2081</v>
      </c>
      <c r="E516" s="139" t="s">
        <v>1369</v>
      </c>
      <c r="F516" s="139"/>
      <c r="G516" s="112" t="s">
        <v>96</v>
      </c>
      <c r="H516" s="111">
        <v>1.1000000000000001</v>
      </c>
      <c r="I516" s="110">
        <v>9.2200000000000006</v>
      </c>
      <c r="J516" s="110">
        <v>10.14</v>
      </c>
    </row>
    <row r="517" spans="1:10" ht="24" customHeight="1" x14ac:dyDescent="0.2">
      <c r="A517" s="113" t="s">
        <v>1859</v>
      </c>
      <c r="B517" s="114" t="s">
        <v>2074</v>
      </c>
      <c r="C517" s="113" t="s">
        <v>20</v>
      </c>
      <c r="D517" s="113" t="s">
        <v>2073</v>
      </c>
      <c r="E517" s="139" t="s">
        <v>1369</v>
      </c>
      <c r="F517" s="139"/>
      <c r="G517" s="112" t="s">
        <v>96</v>
      </c>
      <c r="H517" s="111">
        <v>0.02</v>
      </c>
      <c r="I517" s="110">
        <v>22.63</v>
      </c>
      <c r="J517" s="110">
        <v>0.45</v>
      </c>
    </row>
    <row r="518" spans="1:10" ht="24" customHeight="1" x14ac:dyDescent="0.2">
      <c r="A518" s="113" t="s">
        <v>1859</v>
      </c>
      <c r="B518" s="114" t="s">
        <v>2064</v>
      </c>
      <c r="C518" s="113" t="s">
        <v>20</v>
      </c>
      <c r="D518" s="113" t="s">
        <v>2063</v>
      </c>
      <c r="E518" s="139" t="s">
        <v>1860</v>
      </c>
      <c r="F518" s="139"/>
      <c r="G518" s="112" t="s">
        <v>1864</v>
      </c>
      <c r="H518" s="111">
        <v>7.0000000000000007E-2</v>
      </c>
      <c r="I518" s="110">
        <v>15.97</v>
      </c>
      <c r="J518" s="110">
        <v>1.1200000000000001</v>
      </c>
    </row>
    <row r="519" spans="1:10" ht="24" customHeight="1" x14ac:dyDescent="0.2">
      <c r="A519" s="113" t="s">
        <v>1859</v>
      </c>
      <c r="B519" s="114" t="s">
        <v>1951</v>
      </c>
      <c r="C519" s="113" t="s">
        <v>20</v>
      </c>
      <c r="D519" s="113" t="s">
        <v>1950</v>
      </c>
      <c r="E519" s="139" t="s">
        <v>1860</v>
      </c>
      <c r="F519" s="139"/>
      <c r="G519" s="112" t="s">
        <v>1864</v>
      </c>
      <c r="H519" s="111">
        <v>7.0000000000000007E-2</v>
      </c>
      <c r="I519" s="110">
        <v>10.62</v>
      </c>
      <c r="J519" s="110">
        <v>0.74</v>
      </c>
    </row>
    <row r="520" spans="1:10" x14ac:dyDescent="0.2">
      <c r="A520" s="109"/>
      <c r="B520" s="109"/>
      <c r="C520" s="109"/>
      <c r="D520" s="109"/>
      <c r="E520" s="109" t="s">
        <v>1858</v>
      </c>
      <c r="F520" s="108">
        <v>1.86</v>
      </c>
      <c r="G520" s="109" t="s">
        <v>1857</v>
      </c>
      <c r="H520" s="108">
        <v>0</v>
      </c>
      <c r="I520" s="109" t="s">
        <v>1856</v>
      </c>
      <c r="J520" s="108">
        <v>1.86</v>
      </c>
    </row>
    <row r="521" spans="1:10" ht="13.9" customHeight="1" x14ac:dyDescent="0.2">
      <c r="A521" s="109"/>
      <c r="B521" s="109"/>
      <c r="C521" s="109"/>
      <c r="D521" s="109"/>
      <c r="E521" s="109" t="s">
        <v>1855</v>
      </c>
      <c r="F521" s="108">
        <v>3.3054749999999999</v>
      </c>
      <c r="G521" s="109"/>
      <c r="H521" s="140" t="s">
        <v>1854</v>
      </c>
      <c r="I521" s="140"/>
      <c r="J521" s="108">
        <v>15.76</v>
      </c>
    </row>
    <row r="522" spans="1:10" ht="30" customHeight="1" thickBot="1" x14ac:dyDescent="0.25">
      <c r="A522" s="100"/>
      <c r="B522" s="100"/>
      <c r="C522" s="100"/>
      <c r="D522" s="100"/>
      <c r="E522" s="100"/>
      <c r="F522" s="100"/>
      <c r="G522" s="100" t="s">
        <v>1853</v>
      </c>
      <c r="H522" s="107">
        <v>146.84</v>
      </c>
      <c r="I522" s="100" t="s">
        <v>1852</v>
      </c>
      <c r="J522" s="102">
        <v>2314.1999999999998</v>
      </c>
    </row>
    <row r="523" spans="1:10" ht="1.1499999999999999" customHeight="1" thickTop="1" x14ac:dyDescent="0.2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</row>
    <row r="524" spans="1:10" ht="18" customHeight="1" x14ac:dyDescent="0.2">
      <c r="A524" s="117" t="s">
        <v>149</v>
      </c>
      <c r="B524" s="126" t="s">
        <v>5</v>
      </c>
      <c r="C524" s="117" t="s">
        <v>6</v>
      </c>
      <c r="D524" s="117" t="s">
        <v>7</v>
      </c>
      <c r="E524" s="136" t="s">
        <v>1113</v>
      </c>
      <c r="F524" s="136"/>
      <c r="G524" s="7" t="s">
        <v>8</v>
      </c>
      <c r="H524" s="126" t="s">
        <v>9</v>
      </c>
      <c r="I524" s="126" t="s">
        <v>10</v>
      </c>
      <c r="J524" s="126" t="s">
        <v>12</v>
      </c>
    </row>
    <row r="525" spans="1:10" ht="24" customHeight="1" x14ac:dyDescent="0.2">
      <c r="A525" s="116" t="s">
        <v>1861</v>
      </c>
      <c r="B525" s="1" t="s">
        <v>150</v>
      </c>
      <c r="C525" s="116" t="s">
        <v>20</v>
      </c>
      <c r="D525" s="116" t="s">
        <v>99</v>
      </c>
      <c r="E525" s="137">
        <v>6</v>
      </c>
      <c r="F525" s="137"/>
      <c r="G525" s="2" t="s">
        <v>96</v>
      </c>
      <c r="H525" s="115">
        <v>1</v>
      </c>
      <c r="I525" s="61">
        <v>10.92</v>
      </c>
      <c r="J525" s="61">
        <v>10.92</v>
      </c>
    </row>
    <row r="526" spans="1:10" ht="24" customHeight="1" x14ac:dyDescent="0.2">
      <c r="A526" s="113" t="s">
        <v>1859</v>
      </c>
      <c r="B526" s="114" t="s">
        <v>2624</v>
      </c>
      <c r="C526" s="113" t="s">
        <v>20</v>
      </c>
      <c r="D526" s="113" t="s">
        <v>2623</v>
      </c>
      <c r="E526" s="139" t="s">
        <v>1369</v>
      </c>
      <c r="F526" s="139"/>
      <c r="G526" s="112" t="s">
        <v>96</v>
      </c>
      <c r="H526" s="111">
        <v>1.1000000000000001</v>
      </c>
      <c r="I526" s="110">
        <v>7.58</v>
      </c>
      <c r="J526" s="110">
        <v>8.34</v>
      </c>
    </row>
    <row r="527" spans="1:10" ht="24" customHeight="1" x14ac:dyDescent="0.2">
      <c r="A527" s="113" t="s">
        <v>1859</v>
      </c>
      <c r="B527" s="114" t="s">
        <v>2074</v>
      </c>
      <c r="C527" s="113" t="s">
        <v>20</v>
      </c>
      <c r="D527" s="113" t="s">
        <v>2073</v>
      </c>
      <c r="E527" s="139" t="s">
        <v>1369</v>
      </c>
      <c r="F527" s="139"/>
      <c r="G527" s="112" t="s">
        <v>96</v>
      </c>
      <c r="H527" s="111">
        <v>0.02</v>
      </c>
      <c r="I527" s="110">
        <v>22.63</v>
      </c>
      <c r="J527" s="110">
        <v>0.45</v>
      </c>
    </row>
    <row r="528" spans="1:10" ht="24" customHeight="1" x14ac:dyDescent="0.2">
      <c r="A528" s="113" t="s">
        <v>1859</v>
      </c>
      <c r="B528" s="114" t="s">
        <v>2064</v>
      </c>
      <c r="C528" s="113" t="s">
        <v>20</v>
      </c>
      <c r="D528" s="113" t="s">
        <v>2063</v>
      </c>
      <c r="E528" s="139" t="s">
        <v>1860</v>
      </c>
      <c r="F528" s="139"/>
      <c r="G528" s="112" t="s">
        <v>1864</v>
      </c>
      <c r="H528" s="111">
        <v>0.08</v>
      </c>
      <c r="I528" s="110">
        <v>15.97</v>
      </c>
      <c r="J528" s="110">
        <v>1.28</v>
      </c>
    </row>
    <row r="529" spans="1:10" ht="24" customHeight="1" x14ac:dyDescent="0.2">
      <c r="A529" s="113" t="s">
        <v>1859</v>
      </c>
      <c r="B529" s="114" t="s">
        <v>1951</v>
      </c>
      <c r="C529" s="113" t="s">
        <v>20</v>
      </c>
      <c r="D529" s="113" t="s">
        <v>1950</v>
      </c>
      <c r="E529" s="139" t="s">
        <v>1860</v>
      </c>
      <c r="F529" s="139"/>
      <c r="G529" s="112" t="s">
        <v>1864</v>
      </c>
      <c r="H529" s="111">
        <v>0.08</v>
      </c>
      <c r="I529" s="110">
        <v>10.62</v>
      </c>
      <c r="J529" s="110">
        <v>0.85</v>
      </c>
    </row>
    <row r="530" spans="1:10" x14ac:dyDescent="0.2">
      <c r="A530" s="109"/>
      <c r="B530" s="109"/>
      <c r="C530" s="109"/>
      <c r="D530" s="109"/>
      <c r="E530" s="109" t="s">
        <v>1858</v>
      </c>
      <c r="F530" s="108">
        <v>2.13</v>
      </c>
      <c r="G530" s="109" t="s">
        <v>1857</v>
      </c>
      <c r="H530" s="108">
        <v>0</v>
      </c>
      <c r="I530" s="109" t="s">
        <v>1856</v>
      </c>
      <c r="J530" s="108">
        <v>2.13</v>
      </c>
    </row>
    <row r="531" spans="1:10" ht="13.9" customHeight="1" x14ac:dyDescent="0.2">
      <c r="A531" s="109"/>
      <c r="B531" s="109"/>
      <c r="C531" s="109"/>
      <c r="D531" s="109"/>
      <c r="E531" s="109" t="s">
        <v>1855</v>
      </c>
      <c r="F531" s="108">
        <v>2.8992599999999999</v>
      </c>
      <c r="G531" s="109"/>
      <c r="H531" s="140" t="s">
        <v>1854</v>
      </c>
      <c r="I531" s="140"/>
      <c r="J531" s="108">
        <v>13.82</v>
      </c>
    </row>
    <row r="532" spans="1:10" ht="30" customHeight="1" thickBot="1" x14ac:dyDescent="0.25">
      <c r="A532" s="100"/>
      <c r="B532" s="100"/>
      <c r="C532" s="100"/>
      <c r="D532" s="100"/>
      <c r="E532" s="100"/>
      <c r="F532" s="100"/>
      <c r="G532" s="100" t="s">
        <v>1853</v>
      </c>
      <c r="H532" s="107">
        <v>296.07</v>
      </c>
      <c r="I532" s="100" t="s">
        <v>1852</v>
      </c>
      <c r="J532" s="102">
        <v>4091.69</v>
      </c>
    </row>
    <row r="533" spans="1:10" ht="1.1499999999999999" customHeight="1" thickTop="1" x14ac:dyDescent="0.2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</row>
    <row r="534" spans="1:10" ht="18" customHeight="1" x14ac:dyDescent="0.2">
      <c r="A534" s="117" t="s">
        <v>151</v>
      </c>
      <c r="B534" s="126" t="s">
        <v>5</v>
      </c>
      <c r="C534" s="117" t="s">
        <v>6</v>
      </c>
      <c r="D534" s="117" t="s">
        <v>7</v>
      </c>
      <c r="E534" s="136" t="s">
        <v>1113</v>
      </c>
      <c r="F534" s="136"/>
      <c r="G534" s="7" t="s">
        <v>8</v>
      </c>
      <c r="H534" s="126" t="s">
        <v>9</v>
      </c>
      <c r="I534" s="126" t="s">
        <v>10</v>
      </c>
      <c r="J534" s="126" t="s">
        <v>12</v>
      </c>
    </row>
    <row r="535" spans="1:10" ht="24" customHeight="1" x14ac:dyDescent="0.2">
      <c r="A535" s="116" t="s">
        <v>1861</v>
      </c>
      <c r="B535" s="1" t="s">
        <v>152</v>
      </c>
      <c r="C535" s="116" t="s">
        <v>20</v>
      </c>
      <c r="D535" s="116" t="s">
        <v>153</v>
      </c>
      <c r="E535" s="137">
        <v>6</v>
      </c>
      <c r="F535" s="137"/>
      <c r="G535" s="2" t="s">
        <v>96</v>
      </c>
      <c r="H535" s="115">
        <v>1</v>
      </c>
      <c r="I535" s="61">
        <v>11.46</v>
      </c>
      <c r="J535" s="61">
        <v>11.46</v>
      </c>
    </row>
    <row r="536" spans="1:10" ht="24" customHeight="1" x14ac:dyDescent="0.2">
      <c r="A536" s="113" t="s">
        <v>1859</v>
      </c>
      <c r="B536" s="114" t="s">
        <v>2074</v>
      </c>
      <c r="C536" s="113" t="s">
        <v>20</v>
      </c>
      <c r="D536" s="113" t="s">
        <v>2073</v>
      </c>
      <c r="E536" s="139" t="s">
        <v>1369</v>
      </c>
      <c r="F536" s="139"/>
      <c r="G536" s="112" t="s">
        <v>96</v>
      </c>
      <c r="H536" s="111">
        <v>0.03</v>
      </c>
      <c r="I536" s="110">
        <v>22.63</v>
      </c>
      <c r="J536" s="110">
        <v>0.68</v>
      </c>
    </row>
    <row r="537" spans="1:10" ht="24" customHeight="1" x14ac:dyDescent="0.2">
      <c r="A537" s="113" t="s">
        <v>1859</v>
      </c>
      <c r="B537" s="114" t="s">
        <v>2622</v>
      </c>
      <c r="C537" s="113" t="s">
        <v>20</v>
      </c>
      <c r="D537" s="113" t="s">
        <v>2621</v>
      </c>
      <c r="E537" s="139" t="s">
        <v>1369</v>
      </c>
      <c r="F537" s="139"/>
      <c r="G537" s="112" t="s">
        <v>96</v>
      </c>
      <c r="H537" s="111">
        <v>1.1000000000000001</v>
      </c>
      <c r="I537" s="110">
        <v>7.38</v>
      </c>
      <c r="J537" s="110">
        <v>8.1199999999999992</v>
      </c>
    </row>
    <row r="538" spans="1:10" ht="24" customHeight="1" x14ac:dyDescent="0.2">
      <c r="A538" s="113" t="s">
        <v>1859</v>
      </c>
      <c r="B538" s="114" t="s">
        <v>1951</v>
      </c>
      <c r="C538" s="113" t="s">
        <v>20</v>
      </c>
      <c r="D538" s="113" t="s">
        <v>1950</v>
      </c>
      <c r="E538" s="139" t="s">
        <v>1860</v>
      </c>
      <c r="F538" s="139"/>
      <c r="G538" s="112" t="s">
        <v>1864</v>
      </c>
      <c r="H538" s="111">
        <v>0.1</v>
      </c>
      <c r="I538" s="110">
        <v>10.62</v>
      </c>
      <c r="J538" s="110">
        <v>1.06</v>
      </c>
    </row>
    <row r="539" spans="1:10" ht="24" customHeight="1" x14ac:dyDescent="0.2">
      <c r="A539" s="113" t="s">
        <v>1859</v>
      </c>
      <c r="B539" s="114" t="s">
        <v>2064</v>
      </c>
      <c r="C539" s="113" t="s">
        <v>20</v>
      </c>
      <c r="D539" s="113" t="s">
        <v>2063</v>
      </c>
      <c r="E539" s="139" t="s">
        <v>1860</v>
      </c>
      <c r="F539" s="139"/>
      <c r="G539" s="112" t="s">
        <v>1864</v>
      </c>
      <c r="H539" s="111">
        <v>0.1</v>
      </c>
      <c r="I539" s="110">
        <v>15.97</v>
      </c>
      <c r="J539" s="110">
        <v>1.6</v>
      </c>
    </row>
    <row r="540" spans="1:10" x14ac:dyDescent="0.2">
      <c r="A540" s="109"/>
      <c r="B540" s="109"/>
      <c r="C540" s="109"/>
      <c r="D540" s="109"/>
      <c r="E540" s="109" t="s">
        <v>1858</v>
      </c>
      <c r="F540" s="108">
        <v>2.66</v>
      </c>
      <c r="G540" s="109" t="s">
        <v>1857</v>
      </c>
      <c r="H540" s="108">
        <v>0</v>
      </c>
      <c r="I540" s="109" t="s">
        <v>1856</v>
      </c>
      <c r="J540" s="108">
        <v>2.66</v>
      </c>
    </row>
    <row r="541" spans="1:10" ht="13.9" customHeight="1" x14ac:dyDescent="0.2">
      <c r="A541" s="109"/>
      <c r="B541" s="109"/>
      <c r="C541" s="109"/>
      <c r="D541" s="109"/>
      <c r="E541" s="109" t="s">
        <v>1855</v>
      </c>
      <c r="F541" s="108">
        <v>3.0426299999999999</v>
      </c>
      <c r="G541" s="109"/>
      <c r="H541" s="140" t="s">
        <v>1854</v>
      </c>
      <c r="I541" s="140"/>
      <c r="J541" s="108">
        <v>14.5</v>
      </c>
    </row>
    <row r="542" spans="1:10" ht="30" customHeight="1" thickBot="1" x14ac:dyDescent="0.25">
      <c r="A542" s="100"/>
      <c r="B542" s="100"/>
      <c r="C542" s="100"/>
      <c r="D542" s="100"/>
      <c r="E542" s="100"/>
      <c r="F542" s="100"/>
      <c r="G542" s="100" t="s">
        <v>1853</v>
      </c>
      <c r="H542" s="107">
        <v>150.94999999999999</v>
      </c>
      <c r="I542" s="100" t="s">
        <v>1852</v>
      </c>
      <c r="J542" s="102">
        <v>2188.7800000000002</v>
      </c>
    </row>
    <row r="543" spans="1:10" ht="1.1499999999999999" customHeight="1" thickTop="1" x14ac:dyDescent="0.2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</row>
    <row r="544" spans="1:10" ht="18" customHeight="1" x14ac:dyDescent="0.2">
      <c r="A544" s="117" t="s">
        <v>154</v>
      </c>
      <c r="B544" s="126" t="s">
        <v>5</v>
      </c>
      <c r="C544" s="117" t="s">
        <v>6</v>
      </c>
      <c r="D544" s="117" t="s">
        <v>7</v>
      </c>
      <c r="E544" s="136" t="s">
        <v>1113</v>
      </c>
      <c r="F544" s="136"/>
      <c r="G544" s="7" t="s">
        <v>8</v>
      </c>
      <c r="H544" s="126" t="s">
        <v>9</v>
      </c>
      <c r="I544" s="126" t="s">
        <v>10</v>
      </c>
      <c r="J544" s="126" t="s">
        <v>12</v>
      </c>
    </row>
    <row r="545" spans="1:10" ht="24" customHeight="1" x14ac:dyDescent="0.2">
      <c r="A545" s="116" t="s">
        <v>1861</v>
      </c>
      <c r="B545" s="1" t="s">
        <v>155</v>
      </c>
      <c r="C545" s="116" t="s">
        <v>20</v>
      </c>
      <c r="D545" s="116" t="s">
        <v>156</v>
      </c>
      <c r="E545" s="137">
        <v>6</v>
      </c>
      <c r="F545" s="137"/>
      <c r="G545" s="2" t="s">
        <v>96</v>
      </c>
      <c r="H545" s="115">
        <v>1</v>
      </c>
      <c r="I545" s="61">
        <v>11.32</v>
      </c>
      <c r="J545" s="61">
        <v>11.32</v>
      </c>
    </row>
    <row r="546" spans="1:10" ht="24" customHeight="1" x14ac:dyDescent="0.2">
      <c r="A546" s="113" t="s">
        <v>1859</v>
      </c>
      <c r="B546" s="114" t="s">
        <v>2644</v>
      </c>
      <c r="C546" s="113" t="s">
        <v>20</v>
      </c>
      <c r="D546" s="113" t="s">
        <v>2643</v>
      </c>
      <c r="E546" s="139" t="s">
        <v>1369</v>
      </c>
      <c r="F546" s="139"/>
      <c r="G546" s="112" t="s">
        <v>96</v>
      </c>
      <c r="H546" s="111">
        <v>1.1000000000000001</v>
      </c>
      <c r="I546" s="110">
        <v>7.25</v>
      </c>
      <c r="J546" s="110">
        <v>7.98</v>
      </c>
    </row>
    <row r="547" spans="1:10" ht="24" customHeight="1" x14ac:dyDescent="0.2">
      <c r="A547" s="113" t="s">
        <v>1859</v>
      </c>
      <c r="B547" s="114" t="s">
        <v>2074</v>
      </c>
      <c r="C547" s="113" t="s">
        <v>20</v>
      </c>
      <c r="D547" s="113" t="s">
        <v>2073</v>
      </c>
      <c r="E547" s="139" t="s">
        <v>1369</v>
      </c>
      <c r="F547" s="139"/>
      <c r="G547" s="112" t="s">
        <v>96</v>
      </c>
      <c r="H547" s="111">
        <v>0.03</v>
      </c>
      <c r="I547" s="110">
        <v>22.63</v>
      </c>
      <c r="J547" s="110">
        <v>0.68</v>
      </c>
    </row>
    <row r="548" spans="1:10" ht="24" customHeight="1" x14ac:dyDescent="0.2">
      <c r="A548" s="113" t="s">
        <v>1859</v>
      </c>
      <c r="B548" s="114" t="s">
        <v>2064</v>
      </c>
      <c r="C548" s="113" t="s">
        <v>20</v>
      </c>
      <c r="D548" s="113" t="s">
        <v>2063</v>
      </c>
      <c r="E548" s="139" t="s">
        <v>1860</v>
      </c>
      <c r="F548" s="139"/>
      <c r="G548" s="112" t="s">
        <v>1864</v>
      </c>
      <c r="H548" s="111">
        <v>0.1</v>
      </c>
      <c r="I548" s="110">
        <v>15.97</v>
      </c>
      <c r="J548" s="110">
        <v>1.6</v>
      </c>
    </row>
    <row r="549" spans="1:10" ht="24" customHeight="1" x14ac:dyDescent="0.2">
      <c r="A549" s="113" t="s">
        <v>1859</v>
      </c>
      <c r="B549" s="114" t="s">
        <v>1951</v>
      </c>
      <c r="C549" s="113" t="s">
        <v>20</v>
      </c>
      <c r="D549" s="113" t="s">
        <v>1950</v>
      </c>
      <c r="E549" s="139" t="s">
        <v>1860</v>
      </c>
      <c r="F549" s="139"/>
      <c r="G549" s="112" t="s">
        <v>1864</v>
      </c>
      <c r="H549" s="111">
        <v>0.1</v>
      </c>
      <c r="I549" s="110">
        <v>10.62</v>
      </c>
      <c r="J549" s="110">
        <v>1.06</v>
      </c>
    </row>
    <row r="550" spans="1:10" x14ac:dyDescent="0.2">
      <c r="A550" s="109"/>
      <c r="B550" s="109"/>
      <c r="C550" s="109"/>
      <c r="D550" s="109"/>
      <c r="E550" s="109" t="s">
        <v>1858</v>
      </c>
      <c r="F550" s="108">
        <v>2.66</v>
      </c>
      <c r="G550" s="109" t="s">
        <v>1857</v>
      </c>
      <c r="H550" s="108">
        <v>0</v>
      </c>
      <c r="I550" s="109" t="s">
        <v>1856</v>
      </c>
      <c r="J550" s="108">
        <v>2.66</v>
      </c>
    </row>
    <row r="551" spans="1:10" ht="13.9" customHeight="1" x14ac:dyDescent="0.2">
      <c r="A551" s="109"/>
      <c r="B551" s="109"/>
      <c r="C551" s="109"/>
      <c r="D551" s="109"/>
      <c r="E551" s="109" t="s">
        <v>1855</v>
      </c>
      <c r="F551" s="108">
        <v>3.0054599999999998</v>
      </c>
      <c r="G551" s="109"/>
      <c r="H551" s="140" t="s">
        <v>1854</v>
      </c>
      <c r="I551" s="140"/>
      <c r="J551" s="108">
        <v>14.33</v>
      </c>
    </row>
    <row r="552" spans="1:10" ht="30" customHeight="1" thickBot="1" x14ac:dyDescent="0.25">
      <c r="A552" s="100"/>
      <c r="B552" s="100"/>
      <c r="C552" s="100"/>
      <c r="D552" s="100"/>
      <c r="E552" s="100"/>
      <c r="F552" s="100"/>
      <c r="G552" s="100" t="s">
        <v>1853</v>
      </c>
      <c r="H552" s="107">
        <v>15.3</v>
      </c>
      <c r="I552" s="100" t="s">
        <v>1852</v>
      </c>
      <c r="J552" s="102">
        <v>219.25</v>
      </c>
    </row>
    <row r="553" spans="1:10" ht="1.1499999999999999" customHeight="1" thickTop="1" x14ac:dyDescent="0.2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</row>
    <row r="554" spans="1:10" ht="18" customHeight="1" x14ac:dyDescent="0.2">
      <c r="A554" s="117" t="s">
        <v>157</v>
      </c>
      <c r="B554" s="126" t="s">
        <v>5</v>
      </c>
      <c r="C554" s="117" t="s">
        <v>6</v>
      </c>
      <c r="D554" s="117" t="s">
        <v>7</v>
      </c>
      <c r="E554" s="136" t="s">
        <v>1113</v>
      </c>
      <c r="F554" s="136"/>
      <c r="G554" s="7" t="s">
        <v>8</v>
      </c>
      <c r="H554" s="126" t="s">
        <v>9</v>
      </c>
      <c r="I554" s="126" t="s">
        <v>10</v>
      </c>
      <c r="J554" s="126" t="s">
        <v>12</v>
      </c>
    </row>
    <row r="555" spans="1:10" ht="24" customHeight="1" x14ac:dyDescent="0.2">
      <c r="A555" s="116" t="s">
        <v>1861</v>
      </c>
      <c r="B555" s="1" t="s">
        <v>158</v>
      </c>
      <c r="C555" s="116" t="s">
        <v>20</v>
      </c>
      <c r="D555" s="116" t="s">
        <v>159</v>
      </c>
      <c r="E555" s="137">
        <v>6</v>
      </c>
      <c r="F555" s="137"/>
      <c r="G555" s="2" t="s">
        <v>96</v>
      </c>
      <c r="H555" s="115">
        <v>1</v>
      </c>
      <c r="I555" s="61">
        <v>11.15</v>
      </c>
      <c r="J555" s="61">
        <v>11.15</v>
      </c>
    </row>
    <row r="556" spans="1:10" ht="24" customHeight="1" x14ac:dyDescent="0.2">
      <c r="A556" s="113" t="s">
        <v>1859</v>
      </c>
      <c r="B556" s="114" t="s">
        <v>2642</v>
      </c>
      <c r="C556" s="113" t="s">
        <v>20</v>
      </c>
      <c r="D556" s="113" t="s">
        <v>2641</v>
      </c>
      <c r="E556" s="139" t="s">
        <v>1369</v>
      </c>
      <c r="F556" s="139"/>
      <c r="G556" s="112" t="s">
        <v>96</v>
      </c>
      <c r="H556" s="111">
        <v>1.1000000000000001</v>
      </c>
      <c r="I556" s="110">
        <v>7.1</v>
      </c>
      <c r="J556" s="110">
        <v>7.81</v>
      </c>
    </row>
    <row r="557" spans="1:10" ht="24" customHeight="1" x14ac:dyDescent="0.2">
      <c r="A557" s="113" t="s">
        <v>1859</v>
      </c>
      <c r="B557" s="114" t="s">
        <v>2074</v>
      </c>
      <c r="C557" s="113" t="s">
        <v>20</v>
      </c>
      <c r="D557" s="113" t="s">
        <v>2073</v>
      </c>
      <c r="E557" s="139" t="s">
        <v>1369</v>
      </c>
      <c r="F557" s="139"/>
      <c r="G557" s="112" t="s">
        <v>96</v>
      </c>
      <c r="H557" s="111">
        <v>0.03</v>
      </c>
      <c r="I557" s="110">
        <v>22.63</v>
      </c>
      <c r="J557" s="110">
        <v>0.68</v>
      </c>
    </row>
    <row r="558" spans="1:10" ht="24" customHeight="1" x14ac:dyDescent="0.2">
      <c r="A558" s="113" t="s">
        <v>1859</v>
      </c>
      <c r="B558" s="114" t="s">
        <v>1951</v>
      </c>
      <c r="C558" s="113" t="s">
        <v>20</v>
      </c>
      <c r="D558" s="113" t="s">
        <v>1950</v>
      </c>
      <c r="E558" s="139" t="s">
        <v>1860</v>
      </c>
      <c r="F558" s="139"/>
      <c r="G558" s="112" t="s">
        <v>1864</v>
      </c>
      <c r="H558" s="111">
        <v>0.1</v>
      </c>
      <c r="I558" s="110">
        <v>10.62</v>
      </c>
      <c r="J558" s="110">
        <v>1.06</v>
      </c>
    </row>
    <row r="559" spans="1:10" ht="24" customHeight="1" x14ac:dyDescent="0.2">
      <c r="A559" s="113" t="s">
        <v>1859</v>
      </c>
      <c r="B559" s="114" t="s">
        <v>2064</v>
      </c>
      <c r="C559" s="113" t="s">
        <v>20</v>
      </c>
      <c r="D559" s="113" t="s">
        <v>2063</v>
      </c>
      <c r="E559" s="139" t="s">
        <v>1860</v>
      </c>
      <c r="F559" s="139"/>
      <c r="G559" s="112" t="s">
        <v>1864</v>
      </c>
      <c r="H559" s="111">
        <v>0.1</v>
      </c>
      <c r="I559" s="110">
        <v>15.97</v>
      </c>
      <c r="J559" s="110">
        <v>1.6</v>
      </c>
    </row>
    <row r="560" spans="1:10" x14ac:dyDescent="0.2">
      <c r="A560" s="109"/>
      <c r="B560" s="109"/>
      <c r="C560" s="109"/>
      <c r="D560" s="109"/>
      <c r="E560" s="109" t="s">
        <v>1858</v>
      </c>
      <c r="F560" s="108">
        <v>2.66</v>
      </c>
      <c r="G560" s="109" t="s">
        <v>1857</v>
      </c>
      <c r="H560" s="108">
        <v>0</v>
      </c>
      <c r="I560" s="109" t="s">
        <v>1856</v>
      </c>
      <c r="J560" s="108">
        <v>2.66</v>
      </c>
    </row>
    <row r="561" spans="1:10" ht="13.9" customHeight="1" x14ac:dyDescent="0.2">
      <c r="A561" s="109"/>
      <c r="B561" s="109"/>
      <c r="C561" s="109"/>
      <c r="D561" s="109"/>
      <c r="E561" s="109" t="s">
        <v>1855</v>
      </c>
      <c r="F561" s="108">
        <v>2.9603250000000001</v>
      </c>
      <c r="G561" s="109"/>
      <c r="H561" s="140" t="s">
        <v>1854</v>
      </c>
      <c r="I561" s="140"/>
      <c r="J561" s="108">
        <v>14.11</v>
      </c>
    </row>
    <row r="562" spans="1:10" ht="30" customHeight="1" thickBot="1" x14ac:dyDescent="0.25">
      <c r="A562" s="100"/>
      <c r="B562" s="100"/>
      <c r="C562" s="100"/>
      <c r="D562" s="100"/>
      <c r="E562" s="100"/>
      <c r="F562" s="100"/>
      <c r="G562" s="100" t="s">
        <v>1853</v>
      </c>
      <c r="H562" s="107">
        <v>110.7</v>
      </c>
      <c r="I562" s="100" t="s">
        <v>1852</v>
      </c>
      <c r="J562" s="102">
        <v>1561.98</v>
      </c>
    </row>
    <row r="563" spans="1:10" ht="1.1499999999999999" customHeight="1" thickTop="1" x14ac:dyDescent="0.2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</row>
    <row r="564" spans="1:10" ht="18" customHeight="1" x14ac:dyDescent="0.2">
      <c r="A564" s="117" t="s">
        <v>160</v>
      </c>
      <c r="B564" s="126" t="s">
        <v>5</v>
      </c>
      <c r="C564" s="117" t="s">
        <v>6</v>
      </c>
      <c r="D564" s="117" t="s">
        <v>7</v>
      </c>
      <c r="E564" s="136" t="s">
        <v>1113</v>
      </c>
      <c r="F564" s="136"/>
      <c r="G564" s="7" t="s">
        <v>8</v>
      </c>
      <c r="H564" s="126" t="s">
        <v>9</v>
      </c>
      <c r="I564" s="126" t="s">
        <v>10</v>
      </c>
      <c r="J564" s="126" t="s">
        <v>12</v>
      </c>
    </row>
    <row r="565" spans="1:10" ht="24" customHeight="1" x14ac:dyDescent="0.2">
      <c r="A565" s="116" t="s">
        <v>1861</v>
      </c>
      <c r="B565" s="1" t="s">
        <v>161</v>
      </c>
      <c r="C565" s="116" t="s">
        <v>20</v>
      </c>
      <c r="D565" s="116" t="s">
        <v>131</v>
      </c>
      <c r="E565" s="137">
        <v>6</v>
      </c>
      <c r="F565" s="137"/>
      <c r="G565" s="2" t="s">
        <v>49</v>
      </c>
      <c r="H565" s="115">
        <v>1</v>
      </c>
      <c r="I565" s="61">
        <v>489.81</v>
      </c>
      <c r="J565" s="61">
        <v>489.81</v>
      </c>
    </row>
    <row r="566" spans="1:10" ht="24" customHeight="1" x14ac:dyDescent="0.2">
      <c r="A566" s="113" t="s">
        <v>1859</v>
      </c>
      <c r="B566" s="114" t="s">
        <v>2640</v>
      </c>
      <c r="C566" s="113" t="s">
        <v>20</v>
      </c>
      <c r="D566" s="113" t="s">
        <v>2639</v>
      </c>
      <c r="E566" s="139" t="s">
        <v>1369</v>
      </c>
      <c r="F566" s="139"/>
      <c r="G566" s="112" t="s">
        <v>49</v>
      </c>
      <c r="H566" s="111">
        <v>1.02</v>
      </c>
      <c r="I566" s="110">
        <v>480.21</v>
      </c>
      <c r="J566" s="110">
        <v>489.81</v>
      </c>
    </row>
    <row r="567" spans="1:10" x14ac:dyDescent="0.2">
      <c r="A567" s="109"/>
      <c r="B567" s="109"/>
      <c r="C567" s="109"/>
      <c r="D567" s="109"/>
      <c r="E567" s="109" t="s">
        <v>1858</v>
      </c>
      <c r="F567" s="108">
        <v>0</v>
      </c>
      <c r="G567" s="109" t="s">
        <v>1857</v>
      </c>
      <c r="H567" s="108">
        <v>0</v>
      </c>
      <c r="I567" s="109" t="s">
        <v>1856</v>
      </c>
      <c r="J567" s="108">
        <v>0</v>
      </c>
    </row>
    <row r="568" spans="1:10" ht="13.9" customHeight="1" x14ac:dyDescent="0.2">
      <c r="A568" s="109"/>
      <c r="B568" s="109"/>
      <c r="C568" s="109"/>
      <c r="D568" s="109"/>
      <c r="E568" s="109" t="s">
        <v>1855</v>
      </c>
      <c r="F568" s="108">
        <v>130.044555</v>
      </c>
      <c r="G568" s="109"/>
      <c r="H568" s="140" t="s">
        <v>1854</v>
      </c>
      <c r="I568" s="140"/>
      <c r="J568" s="108">
        <v>619.85</v>
      </c>
    </row>
    <row r="569" spans="1:10" ht="30" customHeight="1" thickBot="1" x14ac:dyDescent="0.25">
      <c r="A569" s="100"/>
      <c r="B569" s="100"/>
      <c r="C569" s="100"/>
      <c r="D569" s="100"/>
      <c r="E569" s="100"/>
      <c r="F569" s="100"/>
      <c r="G569" s="100" t="s">
        <v>1853</v>
      </c>
      <c r="H569" s="107">
        <v>5.3</v>
      </c>
      <c r="I569" s="100" t="s">
        <v>1852</v>
      </c>
      <c r="J569" s="102">
        <v>3285.21</v>
      </c>
    </row>
    <row r="570" spans="1:10" ht="1.1499999999999999" customHeight="1" thickTop="1" x14ac:dyDescent="0.2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</row>
    <row r="571" spans="1:10" ht="18" customHeight="1" x14ac:dyDescent="0.2">
      <c r="A571" s="117" t="s">
        <v>162</v>
      </c>
      <c r="B571" s="126" t="s">
        <v>5</v>
      </c>
      <c r="C571" s="117" t="s">
        <v>6</v>
      </c>
      <c r="D571" s="117" t="s">
        <v>7</v>
      </c>
      <c r="E571" s="136" t="s">
        <v>1113</v>
      </c>
      <c r="F571" s="136"/>
      <c r="G571" s="7" t="s">
        <v>8</v>
      </c>
      <c r="H571" s="126" t="s">
        <v>9</v>
      </c>
      <c r="I571" s="126" t="s">
        <v>10</v>
      </c>
      <c r="J571" s="126" t="s">
        <v>12</v>
      </c>
    </row>
    <row r="572" spans="1:10" ht="24" customHeight="1" x14ac:dyDescent="0.2">
      <c r="A572" s="116" t="s">
        <v>1861</v>
      </c>
      <c r="B572" s="1" t="s">
        <v>163</v>
      </c>
      <c r="C572" s="116" t="s">
        <v>20</v>
      </c>
      <c r="D572" s="116" t="s">
        <v>164</v>
      </c>
      <c r="E572" s="137">
        <v>6</v>
      </c>
      <c r="F572" s="137"/>
      <c r="G572" s="2" t="s">
        <v>49</v>
      </c>
      <c r="H572" s="115">
        <v>1</v>
      </c>
      <c r="I572" s="61">
        <v>37.840000000000003</v>
      </c>
      <c r="J572" s="61">
        <v>37.840000000000003</v>
      </c>
    </row>
    <row r="573" spans="1:10" ht="36" customHeight="1" x14ac:dyDescent="0.2">
      <c r="A573" s="113" t="s">
        <v>1859</v>
      </c>
      <c r="B573" s="114" t="s">
        <v>2638</v>
      </c>
      <c r="C573" s="113" t="s">
        <v>20</v>
      </c>
      <c r="D573" s="113" t="s">
        <v>2637</v>
      </c>
      <c r="E573" s="139" t="s">
        <v>1369</v>
      </c>
      <c r="F573" s="139"/>
      <c r="G573" s="112" t="s">
        <v>246</v>
      </c>
      <c r="H573" s="111">
        <v>4.6800000000000001E-2</v>
      </c>
      <c r="I573" s="110">
        <v>2</v>
      </c>
      <c r="J573" s="110">
        <v>0.09</v>
      </c>
    </row>
    <row r="574" spans="1:10" ht="24" customHeight="1" x14ac:dyDescent="0.2">
      <c r="A574" s="113" t="s">
        <v>1859</v>
      </c>
      <c r="B574" s="114" t="s">
        <v>1872</v>
      </c>
      <c r="C574" s="113" t="s">
        <v>20</v>
      </c>
      <c r="D574" s="113" t="s">
        <v>1871</v>
      </c>
      <c r="E574" s="139" t="s">
        <v>1860</v>
      </c>
      <c r="F574" s="139"/>
      <c r="G574" s="112" t="s">
        <v>1864</v>
      </c>
      <c r="H574" s="111">
        <v>0.64459999999999995</v>
      </c>
      <c r="I574" s="110">
        <v>10.62</v>
      </c>
      <c r="J574" s="110">
        <v>6.85</v>
      </c>
    </row>
    <row r="575" spans="1:10" ht="24" customHeight="1" x14ac:dyDescent="0.2">
      <c r="A575" s="113" t="s">
        <v>1859</v>
      </c>
      <c r="B575" s="114" t="s">
        <v>1949</v>
      </c>
      <c r="C575" s="113" t="s">
        <v>20</v>
      </c>
      <c r="D575" s="113" t="s">
        <v>1948</v>
      </c>
      <c r="E575" s="139" t="s">
        <v>1860</v>
      </c>
      <c r="F575" s="139"/>
      <c r="G575" s="112" t="s">
        <v>1864</v>
      </c>
      <c r="H575" s="111">
        <v>1.9348000000000001</v>
      </c>
      <c r="I575" s="110">
        <v>15.97</v>
      </c>
      <c r="J575" s="110">
        <v>30.9</v>
      </c>
    </row>
    <row r="576" spans="1:10" x14ac:dyDescent="0.2">
      <c r="A576" s="109"/>
      <c r="B576" s="109"/>
      <c r="C576" s="109"/>
      <c r="D576" s="109"/>
      <c r="E576" s="109" t="s">
        <v>1858</v>
      </c>
      <c r="F576" s="108">
        <v>37.75</v>
      </c>
      <c r="G576" s="109" t="s">
        <v>1857</v>
      </c>
      <c r="H576" s="108">
        <v>0</v>
      </c>
      <c r="I576" s="109" t="s">
        <v>1856</v>
      </c>
      <c r="J576" s="108">
        <v>37.75</v>
      </c>
    </row>
    <row r="577" spans="1:10" ht="13.9" customHeight="1" x14ac:dyDescent="0.2">
      <c r="A577" s="109"/>
      <c r="B577" s="109"/>
      <c r="C577" s="109"/>
      <c r="D577" s="109"/>
      <c r="E577" s="109" t="s">
        <v>1855</v>
      </c>
      <c r="F577" s="108">
        <v>10.046519999999999</v>
      </c>
      <c r="G577" s="109"/>
      <c r="H577" s="140" t="s">
        <v>1854</v>
      </c>
      <c r="I577" s="140"/>
      <c r="J577" s="108">
        <v>47.89</v>
      </c>
    </row>
    <row r="578" spans="1:10" ht="30" customHeight="1" thickBot="1" x14ac:dyDescent="0.25">
      <c r="A578" s="100"/>
      <c r="B578" s="100"/>
      <c r="C578" s="100"/>
      <c r="D578" s="100"/>
      <c r="E578" s="100"/>
      <c r="F578" s="100"/>
      <c r="G578" s="100" t="s">
        <v>1853</v>
      </c>
      <c r="H578" s="107">
        <v>5.3</v>
      </c>
      <c r="I578" s="100" t="s">
        <v>1852</v>
      </c>
      <c r="J578" s="102">
        <v>253.82</v>
      </c>
    </row>
    <row r="579" spans="1:10" ht="1.1499999999999999" customHeight="1" thickTop="1" x14ac:dyDescent="0.2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</row>
    <row r="580" spans="1:10" ht="24" customHeight="1" x14ac:dyDescent="0.2">
      <c r="A580" s="123" t="s">
        <v>165</v>
      </c>
      <c r="B580" s="123"/>
      <c r="C580" s="123"/>
      <c r="D580" s="123" t="s">
        <v>166</v>
      </c>
      <c r="E580" s="123"/>
      <c r="F580" s="142"/>
      <c r="G580" s="142"/>
      <c r="H580" s="3"/>
      <c r="I580" s="123"/>
      <c r="J580" s="63">
        <v>24464.11</v>
      </c>
    </row>
    <row r="581" spans="1:10" ht="18" customHeight="1" x14ac:dyDescent="0.2">
      <c r="A581" s="117" t="s">
        <v>167</v>
      </c>
      <c r="B581" s="126" t="s">
        <v>5</v>
      </c>
      <c r="C581" s="117" t="s">
        <v>6</v>
      </c>
      <c r="D581" s="117" t="s">
        <v>7</v>
      </c>
      <c r="E581" s="136" t="s">
        <v>1113</v>
      </c>
      <c r="F581" s="136"/>
      <c r="G581" s="7" t="s">
        <v>8</v>
      </c>
      <c r="H581" s="126" t="s">
        <v>9</v>
      </c>
      <c r="I581" s="126" t="s">
        <v>10</v>
      </c>
      <c r="J581" s="126" t="s">
        <v>12</v>
      </c>
    </row>
    <row r="582" spans="1:10" ht="24" customHeight="1" x14ac:dyDescent="0.2">
      <c r="A582" s="116" t="s">
        <v>1861</v>
      </c>
      <c r="B582" s="1" t="s">
        <v>146</v>
      </c>
      <c r="C582" s="116" t="s">
        <v>20</v>
      </c>
      <c r="D582" s="116" t="s">
        <v>147</v>
      </c>
      <c r="E582" s="137">
        <v>6</v>
      </c>
      <c r="F582" s="137"/>
      <c r="G582" s="2" t="s">
        <v>22</v>
      </c>
      <c r="H582" s="115">
        <v>1</v>
      </c>
      <c r="I582" s="61">
        <v>91.35</v>
      </c>
      <c r="J582" s="61">
        <v>91.35</v>
      </c>
    </row>
    <row r="583" spans="1:10" ht="24" customHeight="1" x14ac:dyDescent="0.2">
      <c r="A583" s="113" t="s">
        <v>1859</v>
      </c>
      <c r="B583" s="114" t="s">
        <v>2624</v>
      </c>
      <c r="C583" s="113" t="s">
        <v>20</v>
      </c>
      <c r="D583" s="113" t="s">
        <v>2623</v>
      </c>
      <c r="E583" s="139" t="s">
        <v>1369</v>
      </c>
      <c r="F583" s="139"/>
      <c r="G583" s="112" t="s">
        <v>96</v>
      </c>
      <c r="H583" s="111">
        <v>0.47199999999999998</v>
      </c>
      <c r="I583" s="110">
        <v>7.58</v>
      </c>
      <c r="J583" s="110">
        <v>3.58</v>
      </c>
    </row>
    <row r="584" spans="1:10" ht="24" customHeight="1" x14ac:dyDescent="0.2">
      <c r="A584" s="113" t="s">
        <v>1859</v>
      </c>
      <c r="B584" s="114" t="s">
        <v>2620</v>
      </c>
      <c r="C584" s="113" t="s">
        <v>20</v>
      </c>
      <c r="D584" s="113" t="s">
        <v>2619</v>
      </c>
      <c r="E584" s="139" t="s">
        <v>1369</v>
      </c>
      <c r="F584" s="139"/>
      <c r="G584" s="112" t="s">
        <v>96</v>
      </c>
      <c r="H584" s="111">
        <v>2.4E-2</v>
      </c>
      <c r="I584" s="110">
        <v>22.63</v>
      </c>
      <c r="J584" s="110">
        <v>0.54</v>
      </c>
    </row>
    <row r="585" spans="1:10" ht="24" customHeight="1" x14ac:dyDescent="0.2">
      <c r="A585" s="113" t="s">
        <v>1859</v>
      </c>
      <c r="B585" s="114" t="s">
        <v>2616</v>
      </c>
      <c r="C585" s="113" t="s">
        <v>20</v>
      </c>
      <c r="D585" s="113" t="s">
        <v>2615</v>
      </c>
      <c r="E585" s="139" t="s">
        <v>1369</v>
      </c>
      <c r="F585" s="139"/>
      <c r="G585" s="112" t="s">
        <v>213</v>
      </c>
      <c r="H585" s="111">
        <v>2.5329999999999999</v>
      </c>
      <c r="I585" s="110">
        <v>3.26</v>
      </c>
      <c r="J585" s="110">
        <v>8.26</v>
      </c>
    </row>
    <row r="586" spans="1:10" ht="24" customHeight="1" x14ac:dyDescent="0.2">
      <c r="A586" s="113" t="s">
        <v>1859</v>
      </c>
      <c r="B586" s="114" t="s">
        <v>2646</v>
      </c>
      <c r="C586" s="113" t="s">
        <v>20</v>
      </c>
      <c r="D586" s="113" t="s">
        <v>2645</v>
      </c>
      <c r="E586" s="139" t="s">
        <v>1369</v>
      </c>
      <c r="F586" s="139"/>
      <c r="G586" s="112" t="s">
        <v>22</v>
      </c>
      <c r="H586" s="111">
        <v>0.437</v>
      </c>
      <c r="I586" s="110">
        <v>50.41</v>
      </c>
      <c r="J586" s="110">
        <v>22.03</v>
      </c>
    </row>
    <row r="587" spans="1:10" ht="24" customHeight="1" x14ac:dyDescent="0.2">
      <c r="A587" s="113" t="s">
        <v>1859</v>
      </c>
      <c r="B587" s="114" t="s">
        <v>2590</v>
      </c>
      <c r="C587" s="113" t="s">
        <v>20</v>
      </c>
      <c r="D587" s="113" t="s">
        <v>2589</v>
      </c>
      <c r="E587" s="139" t="s">
        <v>1369</v>
      </c>
      <c r="F587" s="139"/>
      <c r="G587" s="112" t="s">
        <v>1877</v>
      </c>
      <c r="H587" s="111">
        <v>0.15</v>
      </c>
      <c r="I587" s="110">
        <v>5.88</v>
      </c>
      <c r="J587" s="110">
        <v>0.88</v>
      </c>
    </row>
    <row r="588" spans="1:10" ht="24" customHeight="1" x14ac:dyDescent="0.2">
      <c r="A588" s="113" t="s">
        <v>1859</v>
      </c>
      <c r="B588" s="114" t="s">
        <v>2068</v>
      </c>
      <c r="C588" s="113" t="s">
        <v>20</v>
      </c>
      <c r="D588" s="113" t="s">
        <v>2067</v>
      </c>
      <c r="E588" s="139" t="s">
        <v>1369</v>
      </c>
      <c r="F588" s="139"/>
      <c r="G588" s="112" t="s">
        <v>213</v>
      </c>
      <c r="H588" s="111">
        <v>0.92300000000000004</v>
      </c>
      <c r="I588" s="110">
        <v>15.39</v>
      </c>
      <c r="J588" s="110">
        <v>14.2</v>
      </c>
    </row>
    <row r="589" spans="1:10" ht="24" customHeight="1" x14ac:dyDescent="0.2">
      <c r="A589" s="113" t="s">
        <v>1859</v>
      </c>
      <c r="B589" s="114" t="s">
        <v>2610</v>
      </c>
      <c r="C589" s="113" t="s">
        <v>20</v>
      </c>
      <c r="D589" s="113" t="s">
        <v>2609</v>
      </c>
      <c r="E589" s="139" t="s">
        <v>1369</v>
      </c>
      <c r="F589" s="139"/>
      <c r="G589" s="112" t="s">
        <v>96</v>
      </c>
      <c r="H589" s="111">
        <v>0.26500000000000001</v>
      </c>
      <c r="I589" s="110">
        <v>18.170000000000002</v>
      </c>
      <c r="J589" s="110">
        <v>4.82</v>
      </c>
    </row>
    <row r="590" spans="1:10" ht="24" customHeight="1" x14ac:dyDescent="0.2">
      <c r="A590" s="113" t="s">
        <v>1859</v>
      </c>
      <c r="B590" s="114" t="s">
        <v>2608</v>
      </c>
      <c r="C590" s="113" t="s">
        <v>20</v>
      </c>
      <c r="D590" s="113" t="s">
        <v>2607</v>
      </c>
      <c r="E590" s="139" t="s">
        <v>1369</v>
      </c>
      <c r="F590" s="139"/>
      <c r="G590" s="112" t="s">
        <v>213</v>
      </c>
      <c r="H590" s="111">
        <v>4.2999999999999997E-2</v>
      </c>
      <c r="I590" s="110">
        <v>26.47</v>
      </c>
      <c r="J590" s="110">
        <v>1.1399999999999999</v>
      </c>
    </row>
    <row r="591" spans="1:10" ht="24" customHeight="1" x14ac:dyDescent="0.2">
      <c r="A591" s="113" t="s">
        <v>1859</v>
      </c>
      <c r="B591" s="114" t="s">
        <v>1872</v>
      </c>
      <c r="C591" s="113" t="s">
        <v>20</v>
      </c>
      <c r="D591" s="113" t="s">
        <v>1871</v>
      </c>
      <c r="E591" s="139" t="s">
        <v>1860</v>
      </c>
      <c r="F591" s="139"/>
      <c r="G591" s="112" t="s">
        <v>1864</v>
      </c>
      <c r="H591" s="111">
        <v>1.35</v>
      </c>
      <c r="I591" s="110">
        <v>10.62</v>
      </c>
      <c r="J591" s="110">
        <v>14.34</v>
      </c>
    </row>
    <row r="592" spans="1:10" ht="24" customHeight="1" x14ac:dyDescent="0.2">
      <c r="A592" s="113" t="s">
        <v>1859</v>
      </c>
      <c r="B592" s="114" t="s">
        <v>2060</v>
      </c>
      <c r="C592" s="113" t="s">
        <v>20</v>
      </c>
      <c r="D592" s="113" t="s">
        <v>2059</v>
      </c>
      <c r="E592" s="139" t="s">
        <v>1860</v>
      </c>
      <c r="F592" s="139"/>
      <c r="G592" s="112" t="s">
        <v>1864</v>
      </c>
      <c r="H592" s="111">
        <v>1.35</v>
      </c>
      <c r="I592" s="110">
        <v>15.97</v>
      </c>
      <c r="J592" s="110">
        <v>21.56</v>
      </c>
    </row>
    <row r="593" spans="1:10" x14ac:dyDescent="0.2">
      <c r="A593" s="109"/>
      <c r="B593" s="109"/>
      <c r="C593" s="109"/>
      <c r="D593" s="109"/>
      <c r="E593" s="109" t="s">
        <v>1858</v>
      </c>
      <c r="F593" s="108">
        <v>35.9</v>
      </c>
      <c r="G593" s="109" t="s">
        <v>1857</v>
      </c>
      <c r="H593" s="108">
        <v>0</v>
      </c>
      <c r="I593" s="109" t="s">
        <v>1856</v>
      </c>
      <c r="J593" s="108">
        <v>35.9</v>
      </c>
    </row>
    <row r="594" spans="1:10" ht="13.9" customHeight="1" x14ac:dyDescent="0.2">
      <c r="A594" s="109"/>
      <c r="B594" s="109"/>
      <c r="C594" s="109"/>
      <c r="D594" s="109"/>
      <c r="E594" s="109" t="s">
        <v>1855</v>
      </c>
      <c r="F594" s="108">
        <v>24.253425</v>
      </c>
      <c r="G594" s="109"/>
      <c r="H594" s="140" t="s">
        <v>1854</v>
      </c>
      <c r="I594" s="140"/>
      <c r="J594" s="108">
        <v>115.6</v>
      </c>
    </row>
    <row r="595" spans="1:10" ht="30" customHeight="1" thickBot="1" x14ac:dyDescent="0.25">
      <c r="A595" s="100"/>
      <c r="B595" s="100"/>
      <c r="C595" s="100"/>
      <c r="D595" s="100"/>
      <c r="E595" s="100"/>
      <c r="F595" s="100"/>
      <c r="G595" s="100" t="s">
        <v>1853</v>
      </c>
      <c r="H595" s="107">
        <v>49.17</v>
      </c>
      <c r="I595" s="100" t="s">
        <v>1852</v>
      </c>
      <c r="J595" s="102">
        <v>5684.05</v>
      </c>
    </row>
    <row r="596" spans="1:10" ht="1.1499999999999999" customHeight="1" thickTop="1" x14ac:dyDescent="0.2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</row>
    <row r="597" spans="1:10" ht="18" customHeight="1" x14ac:dyDescent="0.2">
      <c r="A597" s="117" t="s">
        <v>168</v>
      </c>
      <c r="B597" s="126" t="s">
        <v>5</v>
      </c>
      <c r="C597" s="117" t="s">
        <v>6</v>
      </c>
      <c r="D597" s="117" t="s">
        <v>7</v>
      </c>
      <c r="E597" s="136" t="s">
        <v>1113</v>
      </c>
      <c r="F597" s="136"/>
      <c r="G597" s="7" t="s">
        <v>8</v>
      </c>
      <c r="H597" s="126" t="s">
        <v>9</v>
      </c>
      <c r="I597" s="126" t="s">
        <v>10</v>
      </c>
      <c r="J597" s="126" t="s">
        <v>12</v>
      </c>
    </row>
    <row r="598" spans="1:10" ht="24" customHeight="1" x14ac:dyDescent="0.2">
      <c r="A598" s="116" t="s">
        <v>1861</v>
      </c>
      <c r="B598" s="1" t="s">
        <v>94</v>
      </c>
      <c r="C598" s="116" t="s">
        <v>20</v>
      </c>
      <c r="D598" s="116" t="s">
        <v>95</v>
      </c>
      <c r="E598" s="137">
        <v>5</v>
      </c>
      <c r="F598" s="137"/>
      <c r="G598" s="2" t="s">
        <v>96</v>
      </c>
      <c r="H598" s="115">
        <v>1</v>
      </c>
      <c r="I598" s="61">
        <v>12.45</v>
      </c>
      <c r="J598" s="61">
        <v>12.45</v>
      </c>
    </row>
    <row r="599" spans="1:10" ht="24" customHeight="1" x14ac:dyDescent="0.2">
      <c r="A599" s="113" t="s">
        <v>1859</v>
      </c>
      <c r="B599" s="114" t="s">
        <v>2082</v>
      </c>
      <c r="C599" s="113" t="s">
        <v>20</v>
      </c>
      <c r="D599" s="113" t="s">
        <v>2081</v>
      </c>
      <c r="E599" s="139" t="s">
        <v>1369</v>
      </c>
      <c r="F599" s="139"/>
      <c r="G599" s="112" t="s">
        <v>96</v>
      </c>
      <c r="H599" s="111">
        <v>1.1000000000000001</v>
      </c>
      <c r="I599" s="110">
        <v>9.2200000000000006</v>
      </c>
      <c r="J599" s="110">
        <v>10.14</v>
      </c>
    </row>
    <row r="600" spans="1:10" ht="24" customHeight="1" x14ac:dyDescent="0.2">
      <c r="A600" s="113" t="s">
        <v>1859</v>
      </c>
      <c r="B600" s="114" t="s">
        <v>2074</v>
      </c>
      <c r="C600" s="113" t="s">
        <v>20</v>
      </c>
      <c r="D600" s="113" t="s">
        <v>2073</v>
      </c>
      <c r="E600" s="139" t="s">
        <v>1369</v>
      </c>
      <c r="F600" s="139"/>
      <c r="G600" s="112" t="s">
        <v>96</v>
      </c>
      <c r="H600" s="111">
        <v>0.02</v>
      </c>
      <c r="I600" s="110">
        <v>22.63</v>
      </c>
      <c r="J600" s="110">
        <v>0.45</v>
      </c>
    </row>
    <row r="601" spans="1:10" ht="24" customHeight="1" x14ac:dyDescent="0.2">
      <c r="A601" s="113" t="s">
        <v>1859</v>
      </c>
      <c r="B601" s="114" t="s">
        <v>2064</v>
      </c>
      <c r="C601" s="113" t="s">
        <v>20</v>
      </c>
      <c r="D601" s="113" t="s">
        <v>2063</v>
      </c>
      <c r="E601" s="139" t="s">
        <v>1860</v>
      </c>
      <c r="F601" s="139"/>
      <c r="G601" s="112" t="s">
        <v>1864</v>
      </c>
      <c r="H601" s="111">
        <v>7.0000000000000007E-2</v>
      </c>
      <c r="I601" s="110">
        <v>15.97</v>
      </c>
      <c r="J601" s="110">
        <v>1.1200000000000001</v>
      </c>
    </row>
    <row r="602" spans="1:10" ht="24" customHeight="1" x14ac:dyDescent="0.2">
      <c r="A602" s="113" t="s">
        <v>1859</v>
      </c>
      <c r="B602" s="114" t="s">
        <v>1951</v>
      </c>
      <c r="C602" s="113" t="s">
        <v>20</v>
      </c>
      <c r="D602" s="113" t="s">
        <v>1950</v>
      </c>
      <c r="E602" s="139" t="s">
        <v>1860</v>
      </c>
      <c r="F602" s="139"/>
      <c r="G602" s="112" t="s">
        <v>1864</v>
      </c>
      <c r="H602" s="111">
        <v>7.0000000000000007E-2</v>
      </c>
      <c r="I602" s="110">
        <v>10.62</v>
      </c>
      <c r="J602" s="110">
        <v>0.74</v>
      </c>
    </row>
    <row r="603" spans="1:10" x14ac:dyDescent="0.2">
      <c r="A603" s="109"/>
      <c r="B603" s="109"/>
      <c r="C603" s="109"/>
      <c r="D603" s="109"/>
      <c r="E603" s="109" t="s">
        <v>1858</v>
      </c>
      <c r="F603" s="108">
        <v>1.86</v>
      </c>
      <c r="G603" s="109" t="s">
        <v>1857</v>
      </c>
      <c r="H603" s="108">
        <v>0</v>
      </c>
      <c r="I603" s="109" t="s">
        <v>1856</v>
      </c>
      <c r="J603" s="108">
        <v>1.86</v>
      </c>
    </row>
    <row r="604" spans="1:10" ht="13.9" customHeight="1" x14ac:dyDescent="0.2">
      <c r="A604" s="109"/>
      <c r="B604" s="109"/>
      <c r="C604" s="109"/>
      <c r="D604" s="109"/>
      <c r="E604" s="109" t="s">
        <v>1855</v>
      </c>
      <c r="F604" s="108">
        <v>3.3054749999999999</v>
      </c>
      <c r="G604" s="109"/>
      <c r="H604" s="140" t="s">
        <v>1854</v>
      </c>
      <c r="I604" s="140"/>
      <c r="J604" s="108">
        <v>15.76</v>
      </c>
    </row>
    <row r="605" spans="1:10" ht="30" customHeight="1" thickBot="1" x14ac:dyDescent="0.25">
      <c r="A605" s="100"/>
      <c r="B605" s="100"/>
      <c r="C605" s="100"/>
      <c r="D605" s="100"/>
      <c r="E605" s="100"/>
      <c r="F605" s="100"/>
      <c r="G605" s="100" t="s">
        <v>1853</v>
      </c>
      <c r="H605" s="107">
        <v>95.9</v>
      </c>
      <c r="I605" s="100" t="s">
        <v>1852</v>
      </c>
      <c r="J605" s="102">
        <v>1511.38</v>
      </c>
    </row>
    <row r="606" spans="1:10" ht="1.1499999999999999" customHeight="1" thickTop="1" x14ac:dyDescent="0.2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</row>
    <row r="607" spans="1:10" ht="18" customHeight="1" x14ac:dyDescent="0.2">
      <c r="A607" s="117" t="s">
        <v>169</v>
      </c>
      <c r="B607" s="126" t="s">
        <v>5</v>
      </c>
      <c r="C607" s="117" t="s">
        <v>6</v>
      </c>
      <c r="D607" s="117" t="s">
        <v>7</v>
      </c>
      <c r="E607" s="136" t="s">
        <v>1113</v>
      </c>
      <c r="F607" s="136"/>
      <c r="G607" s="7" t="s">
        <v>8</v>
      </c>
      <c r="H607" s="126" t="s">
        <v>9</v>
      </c>
      <c r="I607" s="126" t="s">
        <v>10</v>
      </c>
      <c r="J607" s="126" t="s">
        <v>12</v>
      </c>
    </row>
    <row r="608" spans="1:10" ht="24" customHeight="1" x14ac:dyDescent="0.2">
      <c r="A608" s="116" t="s">
        <v>1861</v>
      </c>
      <c r="B608" s="1" t="s">
        <v>170</v>
      </c>
      <c r="C608" s="116" t="s">
        <v>20</v>
      </c>
      <c r="D608" s="116" t="s">
        <v>171</v>
      </c>
      <c r="E608" s="137">
        <v>6</v>
      </c>
      <c r="F608" s="137"/>
      <c r="G608" s="2" t="s">
        <v>96</v>
      </c>
      <c r="H608" s="115">
        <v>1</v>
      </c>
      <c r="I608" s="61">
        <v>11.83</v>
      </c>
      <c r="J608" s="61">
        <v>11.83</v>
      </c>
    </row>
    <row r="609" spans="1:10" ht="24" customHeight="1" x14ac:dyDescent="0.2">
      <c r="A609" s="113" t="s">
        <v>1859</v>
      </c>
      <c r="B609" s="114" t="s">
        <v>2074</v>
      </c>
      <c r="C609" s="113" t="s">
        <v>20</v>
      </c>
      <c r="D609" s="113" t="s">
        <v>2073</v>
      </c>
      <c r="E609" s="139" t="s">
        <v>1369</v>
      </c>
      <c r="F609" s="139"/>
      <c r="G609" s="112" t="s">
        <v>96</v>
      </c>
      <c r="H609" s="111">
        <v>0.02</v>
      </c>
      <c r="I609" s="110">
        <v>22.63</v>
      </c>
      <c r="J609" s="110">
        <v>0.45</v>
      </c>
    </row>
    <row r="610" spans="1:10" ht="24" customHeight="1" x14ac:dyDescent="0.2">
      <c r="A610" s="113" t="s">
        <v>1859</v>
      </c>
      <c r="B610" s="114" t="s">
        <v>2078</v>
      </c>
      <c r="C610" s="113" t="s">
        <v>20</v>
      </c>
      <c r="D610" s="113" t="s">
        <v>2077</v>
      </c>
      <c r="E610" s="139" t="s">
        <v>1369</v>
      </c>
      <c r="F610" s="139"/>
      <c r="G610" s="112" t="s">
        <v>96</v>
      </c>
      <c r="H610" s="111">
        <v>1.1000000000000001</v>
      </c>
      <c r="I610" s="110">
        <v>8.41</v>
      </c>
      <c r="J610" s="110">
        <v>9.25</v>
      </c>
    </row>
    <row r="611" spans="1:10" ht="24" customHeight="1" x14ac:dyDescent="0.2">
      <c r="A611" s="113" t="s">
        <v>1859</v>
      </c>
      <c r="B611" s="114" t="s">
        <v>1951</v>
      </c>
      <c r="C611" s="113" t="s">
        <v>20</v>
      </c>
      <c r="D611" s="113" t="s">
        <v>1950</v>
      </c>
      <c r="E611" s="139" t="s">
        <v>1860</v>
      </c>
      <c r="F611" s="139"/>
      <c r="G611" s="112" t="s">
        <v>1864</v>
      </c>
      <c r="H611" s="111">
        <v>0.08</v>
      </c>
      <c r="I611" s="110">
        <v>10.62</v>
      </c>
      <c r="J611" s="110">
        <v>0.85</v>
      </c>
    </row>
    <row r="612" spans="1:10" ht="24" customHeight="1" x14ac:dyDescent="0.2">
      <c r="A612" s="113" t="s">
        <v>1859</v>
      </c>
      <c r="B612" s="114" t="s">
        <v>2064</v>
      </c>
      <c r="C612" s="113" t="s">
        <v>20</v>
      </c>
      <c r="D612" s="113" t="s">
        <v>2063</v>
      </c>
      <c r="E612" s="139" t="s">
        <v>1860</v>
      </c>
      <c r="F612" s="139"/>
      <c r="G612" s="112" t="s">
        <v>1864</v>
      </c>
      <c r="H612" s="111">
        <v>0.08</v>
      </c>
      <c r="I612" s="110">
        <v>15.97</v>
      </c>
      <c r="J612" s="110">
        <v>1.28</v>
      </c>
    </row>
    <row r="613" spans="1:10" x14ac:dyDescent="0.2">
      <c r="A613" s="109"/>
      <c r="B613" s="109"/>
      <c r="C613" s="109"/>
      <c r="D613" s="109"/>
      <c r="E613" s="109" t="s">
        <v>1858</v>
      </c>
      <c r="F613" s="108">
        <v>2.13</v>
      </c>
      <c r="G613" s="109" t="s">
        <v>1857</v>
      </c>
      <c r="H613" s="108">
        <v>0</v>
      </c>
      <c r="I613" s="109" t="s">
        <v>1856</v>
      </c>
      <c r="J613" s="108">
        <v>2.13</v>
      </c>
    </row>
    <row r="614" spans="1:10" ht="13.9" customHeight="1" x14ac:dyDescent="0.2">
      <c r="A614" s="109"/>
      <c r="B614" s="109"/>
      <c r="C614" s="109"/>
      <c r="D614" s="109"/>
      <c r="E614" s="109" t="s">
        <v>1855</v>
      </c>
      <c r="F614" s="108">
        <v>3.1408649999999998</v>
      </c>
      <c r="G614" s="109"/>
      <c r="H614" s="140" t="s">
        <v>1854</v>
      </c>
      <c r="I614" s="140"/>
      <c r="J614" s="108">
        <v>14.97</v>
      </c>
    </row>
    <row r="615" spans="1:10" ht="30" customHeight="1" thickBot="1" x14ac:dyDescent="0.25">
      <c r="A615" s="100"/>
      <c r="B615" s="100"/>
      <c r="C615" s="100"/>
      <c r="D615" s="100"/>
      <c r="E615" s="100"/>
      <c r="F615" s="100"/>
      <c r="G615" s="100" t="s">
        <v>1853</v>
      </c>
      <c r="H615" s="107">
        <v>52</v>
      </c>
      <c r="I615" s="100" t="s">
        <v>1852</v>
      </c>
      <c r="J615" s="102">
        <v>778.44</v>
      </c>
    </row>
    <row r="616" spans="1:10" ht="1.1499999999999999" customHeight="1" thickTop="1" x14ac:dyDescent="0.2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</row>
    <row r="617" spans="1:10" ht="18" customHeight="1" x14ac:dyDescent="0.2">
      <c r="A617" s="117" t="s">
        <v>172</v>
      </c>
      <c r="B617" s="126" t="s">
        <v>5</v>
      </c>
      <c r="C617" s="117" t="s">
        <v>6</v>
      </c>
      <c r="D617" s="117" t="s">
        <v>7</v>
      </c>
      <c r="E617" s="136" t="s">
        <v>1113</v>
      </c>
      <c r="F617" s="136"/>
      <c r="G617" s="7" t="s">
        <v>8</v>
      </c>
      <c r="H617" s="126" t="s">
        <v>9</v>
      </c>
      <c r="I617" s="126" t="s">
        <v>10</v>
      </c>
      <c r="J617" s="126" t="s">
        <v>12</v>
      </c>
    </row>
    <row r="618" spans="1:10" ht="24" customHeight="1" x14ac:dyDescent="0.2">
      <c r="A618" s="116" t="s">
        <v>1861</v>
      </c>
      <c r="B618" s="1" t="s">
        <v>173</v>
      </c>
      <c r="C618" s="116" t="s">
        <v>20</v>
      </c>
      <c r="D618" s="116" t="s">
        <v>174</v>
      </c>
      <c r="E618" s="137">
        <v>6</v>
      </c>
      <c r="F618" s="137"/>
      <c r="G618" s="2" t="s">
        <v>96</v>
      </c>
      <c r="H618" s="115">
        <v>1</v>
      </c>
      <c r="I618" s="61">
        <v>11.25</v>
      </c>
      <c r="J618" s="61">
        <v>11.25</v>
      </c>
    </row>
    <row r="619" spans="1:10" ht="24" customHeight="1" x14ac:dyDescent="0.2">
      <c r="A619" s="113" t="s">
        <v>1859</v>
      </c>
      <c r="B619" s="114" t="s">
        <v>2243</v>
      </c>
      <c r="C619" s="113" t="s">
        <v>20</v>
      </c>
      <c r="D619" s="113" t="s">
        <v>2242</v>
      </c>
      <c r="E619" s="139" t="s">
        <v>1369</v>
      </c>
      <c r="F619" s="139"/>
      <c r="G619" s="112" t="s">
        <v>96</v>
      </c>
      <c r="H619" s="111">
        <v>1.1000000000000001</v>
      </c>
      <c r="I619" s="110">
        <v>7.88</v>
      </c>
      <c r="J619" s="110">
        <v>8.67</v>
      </c>
    </row>
    <row r="620" spans="1:10" ht="24" customHeight="1" x14ac:dyDescent="0.2">
      <c r="A620" s="113" t="s">
        <v>1859</v>
      </c>
      <c r="B620" s="114" t="s">
        <v>2074</v>
      </c>
      <c r="C620" s="113" t="s">
        <v>20</v>
      </c>
      <c r="D620" s="113" t="s">
        <v>2073</v>
      </c>
      <c r="E620" s="139" t="s">
        <v>1369</v>
      </c>
      <c r="F620" s="139"/>
      <c r="G620" s="112" t="s">
        <v>96</v>
      </c>
      <c r="H620" s="111">
        <v>0.02</v>
      </c>
      <c r="I620" s="110">
        <v>22.63</v>
      </c>
      <c r="J620" s="110">
        <v>0.45</v>
      </c>
    </row>
    <row r="621" spans="1:10" ht="24" customHeight="1" x14ac:dyDescent="0.2">
      <c r="A621" s="113" t="s">
        <v>1859</v>
      </c>
      <c r="B621" s="114" t="s">
        <v>1951</v>
      </c>
      <c r="C621" s="113" t="s">
        <v>20</v>
      </c>
      <c r="D621" s="113" t="s">
        <v>1950</v>
      </c>
      <c r="E621" s="139" t="s">
        <v>1860</v>
      </c>
      <c r="F621" s="139"/>
      <c r="G621" s="112" t="s">
        <v>1864</v>
      </c>
      <c r="H621" s="111">
        <v>0.08</v>
      </c>
      <c r="I621" s="110">
        <v>10.62</v>
      </c>
      <c r="J621" s="110">
        <v>0.85</v>
      </c>
    </row>
    <row r="622" spans="1:10" ht="24" customHeight="1" x14ac:dyDescent="0.2">
      <c r="A622" s="113" t="s">
        <v>1859</v>
      </c>
      <c r="B622" s="114" t="s">
        <v>2064</v>
      </c>
      <c r="C622" s="113" t="s">
        <v>20</v>
      </c>
      <c r="D622" s="113" t="s">
        <v>2063</v>
      </c>
      <c r="E622" s="139" t="s">
        <v>1860</v>
      </c>
      <c r="F622" s="139"/>
      <c r="G622" s="112" t="s">
        <v>1864</v>
      </c>
      <c r="H622" s="111">
        <v>0.08</v>
      </c>
      <c r="I622" s="110">
        <v>15.97</v>
      </c>
      <c r="J622" s="110">
        <v>1.28</v>
      </c>
    </row>
    <row r="623" spans="1:10" x14ac:dyDescent="0.2">
      <c r="A623" s="109"/>
      <c r="B623" s="109"/>
      <c r="C623" s="109"/>
      <c r="D623" s="109"/>
      <c r="E623" s="109" t="s">
        <v>1858</v>
      </c>
      <c r="F623" s="108">
        <v>2.13</v>
      </c>
      <c r="G623" s="109" t="s">
        <v>1857</v>
      </c>
      <c r="H623" s="108">
        <v>0</v>
      </c>
      <c r="I623" s="109" t="s">
        <v>1856</v>
      </c>
      <c r="J623" s="108">
        <v>2.13</v>
      </c>
    </row>
    <row r="624" spans="1:10" ht="13.9" customHeight="1" x14ac:dyDescent="0.2">
      <c r="A624" s="109"/>
      <c r="B624" s="109"/>
      <c r="C624" s="109"/>
      <c r="D624" s="109"/>
      <c r="E624" s="109" t="s">
        <v>1855</v>
      </c>
      <c r="F624" s="108">
        <v>2.9868749999999999</v>
      </c>
      <c r="G624" s="109"/>
      <c r="H624" s="140" t="s">
        <v>1854</v>
      </c>
      <c r="I624" s="140"/>
      <c r="J624" s="108">
        <v>14.24</v>
      </c>
    </row>
    <row r="625" spans="1:10" ht="30" customHeight="1" thickBot="1" x14ac:dyDescent="0.25">
      <c r="A625" s="100"/>
      <c r="B625" s="100"/>
      <c r="C625" s="100"/>
      <c r="D625" s="100"/>
      <c r="E625" s="100"/>
      <c r="F625" s="100"/>
      <c r="G625" s="100" t="s">
        <v>1853</v>
      </c>
      <c r="H625" s="107">
        <v>110.3</v>
      </c>
      <c r="I625" s="100" t="s">
        <v>1852</v>
      </c>
      <c r="J625" s="102">
        <v>1570.67</v>
      </c>
    </row>
    <row r="626" spans="1:10" ht="1.1499999999999999" customHeight="1" thickTop="1" x14ac:dyDescent="0.2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</row>
    <row r="627" spans="1:10" ht="18" customHeight="1" x14ac:dyDescent="0.2">
      <c r="A627" s="117" t="s">
        <v>175</v>
      </c>
      <c r="B627" s="126" t="s">
        <v>5</v>
      </c>
      <c r="C627" s="117" t="s">
        <v>6</v>
      </c>
      <c r="D627" s="117" t="s">
        <v>7</v>
      </c>
      <c r="E627" s="136" t="s">
        <v>1113</v>
      </c>
      <c r="F627" s="136"/>
      <c r="G627" s="7" t="s">
        <v>8</v>
      </c>
      <c r="H627" s="126" t="s">
        <v>9</v>
      </c>
      <c r="I627" s="126" t="s">
        <v>10</v>
      </c>
      <c r="J627" s="126" t="s">
        <v>12</v>
      </c>
    </row>
    <row r="628" spans="1:10" ht="24" customHeight="1" x14ac:dyDescent="0.2">
      <c r="A628" s="116" t="s">
        <v>1861</v>
      </c>
      <c r="B628" s="1" t="s">
        <v>150</v>
      </c>
      <c r="C628" s="116" t="s">
        <v>20</v>
      </c>
      <c r="D628" s="116" t="s">
        <v>99</v>
      </c>
      <c r="E628" s="137">
        <v>6</v>
      </c>
      <c r="F628" s="137"/>
      <c r="G628" s="2" t="s">
        <v>96</v>
      </c>
      <c r="H628" s="115">
        <v>1</v>
      </c>
      <c r="I628" s="61">
        <v>10.92</v>
      </c>
      <c r="J628" s="61">
        <v>10.92</v>
      </c>
    </row>
    <row r="629" spans="1:10" ht="24" customHeight="1" x14ac:dyDescent="0.2">
      <c r="A629" s="113" t="s">
        <v>1859</v>
      </c>
      <c r="B629" s="114" t="s">
        <v>2624</v>
      </c>
      <c r="C629" s="113" t="s">
        <v>20</v>
      </c>
      <c r="D629" s="113" t="s">
        <v>2623</v>
      </c>
      <c r="E629" s="139" t="s">
        <v>1369</v>
      </c>
      <c r="F629" s="139"/>
      <c r="G629" s="112" t="s">
        <v>96</v>
      </c>
      <c r="H629" s="111">
        <v>1.1000000000000001</v>
      </c>
      <c r="I629" s="110">
        <v>7.58</v>
      </c>
      <c r="J629" s="110">
        <v>8.34</v>
      </c>
    </row>
    <row r="630" spans="1:10" ht="24" customHeight="1" x14ac:dyDescent="0.2">
      <c r="A630" s="113" t="s">
        <v>1859</v>
      </c>
      <c r="B630" s="114" t="s">
        <v>2074</v>
      </c>
      <c r="C630" s="113" t="s">
        <v>20</v>
      </c>
      <c r="D630" s="113" t="s">
        <v>2073</v>
      </c>
      <c r="E630" s="139" t="s">
        <v>1369</v>
      </c>
      <c r="F630" s="139"/>
      <c r="G630" s="112" t="s">
        <v>96</v>
      </c>
      <c r="H630" s="111">
        <v>0.02</v>
      </c>
      <c r="I630" s="110">
        <v>22.63</v>
      </c>
      <c r="J630" s="110">
        <v>0.45</v>
      </c>
    </row>
    <row r="631" spans="1:10" ht="24" customHeight="1" x14ac:dyDescent="0.2">
      <c r="A631" s="113" t="s">
        <v>1859</v>
      </c>
      <c r="B631" s="114" t="s">
        <v>2064</v>
      </c>
      <c r="C631" s="113" t="s">
        <v>20</v>
      </c>
      <c r="D631" s="113" t="s">
        <v>2063</v>
      </c>
      <c r="E631" s="139" t="s">
        <v>1860</v>
      </c>
      <c r="F631" s="139"/>
      <c r="G631" s="112" t="s">
        <v>1864</v>
      </c>
      <c r="H631" s="111">
        <v>0.08</v>
      </c>
      <c r="I631" s="110">
        <v>15.97</v>
      </c>
      <c r="J631" s="110">
        <v>1.28</v>
      </c>
    </row>
    <row r="632" spans="1:10" ht="24" customHeight="1" x14ac:dyDescent="0.2">
      <c r="A632" s="113" t="s">
        <v>1859</v>
      </c>
      <c r="B632" s="114" t="s">
        <v>1951</v>
      </c>
      <c r="C632" s="113" t="s">
        <v>20</v>
      </c>
      <c r="D632" s="113" t="s">
        <v>1950</v>
      </c>
      <c r="E632" s="139" t="s">
        <v>1860</v>
      </c>
      <c r="F632" s="139"/>
      <c r="G632" s="112" t="s">
        <v>1864</v>
      </c>
      <c r="H632" s="111">
        <v>0.08</v>
      </c>
      <c r="I632" s="110">
        <v>10.62</v>
      </c>
      <c r="J632" s="110">
        <v>0.85</v>
      </c>
    </row>
    <row r="633" spans="1:10" x14ac:dyDescent="0.2">
      <c r="A633" s="109"/>
      <c r="B633" s="109"/>
      <c r="C633" s="109"/>
      <c r="D633" s="109"/>
      <c r="E633" s="109" t="s">
        <v>1858</v>
      </c>
      <c r="F633" s="108">
        <v>2.13</v>
      </c>
      <c r="G633" s="109" t="s">
        <v>1857</v>
      </c>
      <c r="H633" s="108">
        <v>0</v>
      </c>
      <c r="I633" s="109" t="s">
        <v>1856</v>
      </c>
      <c r="J633" s="108">
        <v>2.13</v>
      </c>
    </row>
    <row r="634" spans="1:10" ht="13.9" customHeight="1" x14ac:dyDescent="0.2">
      <c r="A634" s="109"/>
      <c r="B634" s="109"/>
      <c r="C634" s="109"/>
      <c r="D634" s="109"/>
      <c r="E634" s="109" t="s">
        <v>1855</v>
      </c>
      <c r="F634" s="108">
        <v>2.8992599999999999</v>
      </c>
      <c r="G634" s="109"/>
      <c r="H634" s="140" t="s">
        <v>1854</v>
      </c>
      <c r="I634" s="140"/>
      <c r="J634" s="108">
        <v>13.82</v>
      </c>
    </row>
    <row r="635" spans="1:10" ht="30" customHeight="1" thickBot="1" x14ac:dyDescent="0.25">
      <c r="A635" s="100"/>
      <c r="B635" s="100"/>
      <c r="C635" s="100"/>
      <c r="D635" s="100"/>
      <c r="E635" s="100"/>
      <c r="F635" s="100"/>
      <c r="G635" s="100" t="s">
        <v>1853</v>
      </c>
      <c r="H635" s="107">
        <v>78.599999999999994</v>
      </c>
      <c r="I635" s="100" t="s">
        <v>1852</v>
      </c>
      <c r="J635" s="102">
        <v>1086.25</v>
      </c>
    </row>
    <row r="636" spans="1:10" ht="1.1499999999999999" customHeight="1" thickTop="1" x14ac:dyDescent="0.2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</row>
    <row r="637" spans="1:10" ht="18" customHeight="1" x14ac:dyDescent="0.2">
      <c r="A637" s="117" t="s">
        <v>176</v>
      </c>
      <c r="B637" s="126" t="s">
        <v>5</v>
      </c>
      <c r="C637" s="117" t="s">
        <v>6</v>
      </c>
      <c r="D637" s="117" t="s">
        <v>7</v>
      </c>
      <c r="E637" s="136" t="s">
        <v>1113</v>
      </c>
      <c r="F637" s="136"/>
      <c r="G637" s="7" t="s">
        <v>8</v>
      </c>
      <c r="H637" s="126" t="s">
        <v>9</v>
      </c>
      <c r="I637" s="126" t="s">
        <v>10</v>
      </c>
      <c r="J637" s="126" t="s">
        <v>12</v>
      </c>
    </row>
    <row r="638" spans="1:10" ht="24" customHeight="1" x14ac:dyDescent="0.2">
      <c r="A638" s="116" t="s">
        <v>1861</v>
      </c>
      <c r="B638" s="1" t="s">
        <v>152</v>
      </c>
      <c r="C638" s="116" t="s">
        <v>20</v>
      </c>
      <c r="D638" s="116" t="s">
        <v>153</v>
      </c>
      <c r="E638" s="137">
        <v>6</v>
      </c>
      <c r="F638" s="137"/>
      <c r="G638" s="2" t="s">
        <v>96</v>
      </c>
      <c r="H638" s="115">
        <v>1</v>
      </c>
      <c r="I638" s="61">
        <v>11.46</v>
      </c>
      <c r="J638" s="61">
        <v>11.46</v>
      </c>
    </row>
    <row r="639" spans="1:10" ht="24" customHeight="1" x14ac:dyDescent="0.2">
      <c r="A639" s="113" t="s">
        <v>1859</v>
      </c>
      <c r="B639" s="114" t="s">
        <v>2074</v>
      </c>
      <c r="C639" s="113" t="s">
        <v>20</v>
      </c>
      <c r="D639" s="113" t="s">
        <v>2073</v>
      </c>
      <c r="E639" s="139" t="s">
        <v>1369</v>
      </c>
      <c r="F639" s="139"/>
      <c r="G639" s="112" t="s">
        <v>96</v>
      </c>
      <c r="H639" s="111">
        <v>0.03</v>
      </c>
      <c r="I639" s="110">
        <v>22.63</v>
      </c>
      <c r="J639" s="110">
        <v>0.68</v>
      </c>
    </row>
    <row r="640" spans="1:10" ht="24" customHeight="1" x14ac:dyDescent="0.2">
      <c r="A640" s="113" t="s">
        <v>1859</v>
      </c>
      <c r="B640" s="114" t="s">
        <v>2622</v>
      </c>
      <c r="C640" s="113" t="s">
        <v>20</v>
      </c>
      <c r="D640" s="113" t="s">
        <v>2621</v>
      </c>
      <c r="E640" s="139" t="s">
        <v>1369</v>
      </c>
      <c r="F640" s="139"/>
      <c r="G640" s="112" t="s">
        <v>96</v>
      </c>
      <c r="H640" s="111">
        <v>1.1000000000000001</v>
      </c>
      <c r="I640" s="110">
        <v>7.38</v>
      </c>
      <c r="J640" s="110">
        <v>8.1199999999999992</v>
      </c>
    </row>
    <row r="641" spans="1:10" ht="24" customHeight="1" x14ac:dyDescent="0.2">
      <c r="A641" s="113" t="s">
        <v>1859</v>
      </c>
      <c r="B641" s="114" t="s">
        <v>1951</v>
      </c>
      <c r="C641" s="113" t="s">
        <v>20</v>
      </c>
      <c r="D641" s="113" t="s">
        <v>1950</v>
      </c>
      <c r="E641" s="139" t="s">
        <v>1860</v>
      </c>
      <c r="F641" s="139"/>
      <c r="G641" s="112" t="s">
        <v>1864</v>
      </c>
      <c r="H641" s="111">
        <v>0.1</v>
      </c>
      <c r="I641" s="110">
        <v>10.62</v>
      </c>
      <c r="J641" s="110">
        <v>1.06</v>
      </c>
    </row>
    <row r="642" spans="1:10" ht="24" customHeight="1" x14ac:dyDescent="0.2">
      <c r="A642" s="113" t="s">
        <v>1859</v>
      </c>
      <c r="B642" s="114" t="s">
        <v>2064</v>
      </c>
      <c r="C642" s="113" t="s">
        <v>20</v>
      </c>
      <c r="D642" s="113" t="s">
        <v>2063</v>
      </c>
      <c r="E642" s="139" t="s">
        <v>1860</v>
      </c>
      <c r="F642" s="139"/>
      <c r="G642" s="112" t="s">
        <v>1864</v>
      </c>
      <c r="H642" s="111">
        <v>0.1</v>
      </c>
      <c r="I642" s="110">
        <v>15.97</v>
      </c>
      <c r="J642" s="110">
        <v>1.6</v>
      </c>
    </row>
    <row r="643" spans="1:10" x14ac:dyDescent="0.2">
      <c r="A643" s="109"/>
      <c r="B643" s="109"/>
      <c r="C643" s="109"/>
      <c r="D643" s="109"/>
      <c r="E643" s="109" t="s">
        <v>1858</v>
      </c>
      <c r="F643" s="108">
        <v>2.66</v>
      </c>
      <c r="G643" s="109" t="s">
        <v>1857</v>
      </c>
      <c r="H643" s="108">
        <v>0</v>
      </c>
      <c r="I643" s="109" t="s">
        <v>1856</v>
      </c>
      <c r="J643" s="108">
        <v>2.66</v>
      </c>
    </row>
    <row r="644" spans="1:10" ht="13.9" customHeight="1" x14ac:dyDescent="0.2">
      <c r="A644" s="109"/>
      <c r="B644" s="109"/>
      <c r="C644" s="109"/>
      <c r="D644" s="109"/>
      <c r="E644" s="109" t="s">
        <v>1855</v>
      </c>
      <c r="F644" s="108">
        <v>3.0426299999999999</v>
      </c>
      <c r="G644" s="109"/>
      <c r="H644" s="140" t="s">
        <v>1854</v>
      </c>
      <c r="I644" s="140"/>
      <c r="J644" s="108">
        <v>14.5</v>
      </c>
    </row>
    <row r="645" spans="1:10" ht="30" customHeight="1" thickBot="1" x14ac:dyDescent="0.25">
      <c r="A645" s="100"/>
      <c r="B645" s="100"/>
      <c r="C645" s="100"/>
      <c r="D645" s="100"/>
      <c r="E645" s="100"/>
      <c r="F645" s="100"/>
      <c r="G645" s="100" t="s">
        <v>1853</v>
      </c>
      <c r="H645" s="107">
        <v>116.8</v>
      </c>
      <c r="I645" s="100" t="s">
        <v>1852</v>
      </c>
      <c r="J645" s="102">
        <v>1693.6</v>
      </c>
    </row>
    <row r="646" spans="1:10" ht="1.1499999999999999" customHeight="1" thickTop="1" x14ac:dyDescent="0.2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</row>
    <row r="647" spans="1:10" ht="18" customHeight="1" x14ac:dyDescent="0.2">
      <c r="A647" s="117" t="s">
        <v>177</v>
      </c>
      <c r="B647" s="126" t="s">
        <v>5</v>
      </c>
      <c r="C647" s="117" t="s">
        <v>6</v>
      </c>
      <c r="D647" s="117" t="s">
        <v>7</v>
      </c>
      <c r="E647" s="136" t="s">
        <v>1113</v>
      </c>
      <c r="F647" s="136"/>
      <c r="G647" s="7" t="s">
        <v>8</v>
      </c>
      <c r="H647" s="126" t="s">
        <v>9</v>
      </c>
      <c r="I647" s="126" t="s">
        <v>10</v>
      </c>
      <c r="J647" s="126" t="s">
        <v>12</v>
      </c>
    </row>
    <row r="648" spans="1:10" ht="24" customHeight="1" x14ac:dyDescent="0.2">
      <c r="A648" s="116" t="s">
        <v>1861</v>
      </c>
      <c r="B648" s="1" t="s">
        <v>155</v>
      </c>
      <c r="C648" s="116" t="s">
        <v>20</v>
      </c>
      <c r="D648" s="116" t="s">
        <v>156</v>
      </c>
      <c r="E648" s="137">
        <v>6</v>
      </c>
      <c r="F648" s="137"/>
      <c r="G648" s="2" t="s">
        <v>96</v>
      </c>
      <c r="H648" s="115">
        <v>1</v>
      </c>
      <c r="I648" s="61">
        <v>11.32</v>
      </c>
      <c r="J648" s="61">
        <v>11.32</v>
      </c>
    </row>
    <row r="649" spans="1:10" ht="24" customHeight="1" x14ac:dyDescent="0.2">
      <c r="A649" s="113" t="s">
        <v>1859</v>
      </c>
      <c r="B649" s="114" t="s">
        <v>2644</v>
      </c>
      <c r="C649" s="113" t="s">
        <v>20</v>
      </c>
      <c r="D649" s="113" t="s">
        <v>2643</v>
      </c>
      <c r="E649" s="139" t="s">
        <v>1369</v>
      </c>
      <c r="F649" s="139"/>
      <c r="G649" s="112" t="s">
        <v>96</v>
      </c>
      <c r="H649" s="111">
        <v>1.1000000000000001</v>
      </c>
      <c r="I649" s="110">
        <v>7.25</v>
      </c>
      <c r="J649" s="110">
        <v>7.98</v>
      </c>
    </row>
    <row r="650" spans="1:10" ht="24" customHeight="1" x14ac:dyDescent="0.2">
      <c r="A650" s="113" t="s">
        <v>1859</v>
      </c>
      <c r="B650" s="114" t="s">
        <v>2074</v>
      </c>
      <c r="C650" s="113" t="s">
        <v>20</v>
      </c>
      <c r="D650" s="113" t="s">
        <v>2073</v>
      </c>
      <c r="E650" s="139" t="s">
        <v>1369</v>
      </c>
      <c r="F650" s="139"/>
      <c r="G650" s="112" t="s">
        <v>96</v>
      </c>
      <c r="H650" s="111">
        <v>0.03</v>
      </c>
      <c r="I650" s="110">
        <v>22.63</v>
      </c>
      <c r="J650" s="110">
        <v>0.68</v>
      </c>
    </row>
    <row r="651" spans="1:10" ht="24" customHeight="1" x14ac:dyDescent="0.2">
      <c r="A651" s="113" t="s">
        <v>1859</v>
      </c>
      <c r="B651" s="114" t="s">
        <v>2064</v>
      </c>
      <c r="C651" s="113" t="s">
        <v>20</v>
      </c>
      <c r="D651" s="113" t="s">
        <v>2063</v>
      </c>
      <c r="E651" s="139" t="s">
        <v>1860</v>
      </c>
      <c r="F651" s="139"/>
      <c r="G651" s="112" t="s">
        <v>1864</v>
      </c>
      <c r="H651" s="111">
        <v>0.1</v>
      </c>
      <c r="I651" s="110">
        <v>15.97</v>
      </c>
      <c r="J651" s="110">
        <v>1.6</v>
      </c>
    </row>
    <row r="652" spans="1:10" ht="24" customHeight="1" x14ac:dyDescent="0.2">
      <c r="A652" s="113" t="s">
        <v>1859</v>
      </c>
      <c r="B652" s="114" t="s">
        <v>1951</v>
      </c>
      <c r="C652" s="113" t="s">
        <v>20</v>
      </c>
      <c r="D652" s="113" t="s">
        <v>1950</v>
      </c>
      <c r="E652" s="139" t="s">
        <v>1860</v>
      </c>
      <c r="F652" s="139"/>
      <c r="G652" s="112" t="s">
        <v>1864</v>
      </c>
      <c r="H652" s="111">
        <v>0.1</v>
      </c>
      <c r="I652" s="110">
        <v>10.62</v>
      </c>
      <c r="J652" s="110">
        <v>1.06</v>
      </c>
    </row>
    <row r="653" spans="1:10" x14ac:dyDescent="0.2">
      <c r="A653" s="109"/>
      <c r="B653" s="109"/>
      <c r="C653" s="109"/>
      <c r="D653" s="109"/>
      <c r="E653" s="109" t="s">
        <v>1858</v>
      </c>
      <c r="F653" s="108">
        <v>2.66</v>
      </c>
      <c r="G653" s="109" t="s">
        <v>1857</v>
      </c>
      <c r="H653" s="108">
        <v>0</v>
      </c>
      <c r="I653" s="109" t="s">
        <v>1856</v>
      </c>
      <c r="J653" s="108">
        <v>2.66</v>
      </c>
    </row>
    <row r="654" spans="1:10" ht="13.9" customHeight="1" x14ac:dyDescent="0.2">
      <c r="A654" s="109"/>
      <c r="B654" s="109"/>
      <c r="C654" s="109"/>
      <c r="D654" s="109"/>
      <c r="E654" s="109" t="s">
        <v>1855</v>
      </c>
      <c r="F654" s="108">
        <v>3.0054599999999998</v>
      </c>
      <c r="G654" s="109"/>
      <c r="H654" s="140" t="s">
        <v>1854</v>
      </c>
      <c r="I654" s="140"/>
      <c r="J654" s="108">
        <v>14.33</v>
      </c>
    </row>
    <row r="655" spans="1:10" ht="30" customHeight="1" thickBot="1" x14ac:dyDescent="0.25">
      <c r="A655" s="100"/>
      <c r="B655" s="100"/>
      <c r="C655" s="100"/>
      <c r="D655" s="100"/>
      <c r="E655" s="100"/>
      <c r="F655" s="100"/>
      <c r="G655" s="100" t="s">
        <v>1853</v>
      </c>
      <c r="H655" s="107">
        <v>109.6</v>
      </c>
      <c r="I655" s="100" t="s">
        <v>1852</v>
      </c>
      <c r="J655" s="102">
        <v>1570.57</v>
      </c>
    </row>
    <row r="656" spans="1:10" ht="1.1499999999999999" customHeight="1" thickTop="1" x14ac:dyDescent="0.2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</row>
    <row r="657" spans="1:10" ht="18" customHeight="1" x14ac:dyDescent="0.2">
      <c r="A657" s="117" t="s">
        <v>178</v>
      </c>
      <c r="B657" s="126" t="s">
        <v>5</v>
      </c>
      <c r="C657" s="117" t="s">
        <v>6</v>
      </c>
      <c r="D657" s="117" t="s">
        <v>7</v>
      </c>
      <c r="E657" s="136" t="s">
        <v>1113</v>
      </c>
      <c r="F657" s="136"/>
      <c r="G657" s="7" t="s">
        <v>8</v>
      </c>
      <c r="H657" s="126" t="s">
        <v>9</v>
      </c>
      <c r="I657" s="126" t="s">
        <v>10</v>
      </c>
      <c r="J657" s="126" t="s">
        <v>12</v>
      </c>
    </row>
    <row r="658" spans="1:10" ht="24" customHeight="1" x14ac:dyDescent="0.2">
      <c r="A658" s="116" t="s">
        <v>1861</v>
      </c>
      <c r="B658" s="1" t="s">
        <v>158</v>
      </c>
      <c r="C658" s="116" t="s">
        <v>20</v>
      </c>
      <c r="D658" s="116" t="s">
        <v>159</v>
      </c>
      <c r="E658" s="137">
        <v>6</v>
      </c>
      <c r="F658" s="137"/>
      <c r="G658" s="2" t="s">
        <v>96</v>
      </c>
      <c r="H658" s="115">
        <v>1</v>
      </c>
      <c r="I658" s="61">
        <v>11.15</v>
      </c>
      <c r="J658" s="61">
        <v>11.15</v>
      </c>
    </row>
    <row r="659" spans="1:10" ht="24" customHeight="1" x14ac:dyDescent="0.2">
      <c r="A659" s="113" t="s">
        <v>1859</v>
      </c>
      <c r="B659" s="114" t="s">
        <v>2642</v>
      </c>
      <c r="C659" s="113" t="s">
        <v>20</v>
      </c>
      <c r="D659" s="113" t="s">
        <v>2641</v>
      </c>
      <c r="E659" s="139" t="s">
        <v>1369</v>
      </c>
      <c r="F659" s="139"/>
      <c r="G659" s="112" t="s">
        <v>96</v>
      </c>
      <c r="H659" s="111">
        <v>1.1000000000000001</v>
      </c>
      <c r="I659" s="110">
        <v>7.1</v>
      </c>
      <c r="J659" s="110">
        <v>7.81</v>
      </c>
    </row>
    <row r="660" spans="1:10" ht="24" customHeight="1" x14ac:dyDescent="0.2">
      <c r="A660" s="113" t="s">
        <v>1859</v>
      </c>
      <c r="B660" s="114" t="s">
        <v>2074</v>
      </c>
      <c r="C660" s="113" t="s">
        <v>20</v>
      </c>
      <c r="D660" s="113" t="s">
        <v>2073</v>
      </c>
      <c r="E660" s="139" t="s">
        <v>1369</v>
      </c>
      <c r="F660" s="139"/>
      <c r="G660" s="112" t="s">
        <v>96</v>
      </c>
      <c r="H660" s="111">
        <v>0.03</v>
      </c>
      <c r="I660" s="110">
        <v>22.63</v>
      </c>
      <c r="J660" s="110">
        <v>0.68</v>
      </c>
    </row>
    <row r="661" spans="1:10" ht="24" customHeight="1" x14ac:dyDescent="0.2">
      <c r="A661" s="113" t="s">
        <v>1859</v>
      </c>
      <c r="B661" s="114" t="s">
        <v>1951</v>
      </c>
      <c r="C661" s="113" t="s">
        <v>20</v>
      </c>
      <c r="D661" s="113" t="s">
        <v>1950</v>
      </c>
      <c r="E661" s="139" t="s">
        <v>1860</v>
      </c>
      <c r="F661" s="139"/>
      <c r="G661" s="112" t="s">
        <v>1864</v>
      </c>
      <c r="H661" s="111">
        <v>0.1</v>
      </c>
      <c r="I661" s="110">
        <v>10.62</v>
      </c>
      <c r="J661" s="110">
        <v>1.06</v>
      </c>
    </row>
    <row r="662" spans="1:10" ht="24" customHeight="1" x14ac:dyDescent="0.2">
      <c r="A662" s="113" t="s">
        <v>1859</v>
      </c>
      <c r="B662" s="114" t="s">
        <v>2064</v>
      </c>
      <c r="C662" s="113" t="s">
        <v>20</v>
      </c>
      <c r="D662" s="113" t="s">
        <v>2063</v>
      </c>
      <c r="E662" s="139" t="s">
        <v>1860</v>
      </c>
      <c r="F662" s="139"/>
      <c r="G662" s="112" t="s">
        <v>1864</v>
      </c>
      <c r="H662" s="111">
        <v>0.1</v>
      </c>
      <c r="I662" s="110">
        <v>15.97</v>
      </c>
      <c r="J662" s="110">
        <v>1.6</v>
      </c>
    </row>
    <row r="663" spans="1:10" x14ac:dyDescent="0.2">
      <c r="A663" s="109"/>
      <c r="B663" s="109"/>
      <c r="C663" s="109"/>
      <c r="D663" s="109"/>
      <c r="E663" s="109" t="s">
        <v>1858</v>
      </c>
      <c r="F663" s="108">
        <v>2.66</v>
      </c>
      <c r="G663" s="109" t="s">
        <v>1857</v>
      </c>
      <c r="H663" s="108">
        <v>0</v>
      </c>
      <c r="I663" s="109" t="s">
        <v>1856</v>
      </c>
      <c r="J663" s="108">
        <v>2.66</v>
      </c>
    </row>
    <row r="664" spans="1:10" ht="13.9" customHeight="1" x14ac:dyDescent="0.2">
      <c r="A664" s="109"/>
      <c r="B664" s="109"/>
      <c r="C664" s="109"/>
      <c r="D664" s="109"/>
      <c r="E664" s="109" t="s">
        <v>1855</v>
      </c>
      <c r="F664" s="108">
        <v>2.9603250000000001</v>
      </c>
      <c r="G664" s="109"/>
      <c r="H664" s="140" t="s">
        <v>1854</v>
      </c>
      <c r="I664" s="140"/>
      <c r="J664" s="108">
        <v>14.11</v>
      </c>
    </row>
    <row r="665" spans="1:10" ht="30" customHeight="1" thickBot="1" x14ac:dyDescent="0.25">
      <c r="A665" s="100"/>
      <c r="B665" s="100"/>
      <c r="C665" s="100"/>
      <c r="D665" s="100"/>
      <c r="E665" s="100"/>
      <c r="F665" s="100"/>
      <c r="G665" s="100" t="s">
        <v>1853</v>
      </c>
      <c r="H665" s="107">
        <v>113.4</v>
      </c>
      <c r="I665" s="100" t="s">
        <v>1852</v>
      </c>
      <c r="J665" s="102">
        <v>1600.07</v>
      </c>
    </row>
    <row r="666" spans="1:10" ht="1.1499999999999999" customHeight="1" thickTop="1" x14ac:dyDescent="0.2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</row>
    <row r="667" spans="1:10" ht="18" customHeight="1" x14ac:dyDescent="0.2">
      <c r="A667" s="117" t="s">
        <v>179</v>
      </c>
      <c r="B667" s="126" t="s">
        <v>5</v>
      </c>
      <c r="C667" s="117" t="s">
        <v>6</v>
      </c>
      <c r="D667" s="117" t="s">
        <v>7</v>
      </c>
      <c r="E667" s="136" t="s">
        <v>1113</v>
      </c>
      <c r="F667" s="136"/>
      <c r="G667" s="7" t="s">
        <v>8</v>
      </c>
      <c r="H667" s="126" t="s">
        <v>9</v>
      </c>
      <c r="I667" s="126" t="s">
        <v>10</v>
      </c>
      <c r="J667" s="126" t="s">
        <v>12</v>
      </c>
    </row>
    <row r="668" spans="1:10" ht="24" customHeight="1" x14ac:dyDescent="0.2">
      <c r="A668" s="116" t="s">
        <v>1861</v>
      </c>
      <c r="B668" s="1" t="s">
        <v>161</v>
      </c>
      <c r="C668" s="116" t="s">
        <v>20</v>
      </c>
      <c r="D668" s="116" t="s">
        <v>131</v>
      </c>
      <c r="E668" s="137">
        <v>6</v>
      </c>
      <c r="F668" s="137"/>
      <c r="G668" s="2" t="s">
        <v>49</v>
      </c>
      <c r="H668" s="115">
        <v>1</v>
      </c>
      <c r="I668" s="61">
        <v>489.81</v>
      </c>
      <c r="J668" s="61">
        <v>489.81</v>
      </c>
    </row>
    <row r="669" spans="1:10" ht="24" customHeight="1" x14ac:dyDescent="0.2">
      <c r="A669" s="113" t="s">
        <v>1859</v>
      </c>
      <c r="B669" s="114" t="s">
        <v>2640</v>
      </c>
      <c r="C669" s="113" t="s">
        <v>20</v>
      </c>
      <c r="D669" s="113" t="s">
        <v>2639</v>
      </c>
      <c r="E669" s="139" t="s">
        <v>1369</v>
      </c>
      <c r="F669" s="139"/>
      <c r="G669" s="112" t="s">
        <v>49</v>
      </c>
      <c r="H669" s="111">
        <v>1.02</v>
      </c>
      <c r="I669" s="110">
        <v>480.21</v>
      </c>
      <c r="J669" s="110">
        <v>489.81</v>
      </c>
    </row>
    <row r="670" spans="1:10" x14ac:dyDescent="0.2">
      <c r="A670" s="109"/>
      <c r="B670" s="109"/>
      <c r="C670" s="109"/>
      <c r="D670" s="109"/>
      <c r="E670" s="109" t="s">
        <v>1858</v>
      </c>
      <c r="F670" s="108">
        <v>0</v>
      </c>
      <c r="G670" s="109" t="s">
        <v>1857</v>
      </c>
      <c r="H670" s="108">
        <v>0</v>
      </c>
      <c r="I670" s="109" t="s">
        <v>1856</v>
      </c>
      <c r="J670" s="108">
        <v>0</v>
      </c>
    </row>
    <row r="671" spans="1:10" ht="13.9" customHeight="1" x14ac:dyDescent="0.2">
      <c r="A671" s="109"/>
      <c r="B671" s="109"/>
      <c r="C671" s="109"/>
      <c r="D671" s="109"/>
      <c r="E671" s="109" t="s">
        <v>1855</v>
      </c>
      <c r="F671" s="108">
        <v>130.044555</v>
      </c>
      <c r="G671" s="109"/>
      <c r="H671" s="140" t="s">
        <v>1854</v>
      </c>
      <c r="I671" s="140"/>
      <c r="J671" s="108">
        <v>619.85</v>
      </c>
    </row>
    <row r="672" spans="1:10" ht="30" customHeight="1" thickBot="1" x14ac:dyDescent="0.25">
      <c r="A672" s="100"/>
      <c r="B672" s="100"/>
      <c r="C672" s="100"/>
      <c r="D672" s="100"/>
      <c r="E672" s="100"/>
      <c r="F672" s="100"/>
      <c r="G672" s="100" t="s">
        <v>1853</v>
      </c>
      <c r="H672" s="107">
        <v>2.88</v>
      </c>
      <c r="I672" s="100" t="s">
        <v>1852</v>
      </c>
      <c r="J672" s="102">
        <v>1785.17</v>
      </c>
    </row>
    <row r="673" spans="1:10" ht="1.1499999999999999" customHeight="1" thickTop="1" x14ac:dyDescent="0.2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</row>
    <row r="674" spans="1:10" ht="18" customHeight="1" x14ac:dyDescent="0.2">
      <c r="A674" s="117" t="s">
        <v>180</v>
      </c>
      <c r="B674" s="126" t="s">
        <v>5</v>
      </c>
      <c r="C674" s="117" t="s">
        <v>6</v>
      </c>
      <c r="D674" s="117" t="s">
        <v>7</v>
      </c>
      <c r="E674" s="136" t="s">
        <v>1113</v>
      </c>
      <c r="F674" s="136"/>
      <c r="G674" s="7" t="s">
        <v>8</v>
      </c>
      <c r="H674" s="126" t="s">
        <v>9</v>
      </c>
      <c r="I674" s="126" t="s">
        <v>10</v>
      </c>
      <c r="J674" s="126" t="s">
        <v>12</v>
      </c>
    </row>
    <row r="675" spans="1:10" ht="24" customHeight="1" x14ac:dyDescent="0.2">
      <c r="A675" s="116" t="s">
        <v>1861</v>
      </c>
      <c r="B675" s="1" t="s">
        <v>163</v>
      </c>
      <c r="C675" s="116" t="s">
        <v>20</v>
      </c>
      <c r="D675" s="116" t="s">
        <v>164</v>
      </c>
      <c r="E675" s="137">
        <v>6</v>
      </c>
      <c r="F675" s="137"/>
      <c r="G675" s="2" t="s">
        <v>49</v>
      </c>
      <c r="H675" s="115">
        <v>1</v>
      </c>
      <c r="I675" s="61">
        <v>37.840000000000003</v>
      </c>
      <c r="J675" s="61">
        <v>37.840000000000003</v>
      </c>
    </row>
    <row r="676" spans="1:10" ht="36" customHeight="1" x14ac:dyDescent="0.2">
      <c r="A676" s="113" t="s">
        <v>1859</v>
      </c>
      <c r="B676" s="114" t="s">
        <v>2638</v>
      </c>
      <c r="C676" s="113" t="s">
        <v>20</v>
      </c>
      <c r="D676" s="113" t="s">
        <v>2637</v>
      </c>
      <c r="E676" s="139" t="s">
        <v>1369</v>
      </c>
      <c r="F676" s="139"/>
      <c r="G676" s="112" t="s">
        <v>246</v>
      </c>
      <c r="H676" s="111">
        <v>4.6800000000000001E-2</v>
      </c>
      <c r="I676" s="110">
        <v>2</v>
      </c>
      <c r="J676" s="110">
        <v>0.09</v>
      </c>
    </row>
    <row r="677" spans="1:10" ht="24" customHeight="1" x14ac:dyDescent="0.2">
      <c r="A677" s="113" t="s">
        <v>1859</v>
      </c>
      <c r="B677" s="114" t="s">
        <v>1872</v>
      </c>
      <c r="C677" s="113" t="s">
        <v>20</v>
      </c>
      <c r="D677" s="113" t="s">
        <v>1871</v>
      </c>
      <c r="E677" s="139" t="s">
        <v>1860</v>
      </c>
      <c r="F677" s="139"/>
      <c r="G677" s="112" t="s">
        <v>1864</v>
      </c>
      <c r="H677" s="111">
        <v>0.64459999999999995</v>
      </c>
      <c r="I677" s="110">
        <v>10.62</v>
      </c>
      <c r="J677" s="110">
        <v>6.85</v>
      </c>
    </row>
    <row r="678" spans="1:10" ht="24" customHeight="1" x14ac:dyDescent="0.2">
      <c r="A678" s="113" t="s">
        <v>1859</v>
      </c>
      <c r="B678" s="114" t="s">
        <v>1949</v>
      </c>
      <c r="C678" s="113" t="s">
        <v>20</v>
      </c>
      <c r="D678" s="113" t="s">
        <v>1948</v>
      </c>
      <c r="E678" s="139" t="s">
        <v>1860</v>
      </c>
      <c r="F678" s="139"/>
      <c r="G678" s="112" t="s">
        <v>1864</v>
      </c>
      <c r="H678" s="111">
        <v>1.9348000000000001</v>
      </c>
      <c r="I678" s="110">
        <v>15.97</v>
      </c>
      <c r="J678" s="110">
        <v>30.9</v>
      </c>
    </row>
    <row r="679" spans="1:10" x14ac:dyDescent="0.2">
      <c r="A679" s="109"/>
      <c r="B679" s="109"/>
      <c r="C679" s="109"/>
      <c r="D679" s="109"/>
      <c r="E679" s="109" t="s">
        <v>1858</v>
      </c>
      <c r="F679" s="108">
        <v>37.75</v>
      </c>
      <c r="G679" s="109" t="s">
        <v>1857</v>
      </c>
      <c r="H679" s="108">
        <v>0</v>
      </c>
      <c r="I679" s="109" t="s">
        <v>1856</v>
      </c>
      <c r="J679" s="108">
        <v>37.75</v>
      </c>
    </row>
    <row r="680" spans="1:10" ht="13.9" customHeight="1" x14ac:dyDescent="0.2">
      <c r="A680" s="109"/>
      <c r="B680" s="109"/>
      <c r="C680" s="109"/>
      <c r="D680" s="109"/>
      <c r="E680" s="109" t="s">
        <v>1855</v>
      </c>
      <c r="F680" s="108">
        <v>10.046519999999999</v>
      </c>
      <c r="G680" s="109"/>
      <c r="H680" s="140" t="s">
        <v>1854</v>
      </c>
      <c r="I680" s="140"/>
      <c r="J680" s="108">
        <v>47.89</v>
      </c>
    </row>
    <row r="681" spans="1:10" ht="30" customHeight="1" thickBot="1" x14ac:dyDescent="0.25">
      <c r="A681" s="100"/>
      <c r="B681" s="100"/>
      <c r="C681" s="100"/>
      <c r="D681" s="100"/>
      <c r="E681" s="100"/>
      <c r="F681" s="100"/>
      <c r="G681" s="100" t="s">
        <v>1853</v>
      </c>
      <c r="H681" s="107">
        <v>2.88</v>
      </c>
      <c r="I681" s="100" t="s">
        <v>1852</v>
      </c>
      <c r="J681" s="102">
        <v>137.91999999999999</v>
      </c>
    </row>
    <row r="682" spans="1:10" ht="1.1499999999999999" customHeight="1" thickTop="1" x14ac:dyDescent="0.2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</row>
    <row r="683" spans="1:10" ht="18" customHeight="1" x14ac:dyDescent="0.2">
      <c r="A683" s="117" t="s">
        <v>1328</v>
      </c>
      <c r="B683" s="126" t="s">
        <v>5</v>
      </c>
      <c r="C683" s="117" t="s">
        <v>6</v>
      </c>
      <c r="D683" s="117" t="s">
        <v>7</v>
      </c>
      <c r="E683" s="136" t="s">
        <v>1113</v>
      </c>
      <c r="F683" s="136"/>
      <c r="G683" s="7" t="s">
        <v>8</v>
      </c>
      <c r="H683" s="126" t="s">
        <v>9</v>
      </c>
      <c r="I683" s="126" t="s">
        <v>10</v>
      </c>
      <c r="J683" s="126" t="s">
        <v>12</v>
      </c>
    </row>
    <row r="684" spans="1:10" ht="24" customHeight="1" x14ac:dyDescent="0.2">
      <c r="A684" s="116" t="s">
        <v>1861</v>
      </c>
      <c r="B684" s="1" t="s">
        <v>1327</v>
      </c>
      <c r="C684" s="116" t="s">
        <v>25</v>
      </c>
      <c r="D684" s="116" t="s">
        <v>1326</v>
      </c>
      <c r="E684" s="137" t="s">
        <v>1415</v>
      </c>
      <c r="F684" s="137"/>
      <c r="G684" s="2" t="s">
        <v>92</v>
      </c>
      <c r="H684" s="115">
        <v>1</v>
      </c>
      <c r="I684" s="61">
        <v>61.18</v>
      </c>
      <c r="J684" s="61">
        <v>61.18</v>
      </c>
    </row>
    <row r="685" spans="1:10" ht="24" customHeight="1" x14ac:dyDescent="0.2">
      <c r="A685" s="121" t="s">
        <v>1888</v>
      </c>
      <c r="B685" s="122" t="s">
        <v>2636</v>
      </c>
      <c r="C685" s="121" t="s">
        <v>25</v>
      </c>
      <c r="D685" s="121" t="s">
        <v>2635</v>
      </c>
      <c r="E685" s="138" t="s">
        <v>1415</v>
      </c>
      <c r="F685" s="138"/>
      <c r="G685" s="120" t="s">
        <v>22</v>
      </c>
      <c r="H685" s="119">
        <v>0.2</v>
      </c>
      <c r="I685" s="118">
        <v>168.2</v>
      </c>
      <c r="J685" s="118">
        <v>33.64</v>
      </c>
    </row>
    <row r="686" spans="1:10" ht="36" customHeight="1" x14ac:dyDescent="0.2">
      <c r="A686" s="121" t="s">
        <v>1888</v>
      </c>
      <c r="B686" s="122" t="s">
        <v>2634</v>
      </c>
      <c r="C686" s="121" t="s">
        <v>25</v>
      </c>
      <c r="D686" s="121" t="s">
        <v>2633</v>
      </c>
      <c r="E686" s="138" t="s">
        <v>1415</v>
      </c>
      <c r="F686" s="138"/>
      <c r="G686" s="120" t="s">
        <v>1303</v>
      </c>
      <c r="H686" s="119">
        <v>0.79</v>
      </c>
      <c r="I686" s="118">
        <v>11.61</v>
      </c>
      <c r="J686" s="118">
        <v>9.17</v>
      </c>
    </row>
    <row r="687" spans="1:10" ht="36" customHeight="1" x14ac:dyDescent="0.2">
      <c r="A687" s="121" t="s">
        <v>1888</v>
      </c>
      <c r="B687" s="122" t="s">
        <v>2632</v>
      </c>
      <c r="C687" s="121" t="s">
        <v>25</v>
      </c>
      <c r="D687" s="121" t="s">
        <v>2631</v>
      </c>
      <c r="E687" s="138" t="s">
        <v>1415</v>
      </c>
      <c r="F687" s="138"/>
      <c r="G687" s="120" t="s">
        <v>49</v>
      </c>
      <c r="H687" s="119">
        <v>1.54E-2</v>
      </c>
      <c r="I687" s="118">
        <v>414.84</v>
      </c>
      <c r="J687" s="118">
        <v>6.39</v>
      </c>
    </row>
    <row r="688" spans="1:10" ht="24" customHeight="1" x14ac:dyDescent="0.2">
      <c r="A688" s="121" t="s">
        <v>1888</v>
      </c>
      <c r="B688" s="122" t="s">
        <v>1906</v>
      </c>
      <c r="C688" s="121" t="s">
        <v>25</v>
      </c>
      <c r="D688" s="121" t="s">
        <v>1905</v>
      </c>
      <c r="E688" s="138" t="s">
        <v>1902</v>
      </c>
      <c r="F688" s="138"/>
      <c r="G688" s="120" t="s">
        <v>61</v>
      </c>
      <c r="H688" s="119">
        <v>0.18</v>
      </c>
      <c r="I688" s="118">
        <v>16.059999999999999</v>
      </c>
      <c r="J688" s="118">
        <v>2.89</v>
      </c>
    </row>
    <row r="689" spans="1:10" ht="24" customHeight="1" x14ac:dyDescent="0.2">
      <c r="A689" s="121" t="s">
        <v>1888</v>
      </c>
      <c r="B689" s="122" t="s">
        <v>2046</v>
      </c>
      <c r="C689" s="121" t="s">
        <v>25</v>
      </c>
      <c r="D689" s="121" t="s">
        <v>2045</v>
      </c>
      <c r="E689" s="138" t="s">
        <v>1902</v>
      </c>
      <c r="F689" s="138"/>
      <c r="G689" s="120" t="s">
        <v>61</v>
      </c>
      <c r="H689" s="119">
        <v>0.36</v>
      </c>
      <c r="I689" s="118">
        <v>21.54</v>
      </c>
      <c r="J689" s="118">
        <v>7.75</v>
      </c>
    </row>
    <row r="690" spans="1:10" ht="24" customHeight="1" x14ac:dyDescent="0.2">
      <c r="A690" s="113" t="s">
        <v>1859</v>
      </c>
      <c r="B690" s="114" t="s">
        <v>2630</v>
      </c>
      <c r="C690" s="113" t="s">
        <v>25</v>
      </c>
      <c r="D690" s="113" t="s">
        <v>2629</v>
      </c>
      <c r="E690" s="139" t="s">
        <v>1369</v>
      </c>
      <c r="F690" s="139"/>
      <c r="G690" s="112" t="s">
        <v>1562</v>
      </c>
      <c r="H690" s="111">
        <v>3.5000000000000001E-3</v>
      </c>
      <c r="I690" s="110">
        <v>6.83</v>
      </c>
      <c r="J690" s="110">
        <v>0.02</v>
      </c>
    </row>
    <row r="691" spans="1:10" ht="36" customHeight="1" x14ac:dyDescent="0.2">
      <c r="A691" s="113" t="s">
        <v>1859</v>
      </c>
      <c r="B691" s="114" t="s">
        <v>2582</v>
      </c>
      <c r="C691" s="113" t="s">
        <v>25</v>
      </c>
      <c r="D691" s="113" t="s">
        <v>2581</v>
      </c>
      <c r="E691" s="139" t="s">
        <v>1369</v>
      </c>
      <c r="F691" s="139"/>
      <c r="G691" s="112" t="s">
        <v>236</v>
      </c>
      <c r="H691" s="111">
        <v>6</v>
      </c>
      <c r="I691" s="110">
        <v>0.22</v>
      </c>
      <c r="J691" s="110">
        <v>1.32</v>
      </c>
    </row>
    <row r="692" spans="1:10" x14ac:dyDescent="0.2">
      <c r="A692" s="109"/>
      <c r="B692" s="109"/>
      <c r="C692" s="109"/>
      <c r="D692" s="109"/>
      <c r="E692" s="109" t="s">
        <v>1858</v>
      </c>
      <c r="F692" s="108">
        <v>12.61</v>
      </c>
      <c r="G692" s="109" t="s">
        <v>1857</v>
      </c>
      <c r="H692" s="108">
        <v>0</v>
      </c>
      <c r="I692" s="109" t="s">
        <v>1856</v>
      </c>
      <c r="J692" s="108">
        <v>12.61</v>
      </c>
    </row>
    <row r="693" spans="1:10" ht="13.9" customHeight="1" x14ac:dyDescent="0.2">
      <c r="A693" s="109"/>
      <c r="B693" s="109"/>
      <c r="C693" s="109"/>
      <c r="D693" s="109"/>
      <c r="E693" s="109" t="s">
        <v>1855</v>
      </c>
      <c r="F693" s="108">
        <v>16.243289999999998</v>
      </c>
      <c r="G693" s="109"/>
      <c r="H693" s="140" t="s">
        <v>1854</v>
      </c>
      <c r="I693" s="140"/>
      <c r="J693" s="108">
        <v>77.42</v>
      </c>
    </row>
    <row r="694" spans="1:10" ht="30" customHeight="1" thickBot="1" x14ac:dyDescent="0.25">
      <c r="A694" s="100"/>
      <c r="B694" s="100"/>
      <c r="C694" s="100"/>
      <c r="D694" s="100"/>
      <c r="E694" s="100"/>
      <c r="F694" s="100"/>
      <c r="G694" s="100" t="s">
        <v>1853</v>
      </c>
      <c r="H694" s="107">
        <v>91.01</v>
      </c>
      <c r="I694" s="100" t="s">
        <v>1852</v>
      </c>
      <c r="J694" s="102">
        <v>7045.99</v>
      </c>
    </row>
    <row r="695" spans="1:10" ht="1.1499999999999999" customHeight="1" thickTop="1" x14ac:dyDescent="0.2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</row>
    <row r="696" spans="1:10" ht="24" customHeight="1" x14ac:dyDescent="0.2">
      <c r="A696" s="123" t="s">
        <v>181</v>
      </c>
      <c r="B696" s="123"/>
      <c r="C696" s="123"/>
      <c r="D696" s="123" t="s">
        <v>182</v>
      </c>
      <c r="E696" s="123"/>
      <c r="F696" s="142"/>
      <c r="G696" s="142"/>
      <c r="H696" s="3"/>
      <c r="I696" s="123"/>
      <c r="J696" s="63">
        <v>22581.39</v>
      </c>
    </row>
    <row r="697" spans="1:10" ht="18" customHeight="1" x14ac:dyDescent="0.2">
      <c r="A697" s="117" t="s">
        <v>183</v>
      </c>
      <c r="B697" s="126" t="s">
        <v>5</v>
      </c>
      <c r="C697" s="117" t="s">
        <v>6</v>
      </c>
      <c r="D697" s="117" t="s">
        <v>7</v>
      </c>
      <c r="E697" s="136" t="s">
        <v>1113</v>
      </c>
      <c r="F697" s="136"/>
      <c r="G697" s="7" t="s">
        <v>8</v>
      </c>
      <c r="H697" s="126" t="s">
        <v>9</v>
      </c>
      <c r="I697" s="126" t="s">
        <v>10</v>
      </c>
      <c r="J697" s="126" t="s">
        <v>12</v>
      </c>
    </row>
    <row r="698" spans="1:10" ht="24" customHeight="1" x14ac:dyDescent="0.2">
      <c r="A698" s="116" t="s">
        <v>1861</v>
      </c>
      <c r="B698" s="1" t="s">
        <v>184</v>
      </c>
      <c r="C698" s="116" t="s">
        <v>20</v>
      </c>
      <c r="D698" s="116" t="s">
        <v>185</v>
      </c>
      <c r="E698" s="137">
        <v>6</v>
      </c>
      <c r="F698" s="137"/>
      <c r="G698" s="2" t="s">
        <v>22</v>
      </c>
      <c r="H698" s="115">
        <v>1</v>
      </c>
      <c r="I698" s="61">
        <v>110.76</v>
      </c>
      <c r="J698" s="61">
        <v>110.76</v>
      </c>
    </row>
    <row r="699" spans="1:10" ht="24" customHeight="1" x14ac:dyDescent="0.2">
      <c r="A699" s="113" t="s">
        <v>1859</v>
      </c>
      <c r="B699" s="114" t="s">
        <v>2070</v>
      </c>
      <c r="C699" s="113" t="s">
        <v>20</v>
      </c>
      <c r="D699" s="113" t="s">
        <v>2069</v>
      </c>
      <c r="E699" s="139" t="s">
        <v>1369</v>
      </c>
      <c r="F699" s="139"/>
      <c r="G699" s="112" t="s">
        <v>49</v>
      </c>
      <c r="H699" s="111">
        <v>3.0499999999999999E-2</v>
      </c>
      <c r="I699" s="110">
        <v>169.44</v>
      </c>
      <c r="J699" s="110">
        <v>5.17</v>
      </c>
    </row>
    <row r="700" spans="1:10" ht="24" customHeight="1" x14ac:dyDescent="0.2">
      <c r="A700" s="113" t="s">
        <v>1859</v>
      </c>
      <c r="B700" s="114" t="s">
        <v>2076</v>
      </c>
      <c r="C700" s="113" t="s">
        <v>20</v>
      </c>
      <c r="D700" s="113" t="s">
        <v>2075</v>
      </c>
      <c r="E700" s="139" t="s">
        <v>1369</v>
      </c>
      <c r="F700" s="139"/>
      <c r="G700" s="112" t="s">
        <v>49</v>
      </c>
      <c r="H700" s="111">
        <v>2.07E-2</v>
      </c>
      <c r="I700" s="110">
        <v>100.76</v>
      </c>
      <c r="J700" s="110">
        <v>2.09</v>
      </c>
    </row>
    <row r="701" spans="1:10" ht="24" customHeight="1" x14ac:dyDescent="0.2">
      <c r="A701" s="113" t="s">
        <v>1859</v>
      </c>
      <c r="B701" s="114" t="s">
        <v>2078</v>
      </c>
      <c r="C701" s="113" t="s">
        <v>20</v>
      </c>
      <c r="D701" s="113" t="s">
        <v>2077</v>
      </c>
      <c r="E701" s="139" t="s">
        <v>1369</v>
      </c>
      <c r="F701" s="139"/>
      <c r="G701" s="112" t="s">
        <v>96</v>
      </c>
      <c r="H701" s="111">
        <v>1.89</v>
      </c>
      <c r="I701" s="110">
        <v>8.41</v>
      </c>
      <c r="J701" s="110">
        <v>15.89</v>
      </c>
    </row>
    <row r="702" spans="1:10" ht="24" customHeight="1" x14ac:dyDescent="0.2">
      <c r="A702" s="113" t="s">
        <v>1859</v>
      </c>
      <c r="B702" s="114" t="s">
        <v>2072</v>
      </c>
      <c r="C702" s="113" t="s">
        <v>20</v>
      </c>
      <c r="D702" s="113" t="s">
        <v>2071</v>
      </c>
      <c r="E702" s="139" t="s">
        <v>1369</v>
      </c>
      <c r="F702" s="139"/>
      <c r="G702" s="112" t="s">
        <v>49</v>
      </c>
      <c r="H702" s="111">
        <v>6.8999999999999999E-3</v>
      </c>
      <c r="I702" s="110">
        <v>100.76</v>
      </c>
      <c r="J702" s="110">
        <v>0.7</v>
      </c>
    </row>
    <row r="703" spans="1:10" ht="24" customHeight="1" x14ac:dyDescent="0.2">
      <c r="A703" s="113" t="s">
        <v>1859</v>
      </c>
      <c r="B703" s="114" t="s">
        <v>1897</v>
      </c>
      <c r="C703" s="113" t="s">
        <v>20</v>
      </c>
      <c r="D703" s="113" t="s">
        <v>1896</v>
      </c>
      <c r="E703" s="139" t="s">
        <v>1369</v>
      </c>
      <c r="F703" s="139"/>
      <c r="G703" s="112" t="s">
        <v>96</v>
      </c>
      <c r="H703" s="111">
        <v>9</v>
      </c>
      <c r="I703" s="110">
        <v>0.6</v>
      </c>
      <c r="J703" s="110">
        <v>5.4</v>
      </c>
    </row>
    <row r="704" spans="1:10" ht="24" customHeight="1" x14ac:dyDescent="0.2">
      <c r="A704" s="113" t="s">
        <v>1859</v>
      </c>
      <c r="B704" s="114" t="s">
        <v>2616</v>
      </c>
      <c r="C704" s="113" t="s">
        <v>20</v>
      </c>
      <c r="D704" s="113" t="s">
        <v>2615</v>
      </c>
      <c r="E704" s="139" t="s">
        <v>1369</v>
      </c>
      <c r="F704" s="139"/>
      <c r="G704" s="112" t="s">
        <v>213</v>
      </c>
      <c r="H704" s="111">
        <v>1.71</v>
      </c>
      <c r="I704" s="110">
        <v>3.26</v>
      </c>
      <c r="J704" s="110">
        <v>5.57</v>
      </c>
    </row>
    <row r="705" spans="1:10" ht="24" customHeight="1" x14ac:dyDescent="0.2">
      <c r="A705" s="113" t="s">
        <v>1859</v>
      </c>
      <c r="B705" s="114" t="s">
        <v>2628</v>
      </c>
      <c r="C705" s="113" t="s">
        <v>20</v>
      </c>
      <c r="D705" s="113" t="s">
        <v>2627</v>
      </c>
      <c r="E705" s="139" t="s">
        <v>1369</v>
      </c>
      <c r="F705" s="139"/>
      <c r="G705" s="112" t="s">
        <v>22</v>
      </c>
      <c r="H705" s="111">
        <v>1</v>
      </c>
      <c r="I705" s="110">
        <v>42.5</v>
      </c>
      <c r="J705" s="110">
        <v>42.5</v>
      </c>
    </row>
    <row r="706" spans="1:10" ht="24" customHeight="1" x14ac:dyDescent="0.2">
      <c r="A706" s="113" t="s">
        <v>1859</v>
      </c>
      <c r="B706" s="114" t="s">
        <v>2626</v>
      </c>
      <c r="C706" s="113" t="s">
        <v>20</v>
      </c>
      <c r="D706" s="113" t="s">
        <v>2625</v>
      </c>
      <c r="E706" s="139" t="s">
        <v>1369</v>
      </c>
      <c r="F706" s="139"/>
      <c r="G706" s="112" t="s">
        <v>213</v>
      </c>
      <c r="H706" s="111">
        <v>0.97</v>
      </c>
      <c r="I706" s="110">
        <v>9.41</v>
      </c>
      <c r="J706" s="110">
        <v>9.1300000000000008</v>
      </c>
    </row>
    <row r="707" spans="1:10" ht="24" customHeight="1" x14ac:dyDescent="0.2">
      <c r="A707" s="113" t="s">
        <v>1859</v>
      </c>
      <c r="B707" s="114" t="s">
        <v>2176</v>
      </c>
      <c r="C707" s="113" t="s">
        <v>20</v>
      </c>
      <c r="D707" s="113" t="s">
        <v>2175</v>
      </c>
      <c r="E707" s="139" t="s">
        <v>1369</v>
      </c>
      <c r="F707" s="139"/>
      <c r="G707" s="112" t="s">
        <v>96</v>
      </c>
      <c r="H707" s="111">
        <v>0.03</v>
      </c>
      <c r="I707" s="110">
        <v>17.86</v>
      </c>
      <c r="J707" s="110">
        <v>0.54</v>
      </c>
    </row>
    <row r="708" spans="1:10" ht="24" customHeight="1" x14ac:dyDescent="0.2">
      <c r="A708" s="113" t="s">
        <v>1859</v>
      </c>
      <c r="B708" s="114" t="s">
        <v>2068</v>
      </c>
      <c r="C708" s="113" t="s">
        <v>20</v>
      </c>
      <c r="D708" s="113" t="s">
        <v>2067</v>
      </c>
      <c r="E708" s="139" t="s">
        <v>1369</v>
      </c>
      <c r="F708" s="139"/>
      <c r="G708" s="112" t="s">
        <v>213</v>
      </c>
      <c r="H708" s="111">
        <v>0.56000000000000005</v>
      </c>
      <c r="I708" s="110">
        <v>15.39</v>
      </c>
      <c r="J708" s="110">
        <v>8.6199999999999992</v>
      </c>
    </row>
    <row r="709" spans="1:10" ht="24" customHeight="1" x14ac:dyDescent="0.2">
      <c r="A709" s="113" t="s">
        <v>1859</v>
      </c>
      <c r="B709" s="114" t="s">
        <v>1872</v>
      </c>
      <c r="C709" s="113" t="s">
        <v>20</v>
      </c>
      <c r="D709" s="113" t="s">
        <v>1871</v>
      </c>
      <c r="E709" s="139" t="s">
        <v>1860</v>
      </c>
      <c r="F709" s="139"/>
      <c r="G709" s="112" t="s">
        <v>1864</v>
      </c>
      <c r="H709" s="111">
        <v>0.72589999999999999</v>
      </c>
      <c r="I709" s="110">
        <v>10.62</v>
      </c>
      <c r="J709" s="110">
        <v>7.71</v>
      </c>
    </row>
    <row r="710" spans="1:10" ht="24" customHeight="1" x14ac:dyDescent="0.2">
      <c r="A710" s="113" t="s">
        <v>1859</v>
      </c>
      <c r="B710" s="114" t="s">
        <v>1949</v>
      </c>
      <c r="C710" s="113" t="s">
        <v>20</v>
      </c>
      <c r="D710" s="113" t="s">
        <v>1948</v>
      </c>
      <c r="E710" s="139" t="s">
        <v>1860</v>
      </c>
      <c r="F710" s="139"/>
      <c r="G710" s="112" t="s">
        <v>1864</v>
      </c>
      <c r="H710" s="111">
        <v>0.46579999999999999</v>
      </c>
      <c r="I710" s="110">
        <v>15.97</v>
      </c>
      <c r="J710" s="110">
        <v>7.44</v>
      </c>
    </row>
    <row r="711" spans="1:10" x14ac:dyDescent="0.2">
      <c r="A711" s="109"/>
      <c r="B711" s="109"/>
      <c r="C711" s="109"/>
      <c r="D711" s="109"/>
      <c r="E711" s="109" t="s">
        <v>1858</v>
      </c>
      <c r="F711" s="108">
        <v>15.15</v>
      </c>
      <c r="G711" s="109" t="s">
        <v>1857</v>
      </c>
      <c r="H711" s="108">
        <v>0</v>
      </c>
      <c r="I711" s="109" t="s">
        <v>1856</v>
      </c>
      <c r="J711" s="108">
        <v>15.15</v>
      </c>
    </row>
    <row r="712" spans="1:10" ht="13.9" customHeight="1" x14ac:dyDescent="0.2">
      <c r="A712" s="109"/>
      <c r="B712" s="109"/>
      <c r="C712" s="109"/>
      <c r="D712" s="109"/>
      <c r="E712" s="109" t="s">
        <v>1855</v>
      </c>
      <c r="F712" s="108">
        <v>29.406780000000001</v>
      </c>
      <c r="G712" s="109"/>
      <c r="H712" s="140" t="s">
        <v>1854</v>
      </c>
      <c r="I712" s="140"/>
      <c r="J712" s="108">
        <v>140.16999999999999</v>
      </c>
    </row>
    <row r="713" spans="1:10" ht="30" customHeight="1" thickBot="1" x14ac:dyDescent="0.25">
      <c r="A713" s="100"/>
      <c r="B713" s="100"/>
      <c r="C713" s="100"/>
      <c r="D713" s="100"/>
      <c r="E713" s="100"/>
      <c r="F713" s="100"/>
      <c r="G713" s="100" t="s">
        <v>1853</v>
      </c>
      <c r="H713" s="107">
        <v>161.1</v>
      </c>
      <c r="I713" s="100" t="s">
        <v>1852</v>
      </c>
      <c r="J713" s="102">
        <v>22581.39</v>
      </c>
    </row>
    <row r="714" spans="1:10" ht="1.1499999999999999" customHeight="1" thickTop="1" x14ac:dyDescent="0.2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</row>
    <row r="715" spans="1:10" ht="24" customHeight="1" x14ac:dyDescent="0.2">
      <c r="A715" s="123" t="s">
        <v>186</v>
      </c>
      <c r="B715" s="123"/>
      <c r="C715" s="123"/>
      <c r="D715" s="123" t="s">
        <v>187</v>
      </c>
      <c r="E715" s="123"/>
      <c r="F715" s="142"/>
      <c r="G715" s="142"/>
      <c r="H715" s="3"/>
      <c r="I715" s="123"/>
      <c r="J715" s="63">
        <v>22197.1</v>
      </c>
    </row>
    <row r="716" spans="1:10" ht="18" customHeight="1" x14ac:dyDescent="0.2">
      <c r="A716" s="117" t="s">
        <v>188</v>
      </c>
      <c r="B716" s="126" t="s">
        <v>5</v>
      </c>
      <c r="C716" s="117" t="s">
        <v>6</v>
      </c>
      <c r="D716" s="117" t="s">
        <v>7</v>
      </c>
      <c r="E716" s="136" t="s">
        <v>1113</v>
      </c>
      <c r="F716" s="136"/>
      <c r="G716" s="7" t="s">
        <v>8</v>
      </c>
      <c r="H716" s="126" t="s">
        <v>9</v>
      </c>
      <c r="I716" s="126" t="s">
        <v>10</v>
      </c>
      <c r="J716" s="126" t="s">
        <v>12</v>
      </c>
    </row>
    <row r="717" spans="1:10" ht="24" customHeight="1" x14ac:dyDescent="0.2">
      <c r="A717" s="116" t="s">
        <v>1861</v>
      </c>
      <c r="B717" s="1" t="s">
        <v>189</v>
      </c>
      <c r="C717" s="116" t="s">
        <v>20</v>
      </c>
      <c r="D717" s="116" t="s">
        <v>190</v>
      </c>
      <c r="E717" s="137">
        <v>6</v>
      </c>
      <c r="F717" s="137"/>
      <c r="G717" s="2" t="s">
        <v>22</v>
      </c>
      <c r="H717" s="115">
        <v>1</v>
      </c>
      <c r="I717" s="61">
        <v>386.09</v>
      </c>
      <c r="J717" s="61">
        <v>386.09</v>
      </c>
    </row>
    <row r="718" spans="1:10" ht="24" customHeight="1" x14ac:dyDescent="0.2">
      <c r="A718" s="113" t="s">
        <v>1859</v>
      </c>
      <c r="B718" s="114" t="s">
        <v>2624</v>
      </c>
      <c r="C718" s="113" t="s">
        <v>20</v>
      </c>
      <c r="D718" s="113" t="s">
        <v>2623</v>
      </c>
      <c r="E718" s="139" t="s">
        <v>1369</v>
      </c>
      <c r="F718" s="139"/>
      <c r="G718" s="112" t="s">
        <v>96</v>
      </c>
      <c r="H718" s="111">
        <v>0.64159999999999995</v>
      </c>
      <c r="I718" s="110">
        <v>7.58</v>
      </c>
      <c r="J718" s="110">
        <v>4.8600000000000003</v>
      </c>
    </row>
    <row r="719" spans="1:10" ht="24" customHeight="1" x14ac:dyDescent="0.2">
      <c r="A719" s="113" t="s">
        <v>1859</v>
      </c>
      <c r="B719" s="114" t="s">
        <v>2243</v>
      </c>
      <c r="C719" s="113" t="s">
        <v>20</v>
      </c>
      <c r="D719" s="113" t="s">
        <v>2242</v>
      </c>
      <c r="E719" s="139" t="s">
        <v>1369</v>
      </c>
      <c r="F719" s="139"/>
      <c r="G719" s="112" t="s">
        <v>96</v>
      </c>
      <c r="H719" s="111">
        <v>3.9708000000000001</v>
      </c>
      <c r="I719" s="110">
        <v>7.88</v>
      </c>
      <c r="J719" s="110">
        <v>31.29</v>
      </c>
    </row>
    <row r="720" spans="1:10" ht="24" customHeight="1" x14ac:dyDescent="0.2">
      <c r="A720" s="113" t="s">
        <v>1859</v>
      </c>
      <c r="B720" s="114" t="s">
        <v>2082</v>
      </c>
      <c r="C720" s="113" t="s">
        <v>20</v>
      </c>
      <c r="D720" s="113" t="s">
        <v>2081</v>
      </c>
      <c r="E720" s="139" t="s">
        <v>1369</v>
      </c>
      <c r="F720" s="139"/>
      <c r="G720" s="112" t="s">
        <v>96</v>
      </c>
      <c r="H720" s="111">
        <v>1.1134999999999999</v>
      </c>
      <c r="I720" s="110">
        <v>9.2200000000000006</v>
      </c>
      <c r="J720" s="110">
        <v>10.27</v>
      </c>
    </row>
    <row r="721" spans="1:10" ht="24" customHeight="1" x14ac:dyDescent="0.2">
      <c r="A721" s="113" t="s">
        <v>1859</v>
      </c>
      <c r="B721" s="114" t="s">
        <v>2622</v>
      </c>
      <c r="C721" s="113" t="s">
        <v>20</v>
      </c>
      <c r="D721" s="113" t="s">
        <v>2621</v>
      </c>
      <c r="E721" s="139" t="s">
        <v>1369</v>
      </c>
      <c r="F721" s="139"/>
      <c r="G721" s="112" t="s">
        <v>96</v>
      </c>
      <c r="H721" s="111">
        <v>4.12</v>
      </c>
      <c r="I721" s="110">
        <v>7.38</v>
      </c>
      <c r="J721" s="110">
        <v>30.41</v>
      </c>
    </row>
    <row r="722" spans="1:10" ht="24" customHeight="1" x14ac:dyDescent="0.2">
      <c r="A722" s="113" t="s">
        <v>1859</v>
      </c>
      <c r="B722" s="114" t="s">
        <v>2620</v>
      </c>
      <c r="C722" s="113" t="s">
        <v>20</v>
      </c>
      <c r="D722" s="113" t="s">
        <v>2619</v>
      </c>
      <c r="E722" s="139" t="s">
        <v>1369</v>
      </c>
      <c r="F722" s="139"/>
      <c r="G722" s="112" t="s">
        <v>96</v>
      </c>
      <c r="H722" s="111">
        <v>3.2599999999999997E-2</v>
      </c>
      <c r="I722" s="110">
        <v>22.63</v>
      </c>
      <c r="J722" s="110">
        <v>0.74</v>
      </c>
    </row>
    <row r="723" spans="1:10" ht="24" customHeight="1" x14ac:dyDescent="0.2">
      <c r="A723" s="113" t="s">
        <v>1859</v>
      </c>
      <c r="B723" s="114" t="s">
        <v>2076</v>
      </c>
      <c r="C723" s="113" t="s">
        <v>20</v>
      </c>
      <c r="D723" s="113" t="s">
        <v>2075</v>
      </c>
      <c r="E723" s="139" t="s">
        <v>1369</v>
      </c>
      <c r="F723" s="139"/>
      <c r="G723" s="112" t="s">
        <v>49</v>
      </c>
      <c r="H723" s="111">
        <v>5.8099999999999999E-2</v>
      </c>
      <c r="I723" s="110">
        <v>100.76</v>
      </c>
      <c r="J723" s="110">
        <v>5.85</v>
      </c>
    </row>
    <row r="724" spans="1:10" ht="24" customHeight="1" x14ac:dyDescent="0.2">
      <c r="A724" s="113" t="s">
        <v>1859</v>
      </c>
      <c r="B724" s="114" t="s">
        <v>2618</v>
      </c>
      <c r="C724" s="113" t="s">
        <v>20</v>
      </c>
      <c r="D724" s="113" t="s">
        <v>2617</v>
      </c>
      <c r="E724" s="139" t="s">
        <v>1369</v>
      </c>
      <c r="F724" s="139"/>
      <c r="G724" s="112" t="s">
        <v>213</v>
      </c>
      <c r="H724" s="111">
        <v>0.19289999999999999</v>
      </c>
      <c r="I724" s="110">
        <v>20.98</v>
      </c>
      <c r="J724" s="110">
        <v>4.05</v>
      </c>
    </row>
    <row r="725" spans="1:10" ht="24" customHeight="1" x14ac:dyDescent="0.2">
      <c r="A725" s="113" t="s">
        <v>1859</v>
      </c>
      <c r="B725" s="114" t="s">
        <v>2074</v>
      </c>
      <c r="C725" s="113" t="s">
        <v>20</v>
      </c>
      <c r="D725" s="113" t="s">
        <v>2073</v>
      </c>
      <c r="E725" s="139" t="s">
        <v>1369</v>
      </c>
      <c r="F725" s="139"/>
      <c r="G725" s="112" t="s">
        <v>96</v>
      </c>
      <c r="H725" s="111">
        <v>0.20480000000000001</v>
      </c>
      <c r="I725" s="110">
        <v>22.63</v>
      </c>
      <c r="J725" s="110">
        <v>4.63</v>
      </c>
    </row>
    <row r="726" spans="1:10" ht="24" customHeight="1" x14ac:dyDescent="0.2">
      <c r="A726" s="113" t="s">
        <v>1859</v>
      </c>
      <c r="B726" s="114" t="s">
        <v>2072</v>
      </c>
      <c r="C726" s="113" t="s">
        <v>20</v>
      </c>
      <c r="D726" s="113" t="s">
        <v>2071</v>
      </c>
      <c r="E726" s="139" t="s">
        <v>1369</v>
      </c>
      <c r="F726" s="139"/>
      <c r="G726" s="112" t="s">
        <v>49</v>
      </c>
      <c r="H726" s="111">
        <v>5.8099999999999999E-2</v>
      </c>
      <c r="I726" s="110">
        <v>100.76</v>
      </c>
      <c r="J726" s="110">
        <v>5.85</v>
      </c>
    </row>
    <row r="727" spans="1:10" ht="24" customHeight="1" x14ac:dyDescent="0.2">
      <c r="A727" s="113" t="s">
        <v>1859</v>
      </c>
      <c r="B727" s="114" t="s">
        <v>2070</v>
      </c>
      <c r="C727" s="113" t="s">
        <v>20</v>
      </c>
      <c r="D727" s="113" t="s">
        <v>2069</v>
      </c>
      <c r="E727" s="139" t="s">
        <v>1369</v>
      </c>
      <c r="F727" s="139"/>
      <c r="G727" s="112" t="s">
        <v>49</v>
      </c>
      <c r="H727" s="111">
        <v>0.13089999999999999</v>
      </c>
      <c r="I727" s="110">
        <v>169.44</v>
      </c>
      <c r="J727" s="110">
        <v>22.18</v>
      </c>
    </row>
    <row r="728" spans="1:10" ht="24" customHeight="1" x14ac:dyDescent="0.2">
      <c r="A728" s="113" t="s">
        <v>1859</v>
      </c>
      <c r="B728" s="114" t="s">
        <v>2395</v>
      </c>
      <c r="C728" s="113" t="s">
        <v>20</v>
      </c>
      <c r="D728" s="113" t="s">
        <v>2394</v>
      </c>
      <c r="E728" s="139" t="s">
        <v>1369</v>
      </c>
      <c r="F728" s="139"/>
      <c r="G728" s="112" t="s">
        <v>22</v>
      </c>
      <c r="H728" s="111">
        <v>0.59409999999999996</v>
      </c>
      <c r="I728" s="110">
        <v>24.76</v>
      </c>
      <c r="J728" s="110">
        <v>14.71</v>
      </c>
    </row>
    <row r="729" spans="1:10" ht="24" customHeight="1" x14ac:dyDescent="0.2">
      <c r="A729" s="113" t="s">
        <v>1859</v>
      </c>
      <c r="B729" s="114" t="s">
        <v>2616</v>
      </c>
      <c r="C729" s="113" t="s">
        <v>20</v>
      </c>
      <c r="D729" s="113" t="s">
        <v>2615</v>
      </c>
      <c r="E729" s="139" t="s">
        <v>1369</v>
      </c>
      <c r="F729" s="139"/>
      <c r="G729" s="112" t="s">
        <v>213</v>
      </c>
      <c r="H729" s="111">
        <v>3.4439000000000002</v>
      </c>
      <c r="I729" s="110">
        <v>3.26</v>
      </c>
      <c r="J729" s="110">
        <v>11.23</v>
      </c>
    </row>
    <row r="730" spans="1:10" ht="24" customHeight="1" x14ac:dyDescent="0.2">
      <c r="A730" s="113" t="s">
        <v>1859</v>
      </c>
      <c r="B730" s="114" t="s">
        <v>1897</v>
      </c>
      <c r="C730" s="113" t="s">
        <v>20</v>
      </c>
      <c r="D730" s="113" t="s">
        <v>1896</v>
      </c>
      <c r="E730" s="139" t="s">
        <v>1369</v>
      </c>
      <c r="F730" s="139"/>
      <c r="G730" s="112" t="s">
        <v>96</v>
      </c>
      <c r="H730" s="111">
        <v>43.898800000000001</v>
      </c>
      <c r="I730" s="110">
        <v>0.6</v>
      </c>
      <c r="J730" s="110">
        <v>26.34</v>
      </c>
    </row>
    <row r="731" spans="1:10" ht="24" customHeight="1" x14ac:dyDescent="0.2">
      <c r="A731" s="113" t="s">
        <v>1859</v>
      </c>
      <c r="B731" s="114" t="s">
        <v>2614</v>
      </c>
      <c r="C731" s="113" t="s">
        <v>20</v>
      </c>
      <c r="D731" s="113" t="s">
        <v>2613</v>
      </c>
      <c r="E731" s="139" t="s">
        <v>1369</v>
      </c>
      <c r="F731" s="139"/>
      <c r="G731" s="112" t="s">
        <v>246</v>
      </c>
      <c r="H731" s="111">
        <v>20.908000000000001</v>
      </c>
      <c r="I731" s="110">
        <v>2.46</v>
      </c>
      <c r="J731" s="110">
        <v>51.43</v>
      </c>
    </row>
    <row r="732" spans="1:10" ht="24" customHeight="1" x14ac:dyDescent="0.2">
      <c r="A732" s="113" t="s">
        <v>1859</v>
      </c>
      <c r="B732" s="114" t="s">
        <v>2590</v>
      </c>
      <c r="C732" s="113" t="s">
        <v>20</v>
      </c>
      <c r="D732" s="113" t="s">
        <v>2589</v>
      </c>
      <c r="E732" s="139" t="s">
        <v>1369</v>
      </c>
      <c r="F732" s="139"/>
      <c r="G732" s="112" t="s">
        <v>1877</v>
      </c>
      <c r="H732" s="111">
        <v>0.20380000000000001</v>
      </c>
      <c r="I732" s="110">
        <v>5.88</v>
      </c>
      <c r="J732" s="110">
        <v>1.2</v>
      </c>
    </row>
    <row r="733" spans="1:10" ht="24" customHeight="1" x14ac:dyDescent="0.2">
      <c r="A733" s="113" t="s">
        <v>1859</v>
      </c>
      <c r="B733" s="114" t="s">
        <v>2239</v>
      </c>
      <c r="C733" s="113" t="s">
        <v>20</v>
      </c>
      <c r="D733" s="113" t="s">
        <v>2238</v>
      </c>
      <c r="E733" s="139" t="s">
        <v>1369</v>
      </c>
      <c r="F733" s="139"/>
      <c r="G733" s="112" t="s">
        <v>213</v>
      </c>
      <c r="H733" s="111">
        <v>0.27550000000000002</v>
      </c>
      <c r="I733" s="110">
        <v>9.7100000000000009</v>
      </c>
      <c r="J733" s="110">
        <v>2.68</v>
      </c>
    </row>
    <row r="734" spans="1:10" ht="24" customHeight="1" x14ac:dyDescent="0.2">
      <c r="A734" s="113" t="s">
        <v>1859</v>
      </c>
      <c r="B734" s="114" t="s">
        <v>2612</v>
      </c>
      <c r="C734" s="113" t="s">
        <v>20</v>
      </c>
      <c r="D734" s="113" t="s">
        <v>2611</v>
      </c>
      <c r="E734" s="139" t="s">
        <v>1369</v>
      </c>
      <c r="F734" s="139"/>
      <c r="G734" s="112" t="s">
        <v>213</v>
      </c>
      <c r="H734" s="111">
        <v>6.0400000000000002E-2</v>
      </c>
      <c r="I734" s="110">
        <v>2.61</v>
      </c>
      <c r="J734" s="110">
        <v>0.16</v>
      </c>
    </row>
    <row r="735" spans="1:10" ht="24" customHeight="1" x14ac:dyDescent="0.2">
      <c r="A735" s="113" t="s">
        <v>1859</v>
      </c>
      <c r="B735" s="114" t="s">
        <v>2068</v>
      </c>
      <c r="C735" s="113" t="s">
        <v>20</v>
      </c>
      <c r="D735" s="113" t="s">
        <v>2067</v>
      </c>
      <c r="E735" s="139" t="s">
        <v>1369</v>
      </c>
      <c r="F735" s="139"/>
      <c r="G735" s="112" t="s">
        <v>213</v>
      </c>
      <c r="H735" s="111">
        <v>1.3601000000000001</v>
      </c>
      <c r="I735" s="110">
        <v>15.39</v>
      </c>
      <c r="J735" s="110">
        <v>20.93</v>
      </c>
    </row>
    <row r="736" spans="1:10" ht="24" customHeight="1" x14ac:dyDescent="0.2">
      <c r="A736" s="113" t="s">
        <v>1859</v>
      </c>
      <c r="B736" s="114" t="s">
        <v>2610</v>
      </c>
      <c r="C736" s="113" t="s">
        <v>20</v>
      </c>
      <c r="D736" s="113" t="s">
        <v>2609</v>
      </c>
      <c r="E736" s="139" t="s">
        <v>1369</v>
      </c>
      <c r="F736" s="139"/>
      <c r="G736" s="112" t="s">
        <v>96</v>
      </c>
      <c r="H736" s="111">
        <v>0.36030000000000001</v>
      </c>
      <c r="I736" s="110">
        <v>18.170000000000002</v>
      </c>
      <c r="J736" s="110">
        <v>6.55</v>
      </c>
    </row>
    <row r="737" spans="1:10" ht="24" customHeight="1" x14ac:dyDescent="0.2">
      <c r="A737" s="113" t="s">
        <v>1859</v>
      </c>
      <c r="B737" s="114" t="s">
        <v>2066</v>
      </c>
      <c r="C737" s="113" t="s">
        <v>20</v>
      </c>
      <c r="D737" s="113" t="s">
        <v>2065</v>
      </c>
      <c r="E737" s="139" t="s">
        <v>1369</v>
      </c>
      <c r="F737" s="139"/>
      <c r="G737" s="112" t="s">
        <v>96</v>
      </c>
      <c r="H737" s="111">
        <v>1.9599999999999999E-2</v>
      </c>
      <c r="I737" s="110">
        <v>18.170000000000002</v>
      </c>
      <c r="J737" s="110">
        <v>0.36</v>
      </c>
    </row>
    <row r="738" spans="1:10" ht="24" customHeight="1" x14ac:dyDescent="0.2">
      <c r="A738" s="113" t="s">
        <v>1859</v>
      </c>
      <c r="B738" s="114" t="s">
        <v>2608</v>
      </c>
      <c r="C738" s="113" t="s">
        <v>20</v>
      </c>
      <c r="D738" s="113" t="s">
        <v>2607</v>
      </c>
      <c r="E738" s="139" t="s">
        <v>1369</v>
      </c>
      <c r="F738" s="139"/>
      <c r="G738" s="112" t="s">
        <v>213</v>
      </c>
      <c r="H738" s="111">
        <v>5.8400000000000001E-2</v>
      </c>
      <c r="I738" s="110">
        <v>26.47</v>
      </c>
      <c r="J738" s="110">
        <v>1.55</v>
      </c>
    </row>
    <row r="739" spans="1:10" ht="24" customHeight="1" x14ac:dyDescent="0.2">
      <c r="A739" s="113" t="s">
        <v>1859</v>
      </c>
      <c r="B739" s="114" t="s">
        <v>1866</v>
      </c>
      <c r="C739" s="113" t="s">
        <v>20</v>
      </c>
      <c r="D739" s="113" t="s">
        <v>1865</v>
      </c>
      <c r="E739" s="139" t="s">
        <v>1860</v>
      </c>
      <c r="F739" s="139"/>
      <c r="G739" s="112" t="s">
        <v>1864</v>
      </c>
      <c r="H739" s="111">
        <v>1.2330000000000001</v>
      </c>
      <c r="I739" s="110">
        <v>15.97</v>
      </c>
      <c r="J739" s="110">
        <v>19.690000000000001</v>
      </c>
    </row>
    <row r="740" spans="1:10" ht="24" customHeight="1" x14ac:dyDescent="0.2">
      <c r="A740" s="113" t="s">
        <v>1859</v>
      </c>
      <c r="B740" s="114" t="s">
        <v>2064</v>
      </c>
      <c r="C740" s="113" t="s">
        <v>20</v>
      </c>
      <c r="D740" s="113" t="s">
        <v>2063</v>
      </c>
      <c r="E740" s="139" t="s">
        <v>1860</v>
      </c>
      <c r="F740" s="139"/>
      <c r="G740" s="112" t="s">
        <v>1864</v>
      </c>
      <c r="H740" s="111">
        <v>0.73409999999999997</v>
      </c>
      <c r="I740" s="110">
        <v>15.97</v>
      </c>
      <c r="J740" s="110">
        <v>11.72</v>
      </c>
    </row>
    <row r="741" spans="1:10" ht="24" customHeight="1" x14ac:dyDescent="0.2">
      <c r="A741" s="113" t="s">
        <v>1859</v>
      </c>
      <c r="B741" s="114" t="s">
        <v>2062</v>
      </c>
      <c r="C741" s="113" t="s">
        <v>20</v>
      </c>
      <c r="D741" s="113" t="s">
        <v>2061</v>
      </c>
      <c r="E741" s="139" t="s">
        <v>1860</v>
      </c>
      <c r="F741" s="139"/>
      <c r="G741" s="112" t="s">
        <v>1864</v>
      </c>
      <c r="H741" s="111">
        <v>0.255</v>
      </c>
      <c r="I741" s="110">
        <v>12.74</v>
      </c>
      <c r="J741" s="110">
        <v>3.25</v>
      </c>
    </row>
    <row r="742" spans="1:10" ht="24" customHeight="1" x14ac:dyDescent="0.2">
      <c r="A742" s="113" t="s">
        <v>1859</v>
      </c>
      <c r="B742" s="114" t="s">
        <v>1872</v>
      </c>
      <c r="C742" s="113" t="s">
        <v>20</v>
      </c>
      <c r="D742" s="113" t="s">
        <v>1871</v>
      </c>
      <c r="E742" s="139" t="s">
        <v>1860</v>
      </c>
      <c r="F742" s="139"/>
      <c r="G742" s="112" t="s">
        <v>1864</v>
      </c>
      <c r="H742" s="111">
        <v>5.1791999999999998</v>
      </c>
      <c r="I742" s="110">
        <v>10.62</v>
      </c>
      <c r="J742" s="110">
        <v>55</v>
      </c>
    </row>
    <row r="743" spans="1:10" ht="24" customHeight="1" x14ac:dyDescent="0.2">
      <c r="A743" s="113" t="s">
        <v>1859</v>
      </c>
      <c r="B743" s="114" t="s">
        <v>1951</v>
      </c>
      <c r="C743" s="113" t="s">
        <v>20</v>
      </c>
      <c r="D743" s="113" t="s">
        <v>1950</v>
      </c>
      <c r="E743" s="139" t="s">
        <v>1860</v>
      </c>
      <c r="F743" s="139"/>
      <c r="G743" s="112" t="s">
        <v>1864</v>
      </c>
      <c r="H743" s="111">
        <v>0.79520000000000002</v>
      </c>
      <c r="I743" s="110">
        <v>10.62</v>
      </c>
      <c r="J743" s="110">
        <v>8.4499999999999993</v>
      </c>
    </row>
    <row r="744" spans="1:10" ht="24" customHeight="1" x14ac:dyDescent="0.2">
      <c r="A744" s="113" t="s">
        <v>1859</v>
      </c>
      <c r="B744" s="114" t="s">
        <v>2060</v>
      </c>
      <c r="C744" s="113" t="s">
        <v>20</v>
      </c>
      <c r="D744" s="113" t="s">
        <v>2059</v>
      </c>
      <c r="E744" s="139" t="s">
        <v>1860</v>
      </c>
      <c r="F744" s="139"/>
      <c r="G744" s="112" t="s">
        <v>1864</v>
      </c>
      <c r="H744" s="111">
        <v>1.9232</v>
      </c>
      <c r="I744" s="110">
        <v>15.97</v>
      </c>
      <c r="J744" s="110">
        <v>30.71</v>
      </c>
    </row>
    <row r="745" spans="1:10" x14ac:dyDescent="0.2">
      <c r="A745" s="109"/>
      <c r="B745" s="109"/>
      <c r="C745" s="109"/>
      <c r="D745" s="109"/>
      <c r="E745" s="109" t="s">
        <v>1858</v>
      </c>
      <c r="F745" s="108">
        <v>128.82</v>
      </c>
      <c r="G745" s="109" t="s">
        <v>1857</v>
      </c>
      <c r="H745" s="108">
        <v>0</v>
      </c>
      <c r="I745" s="109" t="s">
        <v>1856</v>
      </c>
      <c r="J745" s="108">
        <v>128.82</v>
      </c>
    </row>
    <row r="746" spans="1:10" ht="13.9" customHeight="1" x14ac:dyDescent="0.2">
      <c r="A746" s="109"/>
      <c r="B746" s="109"/>
      <c r="C746" s="109"/>
      <c r="D746" s="109"/>
      <c r="E746" s="109" t="s">
        <v>1855</v>
      </c>
      <c r="F746" s="108">
        <v>102.506895</v>
      </c>
      <c r="G746" s="109"/>
      <c r="H746" s="140" t="s">
        <v>1854</v>
      </c>
      <c r="I746" s="140"/>
      <c r="J746" s="108">
        <v>488.6</v>
      </c>
    </row>
    <row r="747" spans="1:10" ht="30" customHeight="1" thickBot="1" x14ac:dyDescent="0.25">
      <c r="A747" s="100"/>
      <c r="B747" s="100"/>
      <c r="C747" s="100"/>
      <c r="D747" s="100"/>
      <c r="E747" s="100"/>
      <c r="F747" s="100"/>
      <c r="G747" s="100" t="s">
        <v>1853</v>
      </c>
      <c r="H747" s="107">
        <v>45.43</v>
      </c>
      <c r="I747" s="100" t="s">
        <v>1852</v>
      </c>
      <c r="J747" s="102">
        <v>22197.1</v>
      </c>
    </row>
    <row r="748" spans="1:10" ht="1.1499999999999999" customHeight="1" thickTop="1" x14ac:dyDescent="0.2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</row>
    <row r="749" spans="1:10" ht="24" customHeight="1" x14ac:dyDescent="0.2">
      <c r="A749" s="123" t="s">
        <v>1325</v>
      </c>
      <c r="B749" s="123"/>
      <c r="C749" s="123"/>
      <c r="D749" s="123" t="s">
        <v>1324</v>
      </c>
      <c r="E749" s="123"/>
      <c r="F749" s="142"/>
      <c r="G749" s="142"/>
      <c r="H749" s="3"/>
      <c r="I749" s="123"/>
      <c r="J749" s="63">
        <v>10333.52</v>
      </c>
    </row>
    <row r="750" spans="1:10" ht="18" customHeight="1" x14ac:dyDescent="0.2">
      <c r="A750" s="117"/>
      <c r="B750" s="126" t="s">
        <v>5</v>
      </c>
      <c r="C750" s="117" t="s">
        <v>6</v>
      </c>
      <c r="D750" s="117" t="s">
        <v>7</v>
      </c>
      <c r="E750" s="136" t="s">
        <v>1113</v>
      </c>
      <c r="F750" s="136"/>
      <c r="G750" s="7" t="s">
        <v>8</v>
      </c>
      <c r="H750" s="126" t="s">
        <v>9</v>
      </c>
      <c r="I750" s="126" t="s">
        <v>10</v>
      </c>
      <c r="J750" s="126" t="s">
        <v>12</v>
      </c>
    </row>
    <row r="751" spans="1:10" ht="36" customHeight="1" x14ac:dyDescent="0.2">
      <c r="A751" s="116" t="s">
        <v>1859</v>
      </c>
      <c r="B751" s="1" t="s">
        <v>1322</v>
      </c>
      <c r="C751" s="116" t="s">
        <v>25</v>
      </c>
      <c r="D751" s="116" t="s">
        <v>1321</v>
      </c>
      <c r="E751" s="137" t="s">
        <v>1369</v>
      </c>
      <c r="F751" s="137"/>
      <c r="G751" s="2" t="s">
        <v>22</v>
      </c>
      <c r="H751" s="115">
        <v>1</v>
      </c>
      <c r="I751" s="61">
        <v>41.02</v>
      </c>
      <c r="J751" s="61">
        <v>41.02</v>
      </c>
    </row>
    <row r="752" spans="1:10" x14ac:dyDescent="0.2">
      <c r="A752" s="109"/>
      <c r="B752" s="109"/>
      <c r="C752" s="109"/>
      <c r="D752" s="109"/>
      <c r="E752" s="109" t="s">
        <v>1858</v>
      </c>
      <c r="F752" s="108">
        <v>0</v>
      </c>
      <c r="G752" s="109" t="s">
        <v>1857</v>
      </c>
      <c r="H752" s="108">
        <v>0</v>
      </c>
      <c r="I752" s="109" t="s">
        <v>1856</v>
      </c>
      <c r="J752" s="108">
        <v>0</v>
      </c>
    </row>
    <row r="753" spans="1:10" ht="13.9" customHeight="1" x14ac:dyDescent="0.2">
      <c r="A753" s="109"/>
      <c r="B753" s="109"/>
      <c r="C753" s="109"/>
      <c r="D753" s="109"/>
      <c r="E753" s="109" t="s">
        <v>1855</v>
      </c>
      <c r="F753" s="108">
        <v>10.89</v>
      </c>
      <c r="G753" s="109"/>
      <c r="H753" s="140" t="s">
        <v>1854</v>
      </c>
      <c r="I753" s="140"/>
      <c r="J753" s="108">
        <v>51.91</v>
      </c>
    </row>
    <row r="754" spans="1:10" ht="30" customHeight="1" thickBot="1" x14ac:dyDescent="0.25">
      <c r="A754" s="100"/>
      <c r="B754" s="100"/>
      <c r="C754" s="100"/>
      <c r="D754" s="100"/>
      <c r="E754" s="100"/>
      <c r="F754" s="100"/>
      <c r="G754" s="100" t="s">
        <v>1853</v>
      </c>
      <c r="H754" s="107">
        <v>55.54</v>
      </c>
      <c r="I754" s="100" t="s">
        <v>1852</v>
      </c>
      <c r="J754" s="102">
        <v>2883.08</v>
      </c>
    </row>
    <row r="755" spans="1:10" ht="1.1499999999999999" customHeight="1" thickTop="1" x14ac:dyDescent="0.2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</row>
    <row r="756" spans="1:10" ht="18" customHeight="1" x14ac:dyDescent="0.2">
      <c r="A756" s="117" t="s">
        <v>1320</v>
      </c>
      <c r="B756" s="126" t="s">
        <v>5</v>
      </c>
      <c r="C756" s="117" t="s">
        <v>6</v>
      </c>
      <c r="D756" s="117" t="s">
        <v>7</v>
      </c>
      <c r="E756" s="136" t="s">
        <v>1113</v>
      </c>
      <c r="F756" s="136"/>
      <c r="G756" s="7" t="s">
        <v>8</v>
      </c>
      <c r="H756" s="126" t="s">
        <v>9</v>
      </c>
      <c r="I756" s="126" t="s">
        <v>10</v>
      </c>
      <c r="J756" s="126" t="s">
        <v>12</v>
      </c>
    </row>
    <row r="757" spans="1:10" ht="36" customHeight="1" x14ac:dyDescent="0.2">
      <c r="A757" s="116" t="s">
        <v>1861</v>
      </c>
      <c r="B757" s="1" t="s">
        <v>1319</v>
      </c>
      <c r="C757" s="116" t="s">
        <v>25</v>
      </c>
      <c r="D757" s="116" t="s">
        <v>1318</v>
      </c>
      <c r="E757" s="137" t="s">
        <v>1415</v>
      </c>
      <c r="F757" s="137"/>
      <c r="G757" s="2" t="s">
        <v>49</v>
      </c>
      <c r="H757" s="115">
        <v>1</v>
      </c>
      <c r="I757" s="61">
        <v>433.08</v>
      </c>
      <c r="J757" s="61">
        <v>433.08</v>
      </c>
    </row>
    <row r="758" spans="1:10" ht="48" customHeight="1" x14ac:dyDescent="0.2">
      <c r="A758" s="121" t="s">
        <v>1888</v>
      </c>
      <c r="B758" s="122" t="s">
        <v>2606</v>
      </c>
      <c r="C758" s="121" t="s">
        <v>25</v>
      </c>
      <c r="D758" s="121" t="s">
        <v>2605</v>
      </c>
      <c r="E758" s="138" t="s">
        <v>1908</v>
      </c>
      <c r="F758" s="138"/>
      <c r="G758" s="120" t="s">
        <v>1911</v>
      </c>
      <c r="H758" s="119">
        <v>0.64339999999999997</v>
      </c>
      <c r="I758" s="118">
        <v>6.17</v>
      </c>
      <c r="J758" s="118">
        <v>3.97</v>
      </c>
    </row>
    <row r="759" spans="1:10" ht="48" customHeight="1" x14ac:dyDescent="0.2">
      <c r="A759" s="121" t="s">
        <v>1888</v>
      </c>
      <c r="B759" s="122" t="s">
        <v>2604</v>
      </c>
      <c r="C759" s="121" t="s">
        <v>25</v>
      </c>
      <c r="D759" s="121" t="s">
        <v>2603</v>
      </c>
      <c r="E759" s="138" t="s">
        <v>1908</v>
      </c>
      <c r="F759" s="138"/>
      <c r="G759" s="120" t="s">
        <v>1907</v>
      </c>
      <c r="H759" s="119">
        <v>0.60670000000000002</v>
      </c>
      <c r="I759" s="118">
        <v>1.6</v>
      </c>
      <c r="J759" s="118">
        <v>0.97</v>
      </c>
    </row>
    <row r="760" spans="1:10" ht="24" customHeight="1" x14ac:dyDescent="0.2">
      <c r="A760" s="121" t="s">
        <v>1888</v>
      </c>
      <c r="B760" s="122" t="s">
        <v>1906</v>
      </c>
      <c r="C760" s="121" t="s">
        <v>25</v>
      </c>
      <c r="D760" s="121" t="s">
        <v>1905</v>
      </c>
      <c r="E760" s="138" t="s">
        <v>1902</v>
      </c>
      <c r="F760" s="138"/>
      <c r="G760" s="120" t="s">
        <v>61</v>
      </c>
      <c r="H760" s="119">
        <v>1.9792000000000001</v>
      </c>
      <c r="I760" s="118">
        <v>16.059999999999999</v>
      </c>
      <c r="J760" s="118">
        <v>31.79</v>
      </c>
    </row>
    <row r="761" spans="1:10" ht="24" customHeight="1" x14ac:dyDescent="0.2">
      <c r="A761" s="121" t="s">
        <v>1888</v>
      </c>
      <c r="B761" s="122" t="s">
        <v>2602</v>
      </c>
      <c r="C761" s="121" t="s">
        <v>25</v>
      </c>
      <c r="D761" s="121" t="s">
        <v>2601</v>
      </c>
      <c r="E761" s="138" t="s">
        <v>1902</v>
      </c>
      <c r="F761" s="138"/>
      <c r="G761" s="120" t="s">
        <v>61</v>
      </c>
      <c r="H761" s="119">
        <v>1.2501</v>
      </c>
      <c r="I761" s="118">
        <v>22.26</v>
      </c>
      <c r="J761" s="118">
        <v>27.83</v>
      </c>
    </row>
    <row r="762" spans="1:10" ht="24" customHeight="1" x14ac:dyDescent="0.2">
      <c r="A762" s="113" t="s">
        <v>1859</v>
      </c>
      <c r="B762" s="114" t="s">
        <v>2600</v>
      </c>
      <c r="C762" s="113" t="s">
        <v>25</v>
      </c>
      <c r="D762" s="113" t="s">
        <v>2599</v>
      </c>
      <c r="E762" s="139" t="s">
        <v>1369</v>
      </c>
      <c r="F762" s="139"/>
      <c r="G762" s="112" t="s">
        <v>49</v>
      </c>
      <c r="H762" s="111">
        <v>0.72750000000000004</v>
      </c>
      <c r="I762" s="110">
        <v>139.5</v>
      </c>
      <c r="J762" s="110">
        <v>101.49</v>
      </c>
    </row>
    <row r="763" spans="1:10" ht="24" customHeight="1" x14ac:dyDescent="0.2">
      <c r="A763" s="113" t="s">
        <v>1859</v>
      </c>
      <c r="B763" s="114" t="s">
        <v>2172</v>
      </c>
      <c r="C763" s="113" t="s">
        <v>25</v>
      </c>
      <c r="D763" s="113" t="s">
        <v>2171</v>
      </c>
      <c r="E763" s="139" t="s">
        <v>1369</v>
      </c>
      <c r="F763" s="139"/>
      <c r="G763" s="112" t="s">
        <v>1303</v>
      </c>
      <c r="H763" s="111">
        <v>364.94330000000002</v>
      </c>
      <c r="I763" s="110">
        <v>0.6</v>
      </c>
      <c r="J763" s="110">
        <v>218.97</v>
      </c>
    </row>
    <row r="764" spans="1:10" ht="24" customHeight="1" x14ac:dyDescent="0.2">
      <c r="A764" s="113" t="s">
        <v>1859</v>
      </c>
      <c r="B764" s="114" t="s">
        <v>2397</v>
      </c>
      <c r="C764" s="113" t="s">
        <v>25</v>
      </c>
      <c r="D764" s="113" t="s">
        <v>2396</v>
      </c>
      <c r="E764" s="139" t="s">
        <v>1369</v>
      </c>
      <c r="F764" s="139"/>
      <c r="G764" s="112" t="s">
        <v>49</v>
      </c>
      <c r="H764" s="111">
        <v>0.59719999999999995</v>
      </c>
      <c r="I764" s="110">
        <v>80.48</v>
      </c>
      <c r="J764" s="110">
        <v>48.06</v>
      </c>
    </row>
    <row r="765" spans="1:10" x14ac:dyDescent="0.2">
      <c r="A765" s="109"/>
      <c r="B765" s="109"/>
      <c r="C765" s="109"/>
      <c r="D765" s="109"/>
      <c r="E765" s="109" t="s">
        <v>1858</v>
      </c>
      <c r="F765" s="108">
        <v>43.22</v>
      </c>
      <c r="G765" s="109" t="s">
        <v>1857</v>
      </c>
      <c r="H765" s="108">
        <v>0</v>
      </c>
      <c r="I765" s="109" t="s">
        <v>1856</v>
      </c>
      <c r="J765" s="108">
        <v>43.22</v>
      </c>
    </row>
    <row r="766" spans="1:10" ht="13.9" customHeight="1" x14ac:dyDescent="0.2">
      <c r="A766" s="109"/>
      <c r="B766" s="109"/>
      <c r="C766" s="109"/>
      <c r="D766" s="109"/>
      <c r="E766" s="109" t="s">
        <v>1855</v>
      </c>
      <c r="F766" s="108">
        <v>114.98274000000001</v>
      </c>
      <c r="G766" s="109"/>
      <c r="H766" s="140" t="s">
        <v>1854</v>
      </c>
      <c r="I766" s="140"/>
      <c r="J766" s="108">
        <v>548.05999999999995</v>
      </c>
    </row>
    <row r="767" spans="1:10" ht="30" customHeight="1" thickBot="1" x14ac:dyDescent="0.25">
      <c r="A767" s="100"/>
      <c r="B767" s="100"/>
      <c r="C767" s="100"/>
      <c r="D767" s="100"/>
      <c r="E767" s="100"/>
      <c r="F767" s="100"/>
      <c r="G767" s="100" t="s">
        <v>1853</v>
      </c>
      <c r="H767" s="107">
        <v>1.67</v>
      </c>
      <c r="I767" s="100" t="s">
        <v>1852</v>
      </c>
      <c r="J767" s="102">
        <v>915.26</v>
      </c>
    </row>
    <row r="768" spans="1:10" ht="1.1499999999999999" customHeight="1" thickTop="1" x14ac:dyDescent="0.2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</row>
    <row r="769" spans="1:10" ht="18" customHeight="1" x14ac:dyDescent="0.2">
      <c r="A769" s="117" t="s">
        <v>1317</v>
      </c>
      <c r="B769" s="126" t="s">
        <v>5</v>
      </c>
      <c r="C769" s="117" t="s">
        <v>6</v>
      </c>
      <c r="D769" s="117" t="s">
        <v>7</v>
      </c>
      <c r="E769" s="136" t="s">
        <v>1113</v>
      </c>
      <c r="F769" s="136"/>
      <c r="G769" s="7" t="s">
        <v>8</v>
      </c>
      <c r="H769" s="126" t="s">
        <v>9</v>
      </c>
      <c r="I769" s="126" t="s">
        <v>10</v>
      </c>
      <c r="J769" s="126" t="s">
        <v>12</v>
      </c>
    </row>
    <row r="770" spans="1:10" ht="48" customHeight="1" x14ac:dyDescent="0.2">
      <c r="A770" s="116" t="s">
        <v>1861</v>
      </c>
      <c r="B770" s="1" t="s">
        <v>1316</v>
      </c>
      <c r="C770" s="116" t="s">
        <v>25</v>
      </c>
      <c r="D770" s="116" t="s">
        <v>1315</v>
      </c>
      <c r="E770" s="137" t="s">
        <v>1415</v>
      </c>
      <c r="F770" s="137"/>
      <c r="G770" s="2" t="s">
        <v>1303</v>
      </c>
      <c r="H770" s="115">
        <v>1</v>
      </c>
      <c r="I770" s="61">
        <v>12.23</v>
      </c>
      <c r="J770" s="61">
        <v>12.23</v>
      </c>
    </row>
    <row r="771" spans="1:10" ht="24" customHeight="1" x14ac:dyDescent="0.2">
      <c r="A771" s="121" t="s">
        <v>1888</v>
      </c>
      <c r="B771" s="122" t="s">
        <v>2598</v>
      </c>
      <c r="C771" s="121" t="s">
        <v>25</v>
      </c>
      <c r="D771" s="121" t="s">
        <v>2597</v>
      </c>
      <c r="E771" s="138" t="s">
        <v>1415</v>
      </c>
      <c r="F771" s="138"/>
      <c r="G771" s="120" t="s">
        <v>1303</v>
      </c>
      <c r="H771" s="119">
        <v>1</v>
      </c>
      <c r="I771" s="118">
        <v>10.66</v>
      </c>
      <c r="J771" s="118">
        <v>10.66</v>
      </c>
    </row>
    <row r="772" spans="1:10" ht="24" customHeight="1" x14ac:dyDescent="0.2">
      <c r="A772" s="121" t="s">
        <v>1888</v>
      </c>
      <c r="B772" s="122" t="s">
        <v>2586</v>
      </c>
      <c r="C772" s="121" t="s">
        <v>25</v>
      </c>
      <c r="D772" s="121" t="s">
        <v>2585</v>
      </c>
      <c r="E772" s="138" t="s">
        <v>1902</v>
      </c>
      <c r="F772" s="138"/>
      <c r="G772" s="120" t="s">
        <v>61</v>
      </c>
      <c r="H772" s="119">
        <v>3.4799999999999998E-2</v>
      </c>
      <c r="I772" s="118">
        <v>21.42</v>
      </c>
      <c r="J772" s="118">
        <v>0.75</v>
      </c>
    </row>
    <row r="773" spans="1:10" ht="24" customHeight="1" x14ac:dyDescent="0.2">
      <c r="A773" s="121" t="s">
        <v>1888</v>
      </c>
      <c r="B773" s="122" t="s">
        <v>2596</v>
      </c>
      <c r="C773" s="121" t="s">
        <v>25</v>
      </c>
      <c r="D773" s="121" t="s">
        <v>2595</v>
      </c>
      <c r="E773" s="138" t="s">
        <v>1902</v>
      </c>
      <c r="F773" s="138"/>
      <c r="G773" s="120" t="s">
        <v>61</v>
      </c>
      <c r="H773" s="119">
        <v>5.7000000000000002E-3</v>
      </c>
      <c r="I773" s="118">
        <v>15.68</v>
      </c>
      <c r="J773" s="118">
        <v>0.09</v>
      </c>
    </row>
    <row r="774" spans="1:10" ht="24" customHeight="1" x14ac:dyDescent="0.2">
      <c r="A774" s="113" t="s">
        <v>1859</v>
      </c>
      <c r="B774" s="114" t="s">
        <v>2584</v>
      </c>
      <c r="C774" s="113" t="s">
        <v>25</v>
      </c>
      <c r="D774" s="113" t="s">
        <v>2583</v>
      </c>
      <c r="E774" s="139" t="s">
        <v>1369</v>
      </c>
      <c r="F774" s="139"/>
      <c r="G774" s="112" t="s">
        <v>1303</v>
      </c>
      <c r="H774" s="111">
        <v>2.5000000000000001E-2</v>
      </c>
      <c r="I774" s="110">
        <v>25.9</v>
      </c>
      <c r="J774" s="110">
        <v>0.65</v>
      </c>
    </row>
    <row r="775" spans="1:10" ht="36" customHeight="1" x14ac:dyDescent="0.2">
      <c r="A775" s="113" t="s">
        <v>1859</v>
      </c>
      <c r="B775" s="114" t="s">
        <v>2582</v>
      </c>
      <c r="C775" s="113" t="s">
        <v>25</v>
      </c>
      <c r="D775" s="113" t="s">
        <v>2581</v>
      </c>
      <c r="E775" s="139" t="s">
        <v>1369</v>
      </c>
      <c r="F775" s="139"/>
      <c r="G775" s="112" t="s">
        <v>236</v>
      </c>
      <c r="H775" s="111">
        <v>0.35699999999999998</v>
      </c>
      <c r="I775" s="110">
        <v>0.22</v>
      </c>
      <c r="J775" s="110">
        <v>0.08</v>
      </c>
    </row>
    <row r="776" spans="1:10" x14ac:dyDescent="0.2">
      <c r="A776" s="109"/>
      <c r="B776" s="109"/>
      <c r="C776" s="109"/>
      <c r="D776" s="109"/>
      <c r="E776" s="109" t="s">
        <v>1858</v>
      </c>
      <c r="F776" s="108">
        <v>0.76</v>
      </c>
      <c r="G776" s="109" t="s">
        <v>1857</v>
      </c>
      <c r="H776" s="108">
        <v>0</v>
      </c>
      <c r="I776" s="109" t="s">
        <v>1856</v>
      </c>
      <c r="J776" s="108">
        <v>0.76</v>
      </c>
    </row>
    <row r="777" spans="1:10" ht="13.9" customHeight="1" x14ac:dyDescent="0.2">
      <c r="A777" s="109"/>
      <c r="B777" s="109"/>
      <c r="C777" s="109"/>
      <c r="D777" s="109"/>
      <c r="E777" s="109" t="s">
        <v>1855</v>
      </c>
      <c r="F777" s="108">
        <v>3.2470650000000001</v>
      </c>
      <c r="G777" s="109"/>
      <c r="H777" s="140" t="s">
        <v>1854</v>
      </c>
      <c r="I777" s="140"/>
      <c r="J777" s="108">
        <v>15.48</v>
      </c>
    </row>
    <row r="778" spans="1:10" ht="30" customHeight="1" thickBot="1" x14ac:dyDescent="0.25">
      <c r="A778" s="100"/>
      <c r="B778" s="100"/>
      <c r="C778" s="100"/>
      <c r="D778" s="100"/>
      <c r="E778" s="100"/>
      <c r="F778" s="100"/>
      <c r="G778" s="100" t="s">
        <v>1853</v>
      </c>
      <c r="H778" s="107">
        <v>120</v>
      </c>
      <c r="I778" s="100" t="s">
        <v>1852</v>
      </c>
      <c r="J778" s="102">
        <v>1857.6</v>
      </c>
    </row>
    <row r="779" spans="1:10" ht="1.1499999999999999" customHeight="1" thickTop="1" x14ac:dyDescent="0.2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</row>
    <row r="780" spans="1:10" ht="18" customHeight="1" x14ac:dyDescent="0.2">
      <c r="A780" s="117" t="s">
        <v>1314</v>
      </c>
      <c r="B780" s="126" t="s">
        <v>5</v>
      </c>
      <c r="C780" s="117" t="s">
        <v>6</v>
      </c>
      <c r="D780" s="117" t="s">
        <v>7</v>
      </c>
      <c r="E780" s="136" t="s">
        <v>1113</v>
      </c>
      <c r="F780" s="136"/>
      <c r="G780" s="7" t="s">
        <v>8</v>
      </c>
      <c r="H780" s="126" t="s">
        <v>9</v>
      </c>
      <c r="I780" s="126" t="s">
        <v>10</v>
      </c>
      <c r="J780" s="126" t="s">
        <v>12</v>
      </c>
    </row>
    <row r="781" spans="1:10" ht="24" customHeight="1" x14ac:dyDescent="0.2">
      <c r="A781" s="116" t="s">
        <v>1861</v>
      </c>
      <c r="B781" s="1" t="s">
        <v>1313</v>
      </c>
      <c r="C781" s="116" t="s">
        <v>249</v>
      </c>
      <c r="D781" s="116" t="s">
        <v>1312</v>
      </c>
      <c r="E781" s="137">
        <v>21</v>
      </c>
      <c r="F781" s="137"/>
      <c r="G781" s="2" t="s">
        <v>22</v>
      </c>
      <c r="H781" s="115">
        <v>1</v>
      </c>
      <c r="I781" s="61">
        <v>66.55</v>
      </c>
      <c r="J781" s="61">
        <v>66.55</v>
      </c>
    </row>
    <row r="782" spans="1:10" ht="24" customHeight="1" x14ac:dyDescent="0.2">
      <c r="A782" s="121" t="s">
        <v>1888</v>
      </c>
      <c r="B782" s="122" t="s">
        <v>2046</v>
      </c>
      <c r="C782" s="121" t="s">
        <v>25</v>
      </c>
      <c r="D782" s="121" t="s">
        <v>2045</v>
      </c>
      <c r="E782" s="138" t="s">
        <v>1902</v>
      </c>
      <c r="F782" s="138"/>
      <c r="G782" s="120" t="s">
        <v>61</v>
      </c>
      <c r="H782" s="119">
        <v>0.97899999999999998</v>
      </c>
      <c r="I782" s="118">
        <v>21.54</v>
      </c>
      <c r="J782" s="118">
        <v>21.09</v>
      </c>
    </row>
    <row r="783" spans="1:10" ht="24" customHeight="1" x14ac:dyDescent="0.2">
      <c r="A783" s="121" t="s">
        <v>1888</v>
      </c>
      <c r="B783" s="122" t="s">
        <v>1906</v>
      </c>
      <c r="C783" s="121" t="s">
        <v>25</v>
      </c>
      <c r="D783" s="121" t="s">
        <v>1905</v>
      </c>
      <c r="E783" s="138" t="s">
        <v>1902</v>
      </c>
      <c r="F783" s="138"/>
      <c r="G783" s="120" t="s">
        <v>61</v>
      </c>
      <c r="H783" s="119">
        <v>2.7410000000000001</v>
      </c>
      <c r="I783" s="118">
        <v>16.059999999999999</v>
      </c>
      <c r="J783" s="118">
        <v>44.02</v>
      </c>
    </row>
    <row r="784" spans="1:10" ht="24" customHeight="1" x14ac:dyDescent="0.2">
      <c r="A784" s="113" t="s">
        <v>1859</v>
      </c>
      <c r="B784" s="114" t="s">
        <v>2594</v>
      </c>
      <c r="C784" s="113" t="s">
        <v>249</v>
      </c>
      <c r="D784" s="113" t="s">
        <v>2593</v>
      </c>
      <c r="E784" s="139" t="s">
        <v>1369</v>
      </c>
      <c r="F784" s="139"/>
      <c r="G784" s="112" t="s">
        <v>61</v>
      </c>
      <c r="H784" s="111">
        <v>1.6</v>
      </c>
      <c r="I784" s="110">
        <v>0.9</v>
      </c>
      <c r="J784" s="110">
        <v>1.44</v>
      </c>
    </row>
    <row r="785" spans="1:10" x14ac:dyDescent="0.2">
      <c r="A785" s="109"/>
      <c r="B785" s="109"/>
      <c r="C785" s="109"/>
      <c r="D785" s="109"/>
      <c r="E785" s="109" t="s">
        <v>1858</v>
      </c>
      <c r="F785" s="108">
        <v>44.75</v>
      </c>
      <c r="G785" s="109" t="s">
        <v>1857</v>
      </c>
      <c r="H785" s="108">
        <v>0</v>
      </c>
      <c r="I785" s="109" t="s">
        <v>1856</v>
      </c>
      <c r="J785" s="108">
        <v>44.75</v>
      </c>
    </row>
    <row r="786" spans="1:10" ht="13.9" customHeight="1" x14ac:dyDescent="0.2">
      <c r="A786" s="109"/>
      <c r="B786" s="109"/>
      <c r="C786" s="109"/>
      <c r="D786" s="109"/>
      <c r="E786" s="109" t="s">
        <v>1855</v>
      </c>
      <c r="F786" s="108">
        <v>17.669025000000001</v>
      </c>
      <c r="G786" s="109"/>
      <c r="H786" s="140" t="s">
        <v>1854</v>
      </c>
      <c r="I786" s="140"/>
      <c r="J786" s="108">
        <v>84.22</v>
      </c>
    </row>
    <row r="787" spans="1:10" ht="30" customHeight="1" thickBot="1" x14ac:dyDescent="0.25">
      <c r="A787" s="100"/>
      <c r="B787" s="100"/>
      <c r="C787" s="100"/>
      <c r="D787" s="100"/>
      <c r="E787" s="100"/>
      <c r="F787" s="100"/>
      <c r="G787" s="100" t="s">
        <v>1853</v>
      </c>
      <c r="H787" s="107">
        <v>55.54</v>
      </c>
      <c r="I787" s="100" t="s">
        <v>1852</v>
      </c>
      <c r="J787" s="102">
        <v>4677.58</v>
      </c>
    </row>
    <row r="788" spans="1:10" ht="1.1499999999999999" customHeight="1" thickTop="1" x14ac:dyDescent="0.2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</row>
    <row r="789" spans="1:10" ht="24" customHeight="1" x14ac:dyDescent="0.2">
      <c r="A789" s="123" t="s">
        <v>1311</v>
      </c>
      <c r="B789" s="123"/>
      <c r="C789" s="123"/>
      <c r="D789" s="123" t="s">
        <v>1310</v>
      </c>
      <c r="E789" s="123"/>
      <c r="F789" s="142"/>
      <c r="G789" s="142"/>
      <c r="H789" s="3"/>
      <c r="I789" s="123"/>
      <c r="J789" s="63">
        <v>7424.52</v>
      </c>
    </row>
    <row r="790" spans="1:10" ht="18" customHeight="1" x14ac:dyDescent="0.2">
      <c r="A790" s="117" t="s">
        <v>1309</v>
      </c>
      <c r="B790" s="126" t="s">
        <v>5</v>
      </c>
      <c r="C790" s="117" t="s">
        <v>6</v>
      </c>
      <c r="D790" s="117" t="s">
        <v>7</v>
      </c>
      <c r="E790" s="136" t="s">
        <v>1113</v>
      </c>
      <c r="F790" s="136"/>
      <c r="G790" s="7" t="s">
        <v>8</v>
      </c>
      <c r="H790" s="126" t="s">
        <v>9</v>
      </c>
      <c r="I790" s="126" t="s">
        <v>10</v>
      </c>
      <c r="J790" s="126" t="s">
        <v>12</v>
      </c>
    </row>
    <row r="791" spans="1:10" ht="24" customHeight="1" x14ac:dyDescent="0.2">
      <c r="A791" s="116" t="s">
        <v>1861</v>
      </c>
      <c r="B791" s="1" t="s">
        <v>1308</v>
      </c>
      <c r="C791" s="116" t="s">
        <v>20</v>
      </c>
      <c r="D791" s="116" t="s">
        <v>1307</v>
      </c>
      <c r="E791" s="137">
        <v>6</v>
      </c>
      <c r="F791" s="137"/>
      <c r="G791" s="2" t="s">
        <v>22</v>
      </c>
      <c r="H791" s="115">
        <v>1</v>
      </c>
      <c r="I791" s="61">
        <v>16.82</v>
      </c>
      <c r="J791" s="61">
        <v>16.82</v>
      </c>
    </row>
    <row r="792" spans="1:10" ht="24" customHeight="1" x14ac:dyDescent="0.2">
      <c r="A792" s="113" t="s">
        <v>1859</v>
      </c>
      <c r="B792" s="114" t="s">
        <v>2592</v>
      </c>
      <c r="C792" s="113" t="s">
        <v>20</v>
      </c>
      <c r="D792" s="113" t="s">
        <v>2591</v>
      </c>
      <c r="E792" s="139" t="s">
        <v>1369</v>
      </c>
      <c r="F792" s="139"/>
      <c r="G792" s="112" t="s">
        <v>22</v>
      </c>
      <c r="H792" s="111">
        <v>0.30859999999999999</v>
      </c>
      <c r="I792" s="110">
        <v>14.94</v>
      </c>
      <c r="J792" s="110">
        <v>4.6100000000000003</v>
      </c>
    </row>
    <row r="793" spans="1:10" ht="24" customHeight="1" x14ac:dyDescent="0.2">
      <c r="A793" s="113" t="s">
        <v>1859</v>
      </c>
      <c r="B793" s="114" t="s">
        <v>2590</v>
      </c>
      <c r="C793" s="113" t="s">
        <v>20</v>
      </c>
      <c r="D793" s="113" t="s">
        <v>2589</v>
      </c>
      <c r="E793" s="139" t="s">
        <v>1369</v>
      </c>
      <c r="F793" s="139"/>
      <c r="G793" s="112" t="s">
        <v>1877</v>
      </c>
      <c r="H793" s="111">
        <v>1.2500000000000001E-2</v>
      </c>
      <c r="I793" s="110">
        <v>5.88</v>
      </c>
      <c r="J793" s="110">
        <v>7.0000000000000007E-2</v>
      </c>
    </row>
    <row r="794" spans="1:10" ht="24" customHeight="1" x14ac:dyDescent="0.2">
      <c r="A794" s="113" t="s">
        <v>1859</v>
      </c>
      <c r="B794" s="114" t="s">
        <v>2066</v>
      </c>
      <c r="C794" s="113" t="s">
        <v>20</v>
      </c>
      <c r="D794" s="113" t="s">
        <v>2065</v>
      </c>
      <c r="E794" s="139" t="s">
        <v>1369</v>
      </c>
      <c r="F794" s="139"/>
      <c r="G794" s="112" t="s">
        <v>96</v>
      </c>
      <c r="H794" s="111">
        <v>6.6500000000000004E-2</v>
      </c>
      <c r="I794" s="110">
        <v>18.170000000000002</v>
      </c>
      <c r="J794" s="110">
        <v>1.21</v>
      </c>
    </row>
    <row r="795" spans="1:10" ht="24" customHeight="1" x14ac:dyDescent="0.2">
      <c r="A795" s="113" t="s">
        <v>1859</v>
      </c>
      <c r="B795" s="114" t="s">
        <v>2068</v>
      </c>
      <c r="C795" s="113" t="s">
        <v>20</v>
      </c>
      <c r="D795" s="113" t="s">
        <v>2067</v>
      </c>
      <c r="E795" s="139" t="s">
        <v>1369</v>
      </c>
      <c r="F795" s="139"/>
      <c r="G795" s="112" t="s">
        <v>213</v>
      </c>
      <c r="H795" s="111">
        <v>0.25109999999999999</v>
      </c>
      <c r="I795" s="110">
        <v>15.39</v>
      </c>
      <c r="J795" s="110">
        <v>3.86</v>
      </c>
    </row>
    <row r="796" spans="1:10" ht="24" customHeight="1" x14ac:dyDescent="0.2">
      <c r="A796" s="113" t="s">
        <v>1859</v>
      </c>
      <c r="B796" s="114" t="s">
        <v>1872</v>
      </c>
      <c r="C796" s="113" t="s">
        <v>20</v>
      </c>
      <c r="D796" s="113" t="s">
        <v>1871</v>
      </c>
      <c r="E796" s="139" t="s">
        <v>1860</v>
      </c>
      <c r="F796" s="139"/>
      <c r="G796" s="112" t="s">
        <v>1864</v>
      </c>
      <c r="H796" s="111">
        <v>0.26590000000000003</v>
      </c>
      <c r="I796" s="110">
        <v>10.62</v>
      </c>
      <c r="J796" s="110">
        <v>2.82</v>
      </c>
    </row>
    <row r="797" spans="1:10" ht="24" customHeight="1" x14ac:dyDescent="0.2">
      <c r="A797" s="113" t="s">
        <v>1859</v>
      </c>
      <c r="B797" s="114" t="s">
        <v>2060</v>
      </c>
      <c r="C797" s="113" t="s">
        <v>20</v>
      </c>
      <c r="D797" s="113" t="s">
        <v>2059</v>
      </c>
      <c r="E797" s="139" t="s">
        <v>1860</v>
      </c>
      <c r="F797" s="139"/>
      <c r="G797" s="112" t="s">
        <v>1864</v>
      </c>
      <c r="H797" s="111">
        <v>0.26590000000000003</v>
      </c>
      <c r="I797" s="110">
        <v>15.97</v>
      </c>
      <c r="J797" s="110">
        <v>4.25</v>
      </c>
    </row>
    <row r="798" spans="1:10" x14ac:dyDescent="0.2">
      <c r="A798" s="109"/>
      <c r="B798" s="109"/>
      <c r="C798" s="109"/>
      <c r="D798" s="109"/>
      <c r="E798" s="109" t="s">
        <v>1858</v>
      </c>
      <c r="F798" s="108">
        <v>7.07</v>
      </c>
      <c r="G798" s="109" t="s">
        <v>1857</v>
      </c>
      <c r="H798" s="108">
        <v>0</v>
      </c>
      <c r="I798" s="109" t="s">
        <v>1856</v>
      </c>
      <c r="J798" s="108">
        <v>7.07</v>
      </c>
    </row>
    <row r="799" spans="1:10" ht="13.9" customHeight="1" x14ac:dyDescent="0.2">
      <c r="A799" s="109"/>
      <c r="B799" s="109"/>
      <c r="C799" s="109"/>
      <c r="D799" s="109"/>
      <c r="E799" s="109" t="s">
        <v>1855</v>
      </c>
      <c r="F799" s="108">
        <v>4.4657099999999996</v>
      </c>
      <c r="G799" s="109"/>
      <c r="H799" s="140" t="s">
        <v>1854</v>
      </c>
      <c r="I799" s="140"/>
      <c r="J799" s="108">
        <v>21.29</v>
      </c>
    </row>
    <row r="800" spans="1:10" ht="30" customHeight="1" thickBot="1" x14ac:dyDescent="0.25">
      <c r="A800" s="100"/>
      <c r="B800" s="100"/>
      <c r="C800" s="100"/>
      <c r="D800" s="100"/>
      <c r="E800" s="100"/>
      <c r="F800" s="100"/>
      <c r="G800" s="100" t="s">
        <v>1853</v>
      </c>
      <c r="H800" s="107">
        <v>30</v>
      </c>
      <c r="I800" s="100" t="s">
        <v>1852</v>
      </c>
      <c r="J800" s="102">
        <v>638.70000000000005</v>
      </c>
    </row>
    <row r="801" spans="1:10" ht="1.1499999999999999" customHeight="1" thickTop="1" x14ac:dyDescent="0.2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</row>
    <row r="802" spans="1:10" ht="18" customHeight="1" x14ac:dyDescent="0.2">
      <c r="A802" s="117" t="s">
        <v>1306</v>
      </c>
      <c r="B802" s="126" t="s">
        <v>5</v>
      </c>
      <c r="C802" s="117" t="s">
        <v>6</v>
      </c>
      <c r="D802" s="117" t="s">
        <v>7</v>
      </c>
      <c r="E802" s="136" t="s">
        <v>1113</v>
      </c>
      <c r="F802" s="136"/>
      <c r="G802" s="7" t="s">
        <v>8</v>
      </c>
      <c r="H802" s="126" t="s">
        <v>9</v>
      </c>
      <c r="I802" s="126" t="s">
        <v>10</v>
      </c>
      <c r="J802" s="126" t="s">
        <v>12</v>
      </c>
    </row>
    <row r="803" spans="1:10" ht="24" customHeight="1" x14ac:dyDescent="0.2">
      <c r="A803" s="116" t="s">
        <v>1861</v>
      </c>
      <c r="B803" s="1" t="s">
        <v>1305</v>
      </c>
      <c r="C803" s="116" t="s">
        <v>25</v>
      </c>
      <c r="D803" s="116" t="s">
        <v>1304</v>
      </c>
      <c r="E803" s="137" t="s">
        <v>1457</v>
      </c>
      <c r="F803" s="137"/>
      <c r="G803" s="2" t="s">
        <v>1303</v>
      </c>
      <c r="H803" s="115">
        <v>1</v>
      </c>
      <c r="I803" s="61">
        <v>12.97</v>
      </c>
      <c r="J803" s="61">
        <v>12.97</v>
      </c>
    </row>
    <row r="804" spans="1:10" ht="36" customHeight="1" x14ac:dyDescent="0.2">
      <c r="A804" s="121" t="s">
        <v>1888</v>
      </c>
      <c r="B804" s="122" t="s">
        <v>2588</v>
      </c>
      <c r="C804" s="121" t="s">
        <v>25</v>
      </c>
      <c r="D804" s="121" t="s">
        <v>2587</v>
      </c>
      <c r="E804" s="138" t="s">
        <v>1415</v>
      </c>
      <c r="F804" s="138"/>
      <c r="G804" s="120" t="s">
        <v>1303</v>
      </c>
      <c r="H804" s="119">
        <v>1</v>
      </c>
      <c r="I804" s="118">
        <v>10.75</v>
      </c>
      <c r="J804" s="118">
        <v>10.75</v>
      </c>
    </row>
    <row r="805" spans="1:10" ht="24" customHeight="1" x14ac:dyDescent="0.2">
      <c r="A805" s="121" t="s">
        <v>1888</v>
      </c>
      <c r="B805" s="122" t="s">
        <v>2586</v>
      </c>
      <c r="C805" s="121" t="s">
        <v>25</v>
      </c>
      <c r="D805" s="121" t="s">
        <v>2585</v>
      </c>
      <c r="E805" s="138" t="s">
        <v>1902</v>
      </c>
      <c r="F805" s="138"/>
      <c r="G805" s="120" t="s">
        <v>61</v>
      </c>
      <c r="H805" s="119">
        <v>6.7699999999999996E-2</v>
      </c>
      <c r="I805" s="118">
        <v>21.42</v>
      </c>
      <c r="J805" s="118">
        <v>1.45</v>
      </c>
    </row>
    <row r="806" spans="1:10" ht="24" customHeight="1" x14ac:dyDescent="0.2">
      <c r="A806" s="113" t="s">
        <v>1859</v>
      </c>
      <c r="B806" s="114" t="s">
        <v>2584</v>
      </c>
      <c r="C806" s="113" t="s">
        <v>25</v>
      </c>
      <c r="D806" s="113" t="s">
        <v>2583</v>
      </c>
      <c r="E806" s="139" t="s">
        <v>1369</v>
      </c>
      <c r="F806" s="139"/>
      <c r="G806" s="112" t="s">
        <v>1303</v>
      </c>
      <c r="H806" s="111">
        <v>2.5000000000000001E-2</v>
      </c>
      <c r="I806" s="110">
        <v>25.9</v>
      </c>
      <c r="J806" s="110">
        <v>0.65</v>
      </c>
    </row>
    <row r="807" spans="1:10" ht="36" customHeight="1" x14ac:dyDescent="0.2">
      <c r="A807" s="113" t="s">
        <v>1859</v>
      </c>
      <c r="B807" s="114" t="s">
        <v>2582</v>
      </c>
      <c r="C807" s="113" t="s">
        <v>25</v>
      </c>
      <c r="D807" s="113" t="s">
        <v>2581</v>
      </c>
      <c r="E807" s="139" t="s">
        <v>1369</v>
      </c>
      <c r="F807" s="139"/>
      <c r="G807" s="112" t="s">
        <v>236</v>
      </c>
      <c r="H807" s="111">
        <v>0.54300000000000004</v>
      </c>
      <c r="I807" s="110">
        <v>0.22</v>
      </c>
      <c r="J807" s="110">
        <v>0.12</v>
      </c>
    </row>
    <row r="808" spans="1:10" x14ac:dyDescent="0.2">
      <c r="A808" s="109"/>
      <c r="B808" s="109"/>
      <c r="C808" s="109"/>
      <c r="D808" s="109"/>
      <c r="E808" s="109" t="s">
        <v>1858</v>
      </c>
      <c r="F808" s="108">
        <v>1.29</v>
      </c>
      <c r="G808" s="109" t="s">
        <v>1857</v>
      </c>
      <c r="H808" s="108">
        <v>0</v>
      </c>
      <c r="I808" s="109" t="s">
        <v>1856</v>
      </c>
      <c r="J808" s="108">
        <v>1.29</v>
      </c>
    </row>
    <row r="809" spans="1:10" ht="13.9" customHeight="1" x14ac:dyDescent="0.2">
      <c r="A809" s="109"/>
      <c r="B809" s="109"/>
      <c r="C809" s="109"/>
      <c r="D809" s="109"/>
      <c r="E809" s="109" t="s">
        <v>1855</v>
      </c>
      <c r="F809" s="108">
        <v>3.4435349999999998</v>
      </c>
      <c r="G809" s="109"/>
      <c r="H809" s="140" t="s">
        <v>1854</v>
      </c>
      <c r="I809" s="140"/>
      <c r="J809" s="108">
        <v>16.41</v>
      </c>
    </row>
    <row r="810" spans="1:10" ht="30" customHeight="1" thickBot="1" x14ac:dyDescent="0.25">
      <c r="A810" s="100"/>
      <c r="B810" s="100"/>
      <c r="C810" s="100"/>
      <c r="D810" s="100"/>
      <c r="E810" s="100"/>
      <c r="F810" s="100"/>
      <c r="G810" s="100" t="s">
        <v>1853</v>
      </c>
      <c r="H810" s="107">
        <v>279.02999999999997</v>
      </c>
      <c r="I810" s="100" t="s">
        <v>1852</v>
      </c>
      <c r="J810" s="102">
        <v>4578.88</v>
      </c>
    </row>
    <row r="811" spans="1:10" ht="1.1499999999999999" customHeight="1" thickTop="1" x14ac:dyDescent="0.2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</row>
    <row r="812" spans="1:10" ht="18" customHeight="1" x14ac:dyDescent="0.2">
      <c r="A812" s="117" t="s">
        <v>1302</v>
      </c>
      <c r="B812" s="126" t="s">
        <v>5</v>
      </c>
      <c r="C812" s="117" t="s">
        <v>6</v>
      </c>
      <c r="D812" s="117" t="s">
        <v>7</v>
      </c>
      <c r="E812" s="136" t="s">
        <v>1113</v>
      </c>
      <c r="F812" s="136"/>
      <c r="G812" s="7" t="s">
        <v>8</v>
      </c>
      <c r="H812" s="126" t="s">
        <v>9</v>
      </c>
      <c r="I812" s="126" t="s">
        <v>10</v>
      </c>
      <c r="J812" s="126" t="s">
        <v>12</v>
      </c>
    </row>
    <row r="813" spans="1:10" ht="24" customHeight="1" x14ac:dyDescent="0.2">
      <c r="A813" s="116" t="s">
        <v>1861</v>
      </c>
      <c r="B813" s="1" t="s">
        <v>1301</v>
      </c>
      <c r="C813" s="116" t="s">
        <v>20</v>
      </c>
      <c r="D813" s="116" t="s">
        <v>1300</v>
      </c>
      <c r="E813" s="137">
        <v>5</v>
      </c>
      <c r="F813" s="137"/>
      <c r="G813" s="2" t="s">
        <v>49</v>
      </c>
      <c r="H813" s="115">
        <v>1</v>
      </c>
      <c r="I813" s="61">
        <v>447.41</v>
      </c>
      <c r="J813" s="61">
        <v>447.41</v>
      </c>
    </row>
    <row r="814" spans="1:10" ht="24" customHeight="1" x14ac:dyDescent="0.2">
      <c r="A814" s="113" t="s">
        <v>1859</v>
      </c>
      <c r="B814" s="114" t="s">
        <v>2580</v>
      </c>
      <c r="C814" s="113" t="s">
        <v>20</v>
      </c>
      <c r="D814" s="113" t="s">
        <v>2579</v>
      </c>
      <c r="E814" s="139" t="s">
        <v>1369</v>
      </c>
      <c r="F814" s="139"/>
      <c r="G814" s="112" t="s">
        <v>49</v>
      </c>
      <c r="H814" s="111">
        <v>1.02</v>
      </c>
      <c r="I814" s="110">
        <v>411.78</v>
      </c>
      <c r="J814" s="110">
        <v>420.02</v>
      </c>
    </row>
    <row r="815" spans="1:10" ht="24" customHeight="1" x14ac:dyDescent="0.2">
      <c r="A815" s="113" t="s">
        <v>1859</v>
      </c>
      <c r="B815" s="114" t="s">
        <v>1872</v>
      </c>
      <c r="C815" s="113" t="s">
        <v>20</v>
      </c>
      <c r="D815" s="113" t="s">
        <v>1871</v>
      </c>
      <c r="E815" s="139" t="s">
        <v>1860</v>
      </c>
      <c r="F815" s="139"/>
      <c r="G815" s="112" t="s">
        <v>1864</v>
      </c>
      <c r="H815" s="111">
        <v>2.5794000000000001</v>
      </c>
      <c r="I815" s="110">
        <v>10.62</v>
      </c>
      <c r="J815" s="110">
        <v>27.39</v>
      </c>
    </row>
    <row r="816" spans="1:10" x14ac:dyDescent="0.2">
      <c r="A816" s="109"/>
      <c r="B816" s="109"/>
      <c r="C816" s="109"/>
      <c r="D816" s="109"/>
      <c r="E816" s="109" t="s">
        <v>1858</v>
      </c>
      <c r="F816" s="108">
        <v>27.39</v>
      </c>
      <c r="G816" s="109" t="s">
        <v>1857</v>
      </c>
      <c r="H816" s="108">
        <v>0</v>
      </c>
      <c r="I816" s="109" t="s">
        <v>1856</v>
      </c>
      <c r="J816" s="108">
        <v>27.39</v>
      </c>
    </row>
    <row r="817" spans="1:10" ht="13.9" customHeight="1" x14ac:dyDescent="0.2">
      <c r="A817" s="109"/>
      <c r="B817" s="109"/>
      <c r="C817" s="109"/>
      <c r="D817" s="109"/>
      <c r="E817" s="109" t="s">
        <v>1855</v>
      </c>
      <c r="F817" s="108">
        <v>118.78735500000001</v>
      </c>
      <c r="G817" s="109"/>
      <c r="H817" s="140" t="s">
        <v>1854</v>
      </c>
      <c r="I817" s="140"/>
      <c r="J817" s="108">
        <v>566.20000000000005</v>
      </c>
    </row>
    <row r="818" spans="1:10" ht="30" customHeight="1" thickBot="1" x14ac:dyDescent="0.25">
      <c r="A818" s="100"/>
      <c r="B818" s="100"/>
      <c r="C818" s="100"/>
      <c r="D818" s="100"/>
      <c r="E818" s="100"/>
      <c r="F818" s="100"/>
      <c r="G818" s="100" t="s">
        <v>1853</v>
      </c>
      <c r="H818" s="107">
        <v>3.6</v>
      </c>
      <c r="I818" s="100" t="s">
        <v>1852</v>
      </c>
      <c r="J818" s="102">
        <v>2038.32</v>
      </c>
    </row>
    <row r="819" spans="1:10" ht="1.1499999999999999" customHeight="1" thickTop="1" x14ac:dyDescent="0.2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</row>
    <row r="820" spans="1:10" ht="18" customHeight="1" x14ac:dyDescent="0.2">
      <c r="A820" s="117" t="s">
        <v>1299</v>
      </c>
      <c r="B820" s="126" t="s">
        <v>5</v>
      </c>
      <c r="C820" s="117" t="s">
        <v>6</v>
      </c>
      <c r="D820" s="117" t="s">
        <v>7</v>
      </c>
      <c r="E820" s="136" t="s">
        <v>1113</v>
      </c>
      <c r="F820" s="136"/>
      <c r="G820" s="7" t="s">
        <v>8</v>
      </c>
      <c r="H820" s="126" t="s">
        <v>9</v>
      </c>
      <c r="I820" s="126" t="s">
        <v>10</v>
      </c>
      <c r="J820" s="126" t="s">
        <v>12</v>
      </c>
    </row>
    <row r="821" spans="1:10" ht="24" customHeight="1" x14ac:dyDescent="0.2">
      <c r="A821" s="116" t="s">
        <v>1861</v>
      </c>
      <c r="B821" s="1" t="s">
        <v>1298</v>
      </c>
      <c r="C821" s="116" t="s">
        <v>20</v>
      </c>
      <c r="D821" s="116" t="s">
        <v>1297</v>
      </c>
      <c r="E821" s="137">
        <v>5</v>
      </c>
      <c r="F821" s="137"/>
      <c r="G821" s="2" t="s">
        <v>49</v>
      </c>
      <c r="H821" s="115">
        <v>1</v>
      </c>
      <c r="I821" s="61">
        <v>37.01</v>
      </c>
      <c r="J821" s="61">
        <v>37.01</v>
      </c>
    </row>
    <row r="822" spans="1:10" ht="24" customHeight="1" x14ac:dyDescent="0.2">
      <c r="A822" s="113" t="s">
        <v>1859</v>
      </c>
      <c r="B822" s="114" t="s">
        <v>1872</v>
      </c>
      <c r="C822" s="113" t="s">
        <v>20</v>
      </c>
      <c r="D822" s="113" t="s">
        <v>1871</v>
      </c>
      <c r="E822" s="139" t="s">
        <v>1860</v>
      </c>
      <c r="F822" s="139"/>
      <c r="G822" s="112" t="s">
        <v>1864</v>
      </c>
      <c r="H822" s="111">
        <v>2.3218000000000001</v>
      </c>
      <c r="I822" s="110">
        <v>10.62</v>
      </c>
      <c r="J822" s="110">
        <v>24.66</v>
      </c>
    </row>
    <row r="823" spans="1:10" ht="24" customHeight="1" x14ac:dyDescent="0.2">
      <c r="A823" s="113" t="s">
        <v>1859</v>
      </c>
      <c r="B823" s="114" t="s">
        <v>1949</v>
      </c>
      <c r="C823" s="113" t="s">
        <v>20</v>
      </c>
      <c r="D823" s="113" t="s">
        <v>1948</v>
      </c>
      <c r="E823" s="139" t="s">
        <v>1860</v>
      </c>
      <c r="F823" s="139"/>
      <c r="G823" s="112" t="s">
        <v>1864</v>
      </c>
      <c r="H823" s="111">
        <v>0.77349999999999997</v>
      </c>
      <c r="I823" s="110">
        <v>15.97</v>
      </c>
      <c r="J823" s="110">
        <v>12.35</v>
      </c>
    </row>
    <row r="824" spans="1:10" x14ac:dyDescent="0.2">
      <c r="A824" s="109"/>
      <c r="B824" s="109"/>
      <c r="C824" s="109"/>
      <c r="D824" s="109"/>
      <c r="E824" s="109" t="s">
        <v>1858</v>
      </c>
      <c r="F824" s="108">
        <v>37.01</v>
      </c>
      <c r="G824" s="109" t="s">
        <v>1857</v>
      </c>
      <c r="H824" s="108">
        <v>0</v>
      </c>
      <c r="I824" s="109" t="s">
        <v>1856</v>
      </c>
      <c r="J824" s="108">
        <v>37.01</v>
      </c>
    </row>
    <row r="825" spans="1:10" ht="13.9" customHeight="1" x14ac:dyDescent="0.2">
      <c r="A825" s="109"/>
      <c r="B825" s="109"/>
      <c r="C825" s="109"/>
      <c r="D825" s="109"/>
      <c r="E825" s="109" t="s">
        <v>1855</v>
      </c>
      <c r="F825" s="108">
        <v>9.826155</v>
      </c>
      <c r="G825" s="109"/>
      <c r="H825" s="140" t="s">
        <v>1854</v>
      </c>
      <c r="I825" s="140"/>
      <c r="J825" s="108">
        <v>46.84</v>
      </c>
    </row>
    <row r="826" spans="1:10" ht="30" customHeight="1" thickBot="1" x14ac:dyDescent="0.25">
      <c r="A826" s="100"/>
      <c r="B826" s="100"/>
      <c r="C826" s="100"/>
      <c r="D826" s="100"/>
      <c r="E826" s="100"/>
      <c r="F826" s="100"/>
      <c r="G826" s="100" t="s">
        <v>1853</v>
      </c>
      <c r="H826" s="107">
        <v>3.6</v>
      </c>
      <c r="I826" s="100" t="s">
        <v>1852</v>
      </c>
      <c r="J826" s="102">
        <v>168.62</v>
      </c>
    </row>
    <row r="827" spans="1:10" ht="1.1499999999999999" customHeight="1" thickTop="1" x14ac:dyDescent="0.2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</row>
    <row r="828" spans="1:10" ht="24" customHeight="1" x14ac:dyDescent="0.2">
      <c r="A828" s="123" t="s">
        <v>191</v>
      </c>
      <c r="B828" s="123"/>
      <c r="C828" s="123"/>
      <c r="D828" s="123" t="s">
        <v>192</v>
      </c>
      <c r="E828" s="123"/>
      <c r="F828" s="142"/>
      <c r="G828" s="142"/>
      <c r="H828" s="3"/>
      <c r="I828" s="123"/>
      <c r="J828" s="63">
        <v>112087</v>
      </c>
    </row>
    <row r="829" spans="1:10" ht="24" customHeight="1" x14ac:dyDescent="0.2">
      <c r="A829" s="123" t="s">
        <v>193</v>
      </c>
      <c r="B829" s="123"/>
      <c r="C829" s="123"/>
      <c r="D829" s="123" t="s">
        <v>194</v>
      </c>
      <c r="E829" s="123"/>
      <c r="F829" s="142"/>
      <c r="G829" s="142"/>
      <c r="H829" s="3"/>
      <c r="I829" s="123"/>
      <c r="J829" s="63">
        <v>49148.21</v>
      </c>
    </row>
    <row r="830" spans="1:10" ht="18" customHeight="1" x14ac:dyDescent="0.2">
      <c r="A830" s="117" t="s">
        <v>195</v>
      </c>
      <c r="B830" s="126" t="s">
        <v>5</v>
      </c>
      <c r="C830" s="117" t="s">
        <v>6</v>
      </c>
      <c r="D830" s="117" t="s">
        <v>7</v>
      </c>
      <c r="E830" s="136" t="s">
        <v>1113</v>
      </c>
      <c r="F830" s="136"/>
      <c r="G830" s="7" t="s">
        <v>8</v>
      </c>
      <c r="H830" s="126" t="s">
        <v>9</v>
      </c>
      <c r="I830" s="126" t="s">
        <v>10</v>
      </c>
      <c r="J830" s="126" t="s">
        <v>12</v>
      </c>
    </row>
    <row r="831" spans="1:10" ht="24" customHeight="1" x14ac:dyDescent="0.2">
      <c r="A831" s="116" t="s">
        <v>1861</v>
      </c>
      <c r="B831" s="1" t="s">
        <v>196</v>
      </c>
      <c r="C831" s="116" t="s">
        <v>20</v>
      </c>
      <c r="D831" s="116" t="s">
        <v>197</v>
      </c>
      <c r="E831" s="137">
        <v>7</v>
      </c>
      <c r="F831" s="137"/>
      <c r="G831" s="2" t="s">
        <v>92</v>
      </c>
      <c r="H831" s="115">
        <v>1</v>
      </c>
      <c r="I831" s="61">
        <v>5.9</v>
      </c>
      <c r="J831" s="61">
        <v>5.9</v>
      </c>
    </row>
    <row r="832" spans="1:10" ht="24" customHeight="1" x14ac:dyDescent="0.2">
      <c r="A832" s="113" t="s">
        <v>1859</v>
      </c>
      <c r="B832" s="114" t="s">
        <v>2578</v>
      </c>
      <c r="C832" s="113" t="s">
        <v>20</v>
      </c>
      <c r="D832" s="113" t="s">
        <v>2577</v>
      </c>
      <c r="E832" s="139" t="s">
        <v>1369</v>
      </c>
      <c r="F832" s="139"/>
      <c r="G832" s="112" t="s">
        <v>213</v>
      </c>
      <c r="H832" s="111">
        <v>1</v>
      </c>
      <c r="I832" s="110">
        <v>1.38</v>
      </c>
      <c r="J832" s="110">
        <v>1.38</v>
      </c>
    </row>
    <row r="833" spans="1:10" ht="24" customHeight="1" x14ac:dyDescent="0.2">
      <c r="A833" s="113" t="s">
        <v>1859</v>
      </c>
      <c r="B833" s="114" t="s">
        <v>1951</v>
      </c>
      <c r="C833" s="113" t="s">
        <v>20</v>
      </c>
      <c r="D833" s="113" t="s">
        <v>1950</v>
      </c>
      <c r="E833" s="139" t="s">
        <v>1860</v>
      </c>
      <c r="F833" s="139"/>
      <c r="G833" s="112" t="s">
        <v>1864</v>
      </c>
      <c r="H833" s="111">
        <v>0.17</v>
      </c>
      <c r="I833" s="110">
        <v>10.62</v>
      </c>
      <c r="J833" s="110">
        <v>1.81</v>
      </c>
    </row>
    <row r="834" spans="1:10" ht="24" customHeight="1" x14ac:dyDescent="0.2">
      <c r="A834" s="113" t="s">
        <v>1859</v>
      </c>
      <c r="B834" s="114" t="s">
        <v>2442</v>
      </c>
      <c r="C834" s="113" t="s">
        <v>20</v>
      </c>
      <c r="D834" s="113" t="s">
        <v>2441</v>
      </c>
      <c r="E834" s="139" t="s">
        <v>1860</v>
      </c>
      <c r="F834" s="139"/>
      <c r="G834" s="112" t="s">
        <v>1864</v>
      </c>
      <c r="H834" s="111">
        <v>0.17</v>
      </c>
      <c r="I834" s="110">
        <v>15.97</v>
      </c>
      <c r="J834" s="110">
        <v>2.71</v>
      </c>
    </row>
    <row r="835" spans="1:10" x14ac:dyDescent="0.2">
      <c r="A835" s="109"/>
      <c r="B835" s="109"/>
      <c r="C835" s="109"/>
      <c r="D835" s="109"/>
      <c r="E835" s="109" t="s">
        <v>1858</v>
      </c>
      <c r="F835" s="108">
        <v>4.5199999999999996</v>
      </c>
      <c r="G835" s="109" t="s">
        <v>1857</v>
      </c>
      <c r="H835" s="108">
        <v>0</v>
      </c>
      <c r="I835" s="109" t="s">
        <v>1856</v>
      </c>
      <c r="J835" s="108">
        <v>4.5199999999999996</v>
      </c>
    </row>
    <row r="836" spans="1:10" ht="13.9" customHeight="1" x14ac:dyDescent="0.2">
      <c r="A836" s="109"/>
      <c r="B836" s="109"/>
      <c r="C836" s="109"/>
      <c r="D836" s="109"/>
      <c r="E836" s="109" t="s">
        <v>1855</v>
      </c>
      <c r="F836" s="108">
        <v>1.5664499999999999</v>
      </c>
      <c r="G836" s="109"/>
      <c r="H836" s="140" t="s">
        <v>1854</v>
      </c>
      <c r="I836" s="140"/>
      <c r="J836" s="108">
        <v>7.47</v>
      </c>
    </row>
    <row r="837" spans="1:10" ht="30" customHeight="1" thickBot="1" x14ac:dyDescent="0.25">
      <c r="A837" s="100"/>
      <c r="B837" s="100"/>
      <c r="C837" s="100"/>
      <c r="D837" s="100"/>
      <c r="E837" s="100"/>
      <c r="F837" s="100"/>
      <c r="G837" s="100" t="s">
        <v>1853</v>
      </c>
      <c r="H837" s="107">
        <v>990</v>
      </c>
      <c r="I837" s="100" t="s">
        <v>1852</v>
      </c>
      <c r="J837" s="102">
        <v>7395.3</v>
      </c>
    </row>
    <row r="838" spans="1:10" ht="1.1499999999999999" customHeight="1" thickTop="1" x14ac:dyDescent="0.2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</row>
    <row r="839" spans="1:10" ht="18" customHeight="1" x14ac:dyDescent="0.2">
      <c r="A839" s="117" t="s">
        <v>198</v>
      </c>
      <c r="B839" s="126" t="s">
        <v>5</v>
      </c>
      <c r="C839" s="117" t="s">
        <v>6</v>
      </c>
      <c r="D839" s="117" t="s">
        <v>7</v>
      </c>
      <c r="E839" s="136" t="s">
        <v>1113</v>
      </c>
      <c r="F839" s="136"/>
      <c r="G839" s="7" t="s">
        <v>8</v>
      </c>
      <c r="H839" s="126" t="s">
        <v>9</v>
      </c>
      <c r="I839" s="126" t="s">
        <v>10</v>
      </c>
      <c r="J839" s="126" t="s">
        <v>12</v>
      </c>
    </row>
    <row r="840" spans="1:10" ht="24" customHeight="1" x14ac:dyDescent="0.2">
      <c r="A840" s="116" t="s">
        <v>1861</v>
      </c>
      <c r="B840" s="1" t="s">
        <v>199</v>
      </c>
      <c r="C840" s="116" t="s">
        <v>20</v>
      </c>
      <c r="D840" s="116" t="s">
        <v>200</v>
      </c>
      <c r="E840" s="137">
        <v>7</v>
      </c>
      <c r="F840" s="137"/>
      <c r="G840" s="2" t="s">
        <v>92</v>
      </c>
      <c r="H840" s="115">
        <v>1</v>
      </c>
      <c r="I840" s="61">
        <v>7.66</v>
      </c>
      <c r="J840" s="61">
        <v>7.66</v>
      </c>
    </row>
    <row r="841" spans="1:10" ht="24" customHeight="1" x14ac:dyDescent="0.2">
      <c r="A841" s="113" t="s">
        <v>1859</v>
      </c>
      <c r="B841" s="114" t="s">
        <v>2499</v>
      </c>
      <c r="C841" s="113" t="s">
        <v>20</v>
      </c>
      <c r="D841" s="113" t="s">
        <v>2498</v>
      </c>
      <c r="E841" s="139" t="s">
        <v>1369</v>
      </c>
      <c r="F841" s="139"/>
      <c r="G841" s="112" t="s">
        <v>213</v>
      </c>
      <c r="H841" s="111">
        <v>1</v>
      </c>
      <c r="I841" s="110">
        <v>2.35</v>
      </c>
      <c r="J841" s="110">
        <v>2.35</v>
      </c>
    </row>
    <row r="842" spans="1:10" ht="24" customHeight="1" x14ac:dyDescent="0.2">
      <c r="A842" s="113" t="s">
        <v>1859</v>
      </c>
      <c r="B842" s="114" t="s">
        <v>1951</v>
      </c>
      <c r="C842" s="113" t="s">
        <v>20</v>
      </c>
      <c r="D842" s="113" t="s">
        <v>1950</v>
      </c>
      <c r="E842" s="139" t="s">
        <v>1860</v>
      </c>
      <c r="F842" s="139"/>
      <c r="G842" s="112" t="s">
        <v>1864</v>
      </c>
      <c r="H842" s="111">
        <v>0.2</v>
      </c>
      <c r="I842" s="110">
        <v>10.62</v>
      </c>
      <c r="J842" s="110">
        <v>2.12</v>
      </c>
    </row>
    <row r="843" spans="1:10" ht="24" customHeight="1" x14ac:dyDescent="0.2">
      <c r="A843" s="113" t="s">
        <v>1859</v>
      </c>
      <c r="B843" s="114" t="s">
        <v>2442</v>
      </c>
      <c r="C843" s="113" t="s">
        <v>20</v>
      </c>
      <c r="D843" s="113" t="s">
        <v>2441</v>
      </c>
      <c r="E843" s="139" t="s">
        <v>1860</v>
      </c>
      <c r="F843" s="139"/>
      <c r="G843" s="112" t="s">
        <v>1864</v>
      </c>
      <c r="H843" s="111">
        <v>0.2</v>
      </c>
      <c r="I843" s="110">
        <v>15.97</v>
      </c>
      <c r="J843" s="110">
        <v>3.19</v>
      </c>
    </row>
    <row r="844" spans="1:10" x14ac:dyDescent="0.2">
      <c r="A844" s="109"/>
      <c r="B844" s="109"/>
      <c r="C844" s="109"/>
      <c r="D844" s="109"/>
      <c r="E844" s="109" t="s">
        <v>1858</v>
      </c>
      <c r="F844" s="108">
        <v>5.31</v>
      </c>
      <c r="G844" s="109" t="s">
        <v>1857</v>
      </c>
      <c r="H844" s="108">
        <v>0</v>
      </c>
      <c r="I844" s="109" t="s">
        <v>1856</v>
      </c>
      <c r="J844" s="108">
        <v>5.31</v>
      </c>
    </row>
    <row r="845" spans="1:10" ht="13.9" customHeight="1" x14ac:dyDescent="0.2">
      <c r="A845" s="109"/>
      <c r="B845" s="109"/>
      <c r="C845" s="109"/>
      <c r="D845" s="109"/>
      <c r="E845" s="109" t="s">
        <v>1855</v>
      </c>
      <c r="F845" s="108">
        <v>2.0337299999999998</v>
      </c>
      <c r="G845" s="109"/>
      <c r="H845" s="140" t="s">
        <v>1854</v>
      </c>
      <c r="I845" s="140"/>
      <c r="J845" s="108">
        <v>9.69</v>
      </c>
    </row>
    <row r="846" spans="1:10" ht="30" customHeight="1" thickBot="1" x14ac:dyDescent="0.25">
      <c r="A846" s="100"/>
      <c r="B846" s="100"/>
      <c r="C846" s="100"/>
      <c r="D846" s="100"/>
      <c r="E846" s="100"/>
      <c r="F846" s="100"/>
      <c r="G846" s="100" t="s">
        <v>1853</v>
      </c>
      <c r="H846" s="107">
        <v>165</v>
      </c>
      <c r="I846" s="100" t="s">
        <v>1852</v>
      </c>
      <c r="J846" s="102">
        <v>1598.85</v>
      </c>
    </row>
    <row r="847" spans="1:10" ht="1.1499999999999999" customHeight="1" thickTop="1" x14ac:dyDescent="0.2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</row>
    <row r="848" spans="1:10" ht="18" customHeight="1" x14ac:dyDescent="0.2">
      <c r="A848" s="117" t="s">
        <v>201</v>
      </c>
      <c r="B848" s="126" t="s">
        <v>5</v>
      </c>
      <c r="C848" s="117" t="s">
        <v>6</v>
      </c>
      <c r="D848" s="117" t="s">
        <v>7</v>
      </c>
      <c r="E848" s="136" t="s">
        <v>1113</v>
      </c>
      <c r="F848" s="136"/>
      <c r="G848" s="7" t="s">
        <v>8</v>
      </c>
      <c r="H848" s="126" t="s">
        <v>9</v>
      </c>
      <c r="I848" s="126" t="s">
        <v>10</v>
      </c>
      <c r="J848" s="126" t="s">
        <v>12</v>
      </c>
    </row>
    <row r="849" spans="1:10" ht="24" customHeight="1" x14ac:dyDescent="0.2">
      <c r="A849" s="116" t="s">
        <v>1861</v>
      </c>
      <c r="B849" s="1" t="s">
        <v>202</v>
      </c>
      <c r="C849" s="116" t="s">
        <v>20</v>
      </c>
      <c r="D849" s="116" t="s">
        <v>203</v>
      </c>
      <c r="E849" s="137">
        <v>7</v>
      </c>
      <c r="F849" s="137"/>
      <c r="G849" s="2" t="s">
        <v>92</v>
      </c>
      <c r="H849" s="115">
        <v>1</v>
      </c>
      <c r="I849" s="61">
        <v>7.63</v>
      </c>
      <c r="J849" s="61">
        <v>7.63</v>
      </c>
    </row>
    <row r="850" spans="1:10" ht="24" customHeight="1" x14ac:dyDescent="0.2">
      <c r="A850" s="113" t="s">
        <v>1859</v>
      </c>
      <c r="B850" s="114" t="s">
        <v>2576</v>
      </c>
      <c r="C850" s="113" t="s">
        <v>20</v>
      </c>
      <c r="D850" s="113" t="s">
        <v>2575</v>
      </c>
      <c r="E850" s="139" t="s">
        <v>1369</v>
      </c>
      <c r="F850" s="139"/>
      <c r="G850" s="112" t="s">
        <v>213</v>
      </c>
      <c r="H850" s="111">
        <v>1</v>
      </c>
      <c r="I850" s="110">
        <v>2.3199999999999998</v>
      </c>
      <c r="J850" s="110">
        <v>2.3199999999999998</v>
      </c>
    </row>
    <row r="851" spans="1:10" ht="24" customHeight="1" x14ac:dyDescent="0.2">
      <c r="A851" s="113" t="s">
        <v>1859</v>
      </c>
      <c r="B851" s="114" t="s">
        <v>1951</v>
      </c>
      <c r="C851" s="113" t="s">
        <v>20</v>
      </c>
      <c r="D851" s="113" t="s">
        <v>1950</v>
      </c>
      <c r="E851" s="139" t="s">
        <v>1860</v>
      </c>
      <c r="F851" s="139"/>
      <c r="G851" s="112" t="s">
        <v>1864</v>
      </c>
      <c r="H851" s="111">
        <v>0.2</v>
      </c>
      <c r="I851" s="110">
        <v>10.62</v>
      </c>
      <c r="J851" s="110">
        <v>2.12</v>
      </c>
    </row>
    <row r="852" spans="1:10" ht="24" customHeight="1" x14ac:dyDescent="0.2">
      <c r="A852" s="113" t="s">
        <v>1859</v>
      </c>
      <c r="B852" s="114" t="s">
        <v>2442</v>
      </c>
      <c r="C852" s="113" t="s">
        <v>20</v>
      </c>
      <c r="D852" s="113" t="s">
        <v>2441</v>
      </c>
      <c r="E852" s="139" t="s">
        <v>1860</v>
      </c>
      <c r="F852" s="139"/>
      <c r="G852" s="112" t="s">
        <v>1864</v>
      </c>
      <c r="H852" s="111">
        <v>0.2</v>
      </c>
      <c r="I852" s="110">
        <v>15.97</v>
      </c>
      <c r="J852" s="110">
        <v>3.19</v>
      </c>
    </row>
    <row r="853" spans="1:10" x14ac:dyDescent="0.2">
      <c r="A853" s="109"/>
      <c r="B853" s="109"/>
      <c r="C853" s="109"/>
      <c r="D853" s="109"/>
      <c r="E853" s="109" t="s">
        <v>1858</v>
      </c>
      <c r="F853" s="108">
        <v>5.31</v>
      </c>
      <c r="G853" s="109" t="s">
        <v>1857</v>
      </c>
      <c r="H853" s="108">
        <v>0</v>
      </c>
      <c r="I853" s="109" t="s">
        <v>1856</v>
      </c>
      <c r="J853" s="108">
        <v>5.31</v>
      </c>
    </row>
    <row r="854" spans="1:10" ht="13.9" customHeight="1" x14ac:dyDescent="0.2">
      <c r="A854" s="109"/>
      <c r="B854" s="109"/>
      <c r="C854" s="109"/>
      <c r="D854" s="109"/>
      <c r="E854" s="109" t="s">
        <v>1855</v>
      </c>
      <c r="F854" s="108">
        <v>2.0257649999999998</v>
      </c>
      <c r="G854" s="109"/>
      <c r="H854" s="140" t="s">
        <v>1854</v>
      </c>
      <c r="I854" s="140"/>
      <c r="J854" s="108">
        <v>9.66</v>
      </c>
    </row>
    <row r="855" spans="1:10" ht="30" customHeight="1" thickBot="1" x14ac:dyDescent="0.25">
      <c r="A855" s="100"/>
      <c r="B855" s="100"/>
      <c r="C855" s="100"/>
      <c r="D855" s="100"/>
      <c r="E855" s="100"/>
      <c r="F855" s="100"/>
      <c r="G855" s="100" t="s">
        <v>1853</v>
      </c>
      <c r="H855" s="107">
        <v>6</v>
      </c>
      <c r="I855" s="100" t="s">
        <v>1852</v>
      </c>
      <c r="J855" s="102">
        <v>57.96</v>
      </c>
    </row>
    <row r="856" spans="1:10" ht="1.1499999999999999" customHeight="1" thickTop="1" x14ac:dyDescent="0.2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</row>
    <row r="857" spans="1:10" ht="18" customHeight="1" x14ac:dyDescent="0.2">
      <c r="A857" s="117" t="s">
        <v>204</v>
      </c>
      <c r="B857" s="126" t="s">
        <v>5</v>
      </c>
      <c r="C857" s="117" t="s">
        <v>6</v>
      </c>
      <c r="D857" s="117" t="s">
        <v>7</v>
      </c>
      <c r="E857" s="136" t="s">
        <v>1113</v>
      </c>
      <c r="F857" s="136"/>
      <c r="G857" s="7" t="s">
        <v>8</v>
      </c>
      <c r="H857" s="126" t="s">
        <v>9</v>
      </c>
      <c r="I857" s="126" t="s">
        <v>10</v>
      </c>
      <c r="J857" s="126" t="s">
        <v>12</v>
      </c>
    </row>
    <row r="858" spans="1:10" ht="24" customHeight="1" x14ac:dyDescent="0.2">
      <c r="A858" s="116" t="s">
        <v>1861</v>
      </c>
      <c r="B858" s="1" t="s">
        <v>205</v>
      </c>
      <c r="C858" s="116" t="s">
        <v>20</v>
      </c>
      <c r="D858" s="116" t="s">
        <v>206</v>
      </c>
      <c r="E858" s="137">
        <v>7</v>
      </c>
      <c r="F858" s="137"/>
      <c r="G858" s="2" t="s">
        <v>92</v>
      </c>
      <c r="H858" s="115">
        <v>1</v>
      </c>
      <c r="I858" s="61">
        <v>17.07</v>
      </c>
      <c r="J858" s="61">
        <v>17.07</v>
      </c>
    </row>
    <row r="859" spans="1:10" ht="24" customHeight="1" x14ac:dyDescent="0.2">
      <c r="A859" s="113" t="s">
        <v>1859</v>
      </c>
      <c r="B859" s="114" t="s">
        <v>2574</v>
      </c>
      <c r="C859" s="113" t="s">
        <v>20</v>
      </c>
      <c r="D859" s="113" t="s">
        <v>2573</v>
      </c>
      <c r="E859" s="139" t="s">
        <v>1369</v>
      </c>
      <c r="F859" s="139"/>
      <c r="G859" s="112" t="s">
        <v>213</v>
      </c>
      <c r="H859" s="111">
        <v>1</v>
      </c>
      <c r="I859" s="110">
        <v>3.77</v>
      </c>
      <c r="J859" s="110">
        <v>3.77</v>
      </c>
    </row>
    <row r="860" spans="1:10" ht="24" customHeight="1" x14ac:dyDescent="0.2">
      <c r="A860" s="113" t="s">
        <v>1859</v>
      </c>
      <c r="B860" s="114" t="s">
        <v>1951</v>
      </c>
      <c r="C860" s="113" t="s">
        <v>20</v>
      </c>
      <c r="D860" s="113" t="s">
        <v>1950</v>
      </c>
      <c r="E860" s="139" t="s">
        <v>1860</v>
      </c>
      <c r="F860" s="139"/>
      <c r="G860" s="112" t="s">
        <v>1864</v>
      </c>
      <c r="H860" s="111">
        <v>0.5</v>
      </c>
      <c r="I860" s="110">
        <v>10.62</v>
      </c>
      <c r="J860" s="110">
        <v>5.31</v>
      </c>
    </row>
    <row r="861" spans="1:10" ht="24" customHeight="1" x14ac:dyDescent="0.2">
      <c r="A861" s="113" t="s">
        <v>1859</v>
      </c>
      <c r="B861" s="114" t="s">
        <v>2442</v>
      </c>
      <c r="C861" s="113" t="s">
        <v>20</v>
      </c>
      <c r="D861" s="113" t="s">
        <v>2441</v>
      </c>
      <c r="E861" s="139" t="s">
        <v>1860</v>
      </c>
      <c r="F861" s="139"/>
      <c r="G861" s="112" t="s">
        <v>1864</v>
      </c>
      <c r="H861" s="111">
        <v>0.5</v>
      </c>
      <c r="I861" s="110">
        <v>15.97</v>
      </c>
      <c r="J861" s="110">
        <v>7.99</v>
      </c>
    </row>
    <row r="862" spans="1:10" x14ac:dyDescent="0.2">
      <c r="A862" s="109"/>
      <c r="B862" s="109"/>
      <c r="C862" s="109"/>
      <c r="D862" s="109"/>
      <c r="E862" s="109" t="s">
        <v>1858</v>
      </c>
      <c r="F862" s="108">
        <v>13.3</v>
      </c>
      <c r="G862" s="109" t="s">
        <v>1857</v>
      </c>
      <c r="H862" s="108">
        <v>0</v>
      </c>
      <c r="I862" s="109" t="s">
        <v>1856</v>
      </c>
      <c r="J862" s="108">
        <v>13.3</v>
      </c>
    </row>
    <row r="863" spans="1:10" ht="13.9" customHeight="1" x14ac:dyDescent="0.2">
      <c r="A863" s="109"/>
      <c r="B863" s="109"/>
      <c r="C863" s="109"/>
      <c r="D863" s="109"/>
      <c r="E863" s="109" t="s">
        <v>1855</v>
      </c>
      <c r="F863" s="108">
        <v>4.5320850000000004</v>
      </c>
      <c r="G863" s="109"/>
      <c r="H863" s="140" t="s">
        <v>1854</v>
      </c>
      <c r="I863" s="140"/>
      <c r="J863" s="108">
        <v>21.6</v>
      </c>
    </row>
    <row r="864" spans="1:10" ht="30" customHeight="1" thickBot="1" x14ac:dyDescent="0.25">
      <c r="A864" s="100"/>
      <c r="B864" s="100"/>
      <c r="C864" s="100"/>
      <c r="D864" s="100"/>
      <c r="E864" s="100"/>
      <c r="F864" s="100"/>
      <c r="G864" s="100" t="s">
        <v>1853</v>
      </c>
      <c r="H864" s="107">
        <v>38</v>
      </c>
      <c r="I864" s="100" t="s">
        <v>1852</v>
      </c>
      <c r="J864" s="102">
        <v>820.8</v>
      </c>
    </row>
    <row r="865" spans="1:10" ht="1.1499999999999999" customHeight="1" thickTop="1" x14ac:dyDescent="0.2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</row>
    <row r="866" spans="1:10" ht="18" customHeight="1" x14ac:dyDescent="0.2">
      <c r="A866" s="117" t="s">
        <v>207</v>
      </c>
      <c r="B866" s="126" t="s">
        <v>5</v>
      </c>
      <c r="C866" s="117" t="s">
        <v>6</v>
      </c>
      <c r="D866" s="117" t="s">
        <v>7</v>
      </c>
      <c r="E866" s="136" t="s">
        <v>1113</v>
      </c>
      <c r="F866" s="136"/>
      <c r="G866" s="7" t="s">
        <v>8</v>
      </c>
      <c r="H866" s="126" t="s">
        <v>9</v>
      </c>
      <c r="I866" s="126" t="s">
        <v>10</v>
      </c>
      <c r="J866" s="126" t="s">
        <v>12</v>
      </c>
    </row>
    <row r="867" spans="1:10" ht="24" customHeight="1" x14ac:dyDescent="0.2">
      <c r="A867" s="116" t="s">
        <v>1861</v>
      </c>
      <c r="B867" s="1" t="s">
        <v>208</v>
      </c>
      <c r="C867" s="116" t="s">
        <v>20</v>
      </c>
      <c r="D867" s="116" t="s">
        <v>209</v>
      </c>
      <c r="E867" s="137">
        <v>7</v>
      </c>
      <c r="F867" s="137"/>
      <c r="G867" s="2" t="s">
        <v>92</v>
      </c>
      <c r="H867" s="115">
        <v>1</v>
      </c>
      <c r="I867" s="61">
        <v>11.46</v>
      </c>
      <c r="J867" s="61">
        <v>11.46</v>
      </c>
    </row>
    <row r="868" spans="1:10" ht="24" customHeight="1" x14ac:dyDescent="0.2">
      <c r="A868" s="113" t="s">
        <v>1859</v>
      </c>
      <c r="B868" s="114" t="s">
        <v>2572</v>
      </c>
      <c r="C868" s="113" t="s">
        <v>20</v>
      </c>
      <c r="D868" s="113" t="s">
        <v>209</v>
      </c>
      <c r="E868" s="139" t="s">
        <v>1369</v>
      </c>
      <c r="F868" s="139"/>
      <c r="G868" s="112" t="s">
        <v>213</v>
      </c>
      <c r="H868" s="111">
        <v>1.02</v>
      </c>
      <c r="I868" s="110">
        <v>7.7</v>
      </c>
      <c r="J868" s="110">
        <v>7.85</v>
      </c>
    </row>
    <row r="869" spans="1:10" ht="24" customHeight="1" x14ac:dyDescent="0.2">
      <c r="A869" s="113" t="s">
        <v>1859</v>
      </c>
      <c r="B869" s="114" t="s">
        <v>1951</v>
      </c>
      <c r="C869" s="113" t="s">
        <v>20</v>
      </c>
      <c r="D869" s="113" t="s">
        <v>1950</v>
      </c>
      <c r="E869" s="139" t="s">
        <v>1860</v>
      </c>
      <c r="F869" s="139"/>
      <c r="G869" s="112" t="s">
        <v>1864</v>
      </c>
      <c r="H869" s="111">
        <v>0.13600000000000001</v>
      </c>
      <c r="I869" s="110">
        <v>10.62</v>
      </c>
      <c r="J869" s="110">
        <v>1.44</v>
      </c>
    </row>
    <row r="870" spans="1:10" ht="24" customHeight="1" x14ac:dyDescent="0.2">
      <c r="A870" s="113" t="s">
        <v>1859</v>
      </c>
      <c r="B870" s="114" t="s">
        <v>2442</v>
      </c>
      <c r="C870" s="113" t="s">
        <v>20</v>
      </c>
      <c r="D870" s="113" t="s">
        <v>2441</v>
      </c>
      <c r="E870" s="139" t="s">
        <v>1860</v>
      </c>
      <c r="F870" s="139"/>
      <c r="G870" s="112" t="s">
        <v>1864</v>
      </c>
      <c r="H870" s="111">
        <v>0.13600000000000001</v>
      </c>
      <c r="I870" s="110">
        <v>15.97</v>
      </c>
      <c r="J870" s="110">
        <v>2.17</v>
      </c>
    </row>
    <row r="871" spans="1:10" x14ac:dyDescent="0.2">
      <c r="A871" s="109"/>
      <c r="B871" s="109"/>
      <c r="C871" s="109"/>
      <c r="D871" s="109"/>
      <c r="E871" s="109" t="s">
        <v>1858</v>
      </c>
      <c r="F871" s="108">
        <v>3.61</v>
      </c>
      <c r="G871" s="109" t="s">
        <v>1857</v>
      </c>
      <c r="H871" s="108">
        <v>0</v>
      </c>
      <c r="I871" s="109" t="s">
        <v>1856</v>
      </c>
      <c r="J871" s="108">
        <v>3.61</v>
      </c>
    </row>
    <row r="872" spans="1:10" ht="13.9" customHeight="1" x14ac:dyDescent="0.2">
      <c r="A872" s="109"/>
      <c r="B872" s="109"/>
      <c r="C872" s="109"/>
      <c r="D872" s="109"/>
      <c r="E872" s="109" t="s">
        <v>1855</v>
      </c>
      <c r="F872" s="108">
        <v>3.0426299999999999</v>
      </c>
      <c r="G872" s="109"/>
      <c r="H872" s="140" t="s">
        <v>1854</v>
      </c>
      <c r="I872" s="140"/>
      <c r="J872" s="108">
        <v>14.5</v>
      </c>
    </row>
    <row r="873" spans="1:10" ht="30" customHeight="1" thickBot="1" x14ac:dyDescent="0.25">
      <c r="A873" s="100"/>
      <c r="B873" s="100"/>
      <c r="C873" s="100"/>
      <c r="D873" s="100"/>
      <c r="E873" s="100"/>
      <c r="F873" s="100"/>
      <c r="G873" s="100" t="s">
        <v>1853</v>
      </c>
      <c r="H873" s="107">
        <v>33</v>
      </c>
      <c r="I873" s="100" t="s">
        <v>1852</v>
      </c>
      <c r="J873" s="102">
        <v>478.5</v>
      </c>
    </row>
    <row r="874" spans="1:10" ht="1.1499999999999999" customHeight="1" thickTop="1" x14ac:dyDescent="0.2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</row>
    <row r="875" spans="1:10" ht="18" customHeight="1" x14ac:dyDescent="0.2">
      <c r="A875" s="117" t="s">
        <v>210</v>
      </c>
      <c r="B875" s="126" t="s">
        <v>5</v>
      </c>
      <c r="C875" s="117" t="s">
        <v>6</v>
      </c>
      <c r="D875" s="117" t="s">
        <v>7</v>
      </c>
      <c r="E875" s="136" t="s">
        <v>1113</v>
      </c>
      <c r="F875" s="136"/>
      <c r="G875" s="7" t="s">
        <v>8</v>
      </c>
      <c r="H875" s="126" t="s">
        <v>9</v>
      </c>
      <c r="I875" s="126" t="s">
        <v>10</v>
      </c>
      <c r="J875" s="126" t="s">
        <v>12</v>
      </c>
    </row>
    <row r="876" spans="1:10" ht="24" customHeight="1" x14ac:dyDescent="0.2">
      <c r="A876" s="116" t="s">
        <v>1861</v>
      </c>
      <c r="B876" s="1" t="s">
        <v>211</v>
      </c>
      <c r="C876" s="116" t="s">
        <v>20</v>
      </c>
      <c r="D876" s="116" t="s">
        <v>212</v>
      </c>
      <c r="E876" s="137">
        <v>7</v>
      </c>
      <c r="F876" s="137"/>
      <c r="G876" s="2" t="s">
        <v>213</v>
      </c>
      <c r="H876" s="115">
        <v>1</v>
      </c>
      <c r="I876" s="61">
        <v>3.49</v>
      </c>
      <c r="J876" s="61">
        <v>3.49</v>
      </c>
    </row>
    <row r="877" spans="1:10" ht="24" customHeight="1" x14ac:dyDescent="0.2">
      <c r="A877" s="113" t="s">
        <v>1859</v>
      </c>
      <c r="B877" s="114" t="s">
        <v>2571</v>
      </c>
      <c r="C877" s="113" t="s">
        <v>20</v>
      </c>
      <c r="D877" s="113" t="s">
        <v>2570</v>
      </c>
      <c r="E877" s="139" t="s">
        <v>1369</v>
      </c>
      <c r="F877" s="139"/>
      <c r="G877" s="112" t="s">
        <v>213</v>
      </c>
      <c r="H877" s="111">
        <v>1.02</v>
      </c>
      <c r="I877" s="110">
        <v>1.99</v>
      </c>
      <c r="J877" s="110">
        <v>2.0299999999999998</v>
      </c>
    </row>
    <row r="878" spans="1:10" ht="24" customHeight="1" x14ac:dyDescent="0.2">
      <c r="A878" s="113" t="s">
        <v>1859</v>
      </c>
      <c r="B878" s="114" t="s">
        <v>1951</v>
      </c>
      <c r="C878" s="113" t="s">
        <v>20</v>
      </c>
      <c r="D878" s="113" t="s">
        <v>1950</v>
      </c>
      <c r="E878" s="139" t="s">
        <v>1860</v>
      </c>
      <c r="F878" s="139"/>
      <c r="G878" s="112" t="s">
        <v>1864</v>
      </c>
      <c r="H878" s="111">
        <v>5.5E-2</v>
      </c>
      <c r="I878" s="110">
        <v>10.62</v>
      </c>
      <c r="J878" s="110">
        <v>0.57999999999999996</v>
      </c>
    </row>
    <row r="879" spans="1:10" ht="24" customHeight="1" x14ac:dyDescent="0.2">
      <c r="A879" s="113" t="s">
        <v>1859</v>
      </c>
      <c r="B879" s="114" t="s">
        <v>2442</v>
      </c>
      <c r="C879" s="113" t="s">
        <v>20</v>
      </c>
      <c r="D879" s="113" t="s">
        <v>2441</v>
      </c>
      <c r="E879" s="139" t="s">
        <v>1860</v>
      </c>
      <c r="F879" s="139"/>
      <c r="G879" s="112" t="s">
        <v>1864</v>
      </c>
      <c r="H879" s="111">
        <v>5.5E-2</v>
      </c>
      <c r="I879" s="110">
        <v>15.97</v>
      </c>
      <c r="J879" s="110">
        <v>0.88</v>
      </c>
    </row>
    <row r="880" spans="1:10" x14ac:dyDescent="0.2">
      <c r="A880" s="109"/>
      <c r="B880" s="109"/>
      <c r="C880" s="109"/>
      <c r="D880" s="109"/>
      <c r="E880" s="109" t="s">
        <v>1858</v>
      </c>
      <c r="F880" s="108">
        <v>1.46</v>
      </c>
      <c r="G880" s="109" t="s">
        <v>1857</v>
      </c>
      <c r="H880" s="108">
        <v>0</v>
      </c>
      <c r="I880" s="109" t="s">
        <v>1856</v>
      </c>
      <c r="J880" s="108">
        <v>1.46</v>
      </c>
    </row>
    <row r="881" spans="1:10" ht="13.9" customHeight="1" x14ac:dyDescent="0.2">
      <c r="A881" s="109"/>
      <c r="B881" s="109"/>
      <c r="C881" s="109"/>
      <c r="D881" s="109"/>
      <c r="E881" s="109" t="s">
        <v>1855</v>
      </c>
      <c r="F881" s="108">
        <v>0.92659499999999995</v>
      </c>
      <c r="G881" s="109"/>
      <c r="H881" s="140" t="s">
        <v>1854</v>
      </c>
      <c r="I881" s="140"/>
      <c r="J881" s="108">
        <v>4.42</v>
      </c>
    </row>
    <row r="882" spans="1:10" ht="30" customHeight="1" thickBot="1" x14ac:dyDescent="0.25">
      <c r="A882" s="100"/>
      <c r="B882" s="100"/>
      <c r="C882" s="100"/>
      <c r="D882" s="100"/>
      <c r="E882" s="100"/>
      <c r="F882" s="100"/>
      <c r="G882" s="100" t="s">
        <v>1853</v>
      </c>
      <c r="H882" s="107">
        <v>6700</v>
      </c>
      <c r="I882" s="100" t="s">
        <v>1852</v>
      </c>
      <c r="J882" s="102">
        <v>29614</v>
      </c>
    </row>
    <row r="883" spans="1:10" ht="1.1499999999999999" customHeight="1" thickTop="1" x14ac:dyDescent="0.2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</row>
    <row r="884" spans="1:10" ht="18" customHeight="1" x14ac:dyDescent="0.2">
      <c r="A884" s="117" t="s">
        <v>214</v>
      </c>
      <c r="B884" s="126" t="s">
        <v>5</v>
      </c>
      <c r="C884" s="117" t="s">
        <v>6</v>
      </c>
      <c r="D884" s="117" t="s">
        <v>7</v>
      </c>
      <c r="E884" s="136" t="s">
        <v>1113</v>
      </c>
      <c r="F884" s="136"/>
      <c r="G884" s="7" t="s">
        <v>8</v>
      </c>
      <c r="H884" s="126" t="s">
        <v>9</v>
      </c>
      <c r="I884" s="126" t="s">
        <v>10</v>
      </c>
      <c r="J884" s="126" t="s">
        <v>12</v>
      </c>
    </row>
    <row r="885" spans="1:10" ht="24" customHeight="1" x14ac:dyDescent="0.2">
      <c r="A885" s="116" t="s">
        <v>1861</v>
      </c>
      <c r="B885" s="1" t="s">
        <v>215</v>
      </c>
      <c r="C885" s="116" t="s">
        <v>20</v>
      </c>
      <c r="D885" s="116" t="s">
        <v>216</v>
      </c>
      <c r="E885" s="137">
        <v>7</v>
      </c>
      <c r="F885" s="137"/>
      <c r="G885" s="2" t="s">
        <v>213</v>
      </c>
      <c r="H885" s="115">
        <v>1</v>
      </c>
      <c r="I885" s="61">
        <v>6.96</v>
      </c>
      <c r="J885" s="61">
        <v>6.96</v>
      </c>
    </row>
    <row r="886" spans="1:10" ht="24" customHeight="1" x14ac:dyDescent="0.2">
      <c r="A886" s="113" t="s">
        <v>1859</v>
      </c>
      <c r="B886" s="114" t="s">
        <v>2569</v>
      </c>
      <c r="C886" s="113" t="s">
        <v>20</v>
      </c>
      <c r="D886" s="113" t="s">
        <v>2568</v>
      </c>
      <c r="E886" s="139" t="s">
        <v>1369</v>
      </c>
      <c r="F886" s="139"/>
      <c r="G886" s="112" t="s">
        <v>213</v>
      </c>
      <c r="H886" s="111">
        <v>1.02</v>
      </c>
      <c r="I886" s="110">
        <v>5.13</v>
      </c>
      <c r="J886" s="110">
        <v>5.23</v>
      </c>
    </row>
    <row r="887" spans="1:10" ht="24" customHeight="1" x14ac:dyDescent="0.2">
      <c r="A887" s="113" t="s">
        <v>1859</v>
      </c>
      <c r="B887" s="114" t="s">
        <v>1951</v>
      </c>
      <c r="C887" s="113" t="s">
        <v>20</v>
      </c>
      <c r="D887" s="113" t="s">
        <v>1950</v>
      </c>
      <c r="E887" s="139" t="s">
        <v>1860</v>
      </c>
      <c r="F887" s="139"/>
      <c r="G887" s="112" t="s">
        <v>1864</v>
      </c>
      <c r="H887" s="111">
        <v>6.5000000000000002E-2</v>
      </c>
      <c r="I887" s="110">
        <v>10.62</v>
      </c>
      <c r="J887" s="110">
        <v>0.69</v>
      </c>
    </row>
    <row r="888" spans="1:10" ht="24" customHeight="1" x14ac:dyDescent="0.2">
      <c r="A888" s="113" t="s">
        <v>1859</v>
      </c>
      <c r="B888" s="114" t="s">
        <v>2442</v>
      </c>
      <c r="C888" s="113" t="s">
        <v>20</v>
      </c>
      <c r="D888" s="113" t="s">
        <v>2441</v>
      </c>
      <c r="E888" s="139" t="s">
        <v>1860</v>
      </c>
      <c r="F888" s="139"/>
      <c r="G888" s="112" t="s">
        <v>1864</v>
      </c>
      <c r="H888" s="111">
        <v>6.5000000000000002E-2</v>
      </c>
      <c r="I888" s="110">
        <v>15.97</v>
      </c>
      <c r="J888" s="110">
        <v>1.04</v>
      </c>
    </row>
    <row r="889" spans="1:10" x14ac:dyDescent="0.2">
      <c r="A889" s="109"/>
      <c r="B889" s="109"/>
      <c r="C889" s="109"/>
      <c r="D889" s="109"/>
      <c r="E889" s="109" t="s">
        <v>1858</v>
      </c>
      <c r="F889" s="108">
        <v>1.73</v>
      </c>
      <c r="G889" s="109" t="s">
        <v>1857</v>
      </c>
      <c r="H889" s="108">
        <v>0</v>
      </c>
      <c r="I889" s="109" t="s">
        <v>1856</v>
      </c>
      <c r="J889" s="108">
        <v>1.73</v>
      </c>
    </row>
    <row r="890" spans="1:10" ht="13.9" customHeight="1" x14ac:dyDescent="0.2">
      <c r="A890" s="109"/>
      <c r="B890" s="109"/>
      <c r="C890" s="109"/>
      <c r="D890" s="109"/>
      <c r="E890" s="109" t="s">
        <v>1855</v>
      </c>
      <c r="F890" s="108">
        <v>1.84788</v>
      </c>
      <c r="G890" s="109"/>
      <c r="H890" s="140" t="s">
        <v>1854</v>
      </c>
      <c r="I890" s="140"/>
      <c r="J890" s="108">
        <v>8.81</v>
      </c>
    </row>
    <row r="891" spans="1:10" ht="30" customHeight="1" thickBot="1" x14ac:dyDescent="0.25">
      <c r="A891" s="100"/>
      <c r="B891" s="100"/>
      <c r="C891" s="100"/>
      <c r="D891" s="100"/>
      <c r="E891" s="100"/>
      <c r="F891" s="100"/>
      <c r="G891" s="100" t="s">
        <v>1853</v>
      </c>
      <c r="H891" s="107">
        <v>135</v>
      </c>
      <c r="I891" s="100" t="s">
        <v>1852</v>
      </c>
      <c r="J891" s="102">
        <v>1189.3499999999999</v>
      </c>
    </row>
    <row r="892" spans="1:10" ht="1.1499999999999999" customHeight="1" thickTop="1" x14ac:dyDescent="0.2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</row>
    <row r="893" spans="1:10" ht="18" customHeight="1" x14ac:dyDescent="0.2">
      <c r="A893" s="117" t="s">
        <v>217</v>
      </c>
      <c r="B893" s="126" t="s">
        <v>5</v>
      </c>
      <c r="C893" s="117" t="s">
        <v>6</v>
      </c>
      <c r="D893" s="117" t="s">
        <v>7</v>
      </c>
      <c r="E893" s="136" t="s">
        <v>1113</v>
      </c>
      <c r="F893" s="136"/>
      <c r="G893" s="7" t="s">
        <v>8</v>
      </c>
      <c r="H893" s="126" t="s">
        <v>9</v>
      </c>
      <c r="I893" s="126" t="s">
        <v>10</v>
      </c>
      <c r="J893" s="126" t="s">
        <v>12</v>
      </c>
    </row>
    <row r="894" spans="1:10" ht="24" customHeight="1" x14ac:dyDescent="0.2">
      <c r="A894" s="116" t="s">
        <v>1861</v>
      </c>
      <c r="B894" s="1" t="s">
        <v>218</v>
      </c>
      <c r="C894" s="116" t="s">
        <v>20</v>
      </c>
      <c r="D894" s="116" t="s">
        <v>219</v>
      </c>
      <c r="E894" s="137">
        <v>7</v>
      </c>
      <c r="F894" s="137"/>
      <c r="G894" s="2" t="s">
        <v>92</v>
      </c>
      <c r="H894" s="115">
        <v>1</v>
      </c>
      <c r="I894" s="61">
        <v>5.62</v>
      </c>
      <c r="J894" s="61">
        <v>5.62</v>
      </c>
    </row>
    <row r="895" spans="1:10" ht="24" customHeight="1" x14ac:dyDescent="0.2">
      <c r="A895" s="113" t="s">
        <v>1859</v>
      </c>
      <c r="B895" s="114" t="s">
        <v>2567</v>
      </c>
      <c r="C895" s="113" t="s">
        <v>20</v>
      </c>
      <c r="D895" s="113" t="s">
        <v>2566</v>
      </c>
      <c r="E895" s="139" t="s">
        <v>1369</v>
      </c>
      <c r="F895" s="139"/>
      <c r="G895" s="112" t="s">
        <v>213</v>
      </c>
      <c r="H895" s="111">
        <v>1.02</v>
      </c>
      <c r="I895" s="110">
        <v>3.94</v>
      </c>
      <c r="J895" s="110">
        <v>4.0199999999999996</v>
      </c>
    </row>
    <row r="896" spans="1:10" ht="24" customHeight="1" x14ac:dyDescent="0.2">
      <c r="A896" s="113" t="s">
        <v>1859</v>
      </c>
      <c r="B896" s="114" t="s">
        <v>1951</v>
      </c>
      <c r="C896" s="113" t="s">
        <v>20</v>
      </c>
      <c r="D896" s="113" t="s">
        <v>1950</v>
      </c>
      <c r="E896" s="139" t="s">
        <v>1860</v>
      </c>
      <c r="F896" s="139"/>
      <c r="G896" s="112" t="s">
        <v>1864</v>
      </c>
      <c r="H896" s="111">
        <v>0.06</v>
      </c>
      <c r="I896" s="110">
        <v>10.62</v>
      </c>
      <c r="J896" s="110">
        <v>0.64</v>
      </c>
    </row>
    <row r="897" spans="1:10" ht="24" customHeight="1" x14ac:dyDescent="0.2">
      <c r="A897" s="113" t="s">
        <v>1859</v>
      </c>
      <c r="B897" s="114" t="s">
        <v>2442</v>
      </c>
      <c r="C897" s="113" t="s">
        <v>20</v>
      </c>
      <c r="D897" s="113" t="s">
        <v>2441</v>
      </c>
      <c r="E897" s="139" t="s">
        <v>1860</v>
      </c>
      <c r="F897" s="139"/>
      <c r="G897" s="112" t="s">
        <v>1864</v>
      </c>
      <c r="H897" s="111">
        <v>0.06</v>
      </c>
      <c r="I897" s="110">
        <v>15.97</v>
      </c>
      <c r="J897" s="110">
        <v>0.96</v>
      </c>
    </row>
    <row r="898" spans="1:10" x14ac:dyDescent="0.2">
      <c r="A898" s="109"/>
      <c r="B898" s="109"/>
      <c r="C898" s="109"/>
      <c r="D898" s="109"/>
      <c r="E898" s="109" t="s">
        <v>1858</v>
      </c>
      <c r="F898" s="108">
        <v>1.6</v>
      </c>
      <c r="G898" s="109" t="s">
        <v>1857</v>
      </c>
      <c r="H898" s="108">
        <v>0</v>
      </c>
      <c r="I898" s="109" t="s">
        <v>1856</v>
      </c>
      <c r="J898" s="108">
        <v>1.6</v>
      </c>
    </row>
    <row r="899" spans="1:10" ht="13.9" customHeight="1" x14ac:dyDescent="0.2">
      <c r="A899" s="109"/>
      <c r="B899" s="109"/>
      <c r="C899" s="109"/>
      <c r="D899" s="109"/>
      <c r="E899" s="109" t="s">
        <v>1855</v>
      </c>
      <c r="F899" s="108">
        <v>1.49211</v>
      </c>
      <c r="G899" s="109"/>
      <c r="H899" s="140" t="s">
        <v>1854</v>
      </c>
      <c r="I899" s="140"/>
      <c r="J899" s="108">
        <v>7.11</v>
      </c>
    </row>
    <row r="900" spans="1:10" ht="30" customHeight="1" thickBot="1" x14ac:dyDescent="0.25">
      <c r="A900" s="100"/>
      <c r="B900" s="100"/>
      <c r="C900" s="100"/>
      <c r="D900" s="100"/>
      <c r="E900" s="100"/>
      <c r="F900" s="100"/>
      <c r="G900" s="100" t="s">
        <v>1853</v>
      </c>
      <c r="H900" s="107">
        <v>20</v>
      </c>
      <c r="I900" s="100" t="s">
        <v>1852</v>
      </c>
      <c r="J900" s="102">
        <v>142.19999999999999</v>
      </c>
    </row>
    <row r="901" spans="1:10" ht="1.1499999999999999" customHeight="1" thickTop="1" x14ac:dyDescent="0.2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</row>
    <row r="902" spans="1:10" ht="18" customHeight="1" x14ac:dyDescent="0.2">
      <c r="A902" s="117" t="s">
        <v>220</v>
      </c>
      <c r="B902" s="126" t="s">
        <v>5</v>
      </c>
      <c r="C902" s="117" t="s">
        <v>6</v>
      </c>
      <c r="D902" s="117" t="s">
        <v>7</v>
      </c>
      <c r="E902" s="136" t="s">
        <v>1113</v>
      </c>
      <c r="F902" s="136"/>
      <c r="G902" s="7" t="s">
        <v>8</v>
      </c>
      <c r="H902" s="126" t="s">
        <v>9</v>
      </c>
      <c r="I902" s="126" t="s">
        <v>10</v>
      </c>
      <c r="J902" s="126" t="s">
        <v>12</v>
      </c>
    </row>
    <row r="903" spans="1:10" ht="24" customHeight="1" x14ac:dyDescent="0.2">
      <c r="A903" s="116" t="s">
        <v>1861</v>
      </c>
      <c r="B903" s="1" t="s">
        <v>221</v>
      </c>
      <c r="C903" s="116" t="s">
        <v>20</v>
      </c>
      <c r="D903" s="116" t="s">
        <v>222</v>
      </c>
      <c r="E903" s="137">
        <v>7</v>
      </c>
      <c r="F903" s="137"/>
      <c r="G903" s="2" t="s">
        <v>92</v>
      </c>
      <c r="H903" s="115">
        <v>1</v>
      </c>
      <c r="I903" s="61">
        <v>11.54</v>
      </c>
      <c r="J903" s="61">
        <v>11.54</v>
      </c>
    </row>
    <row r="904" spans="1:10" ht="24" customHeight="1" x14ac:dyDescent="0.2">
      <c r="A904" s="113" t="s">
        <v>1859</v>
      </c>
      <c r="B904" s="114" t="s">
        <v>2565</v>
      </c>
      <c r="C904" s="113" t="s">
        <v>20</v>
      </c>
      <c r="D904" s="113" t="s">
        <v>2564</v>
      </c>
      <c r="E904" s="139" t="s">
        <v>1369</v>
      </c>
      <c r="F904" s="139"/>
      <c r="G904" s="112" t="s">
        <v>213</v>
      </c>
      <c r="H904" s="111">
        <v>1.02</v>
      </c>
      <c r="I904" s="110">
        <v>9.49</v>
      </c>
      <c r="J904" s="110">
        <v>9.68</v>
      </c>
    </row>
    <row r="905" spans="1:10" ht="24" customHeight="1" x14ac:dyDescent="0.2">
      <c r="A905" s="113" t="s">
        <v>1859</v>
      </c>
      <c r="B905" s="114" t="s">
        <v>1951</v>
      </c>
      <c r="C905" s="113" t="s">
        <v>20</v>
      </c>
      <c r="D905" s="113" t="s">
        <v>1950</v>
      </c>
      <c r="E905" s="139" t="s">
        <v>1860</v>
      </c>
      <c r="F905" s="139"/>
      <c r="G905" s="112" t="s">
        <v>1864</v>
      </c>
      <c r="H905" s="111">
        <v>7.0000000000000007E-2</v>
      </c>
      <c r="I905" s="110">
        <v>10.62</v>
      </c>
      <c r="J905" s="110">
        <v>0.74</v>
      </c>
    </row>
    <row r="906" spans="1:10" ht="24" customHeight="1" x14ac:dyDescent="0.2">
      <c r="A906" s="113" t="s">
        <v>1859</v>
      </c>
      <c r="B906" s="114" t="s">
        <v>2442</v>
      </c>
      <c r="C906" s="113" t="s">
        <v>20</v>
      </c>
      <c r="D906" s="113" t="s">
        <v>2441</v>
      </c>
      <c r="E906" s="139" t="s">
        <v>1860</v>
      </c>
      <c r="F906" s="139"/>
      <c r="G906" s="112" t="s">
        <v>1864</v>
      </c>
      <c r="H906" s="111">
        <v>7.0000000000000007E-2</v>
      </c>
      <c r="I906" s="110">
        <v>15.97</v>
      </c>
      <c r="J906" s="110">
        <v>1.1200000000000001</v>
      </c>
    </row>
    <row r="907" spans="1:10" x14ac:dyDescent="0.2">
      <c r="A907" s="109"/>
      <c r="B907" s="109"/>
      <c r="C907" s="109"/>
      <c r="D907" s="109"/>
      <c r="E907" s="109" t="s">
        <v>1858</v>
      </c>
      <c r="F907" s="108">
        <v>1.86</v>
      </c>
      <c r="G907" s="109" t="s">
        <v>1857</v>
      </c>
      <c r="H907" s="108">
        <v>0</v>
      </c>
      <c r="I907" s="109" t="s">
        <v>1856</v>
      </c>
      <c r="J907" s="108">
        <v>1.86</v>
      </c>
    </row>
    <row r="908" spans="1:10" ht="13.9" customHeight="1" x14ac:dyDescent="0.2">
      <c r="A908" s="109"/>
      <c r="B908" s="109"/>
      <c r="C908" s="109"/>
      <c r="D908" s="109"/>
      <c r="E908" s="109" t="s">
        <v>1855</v>
      </c>
      <c r="F908" s="108">
        <v>3.0638700000000001</v>
      </c>
      <c r="G908" s="109"/>
      <c r="H908" s="140" t="s">
        <v>1854</v>
      </c>
      <c r="I908" s="140"/>
      <c r="J908" s="108">
        <v>14.6</v>
      </c>
    </row>
    <row r="909" spans="1:10" ht="30" customHeight="1" thickBot="1" x14ac:dyDescent="0.25">
      <c r="A909" s="100"/>
      <c r="B909" s="100"/>
      <c r="C909" s="100"/>
      <c r="D909" s="100"/>
      <c r="E909" s="100"/>
      <c r="F909" s="100"/>
      <c r="G909" s="100" t="s">
        <v>1853</v>
      </c>
      <c r="H909" s="107">
        <v>175</v>
      </c>
      <c r="I909" s="100" t="s">
        <v>1852</v>
      </c>
      <c r="J909" s="102">
        <v>2555</v>
      </c>
    </row>
    <row r="910" spans="1:10" ht="1.1499999999999999" customHeight="1" thickTop="1" x14ac:dyDescent="0.2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</row>
    <row r="911" spans="1:10" ht="18" customHeight="1" x14ac:dyDescent="0.2">
      <c r="A911" s="117" t="s">
        <v>223</v>
      </c>
      <c r="B911" s="126" t="s">
        <v>5</v>
      </c>
      <c r="C911" s="117" t="s">
        <v>6</v>
      </c>
      <c r="D911" s="117" t="s">
        <v>7</v>
      </c>
      <c r="E911" s="136" t="s">
        <v>1113</v>
      </c>
      <c r="F911" s="136"/>
      <c r="G911" s="7" t="s">
        <v>8</v>
      </c>
      <c r="H911" s="126" t="s">
        <v>9</v>
      </c>
      <c r="I911" s="126" t="s">
        <v>10</v>
      </c>
      <c r="J911" s="126" t="s">
        <v>12</v>
      </c>
    </row>
    <row r="912" spans="1:10" ht="24" customHeight="1" x14ac:dyDescent="0.2">
      <c r="A912" s="116" t="s">
        <v>1861</v>
      </c>
      <c r="B912" s="1" t="s">
        <v>224</v>
      </c>
      <c r="C912" s="116" t="s">
        <v>20</v>
      </c>
      <c r="D912" s="116" t="s">
        <v>225</v>
      </c>
      <c r="E912" s="137">
        <v>7</v>
      </c>
      <c r="F912" s="137"/>
      <c r="G912" s="2" t="s">
        <v>92</v>
      </c>
      <c r="H912" s="115">
        <v>1</v>
      </c>
      <c r="I912" s="61">
        <v>33.479999999999997</v>
      </c>
      <c r="J912" s="61">
        <v>33.479999999999997</v>
      </c>
    </row>
    <row r="913" spans="1:10" ht="24" customHeight="1" x14ac:dyDescent="0.2">
      <c r="A913" s="113" t="s">
        <v>1859</v>
      </c>
      <c r="B913" s="114" t="s">
        <v>2563</v>
      </c>
      <c r="C913" s="113" t="s">
        <v>20</v>
      </c>
      <c r="D913" s="113" t="s">
        <v>2562</v>
      </c>
      <c r="E913" s="139" t="s">
        <v>1369</v>
      </c>
      <c r="F913" s="139"/>
      <c r="G913" s="112" t="s">
        <v>213</v>
      </c>
      <c r="H913" s="111">
        <v>1.02</v>
      </c>
      <c r="I913" s="110">
        <v>30.08</v>
      </c>
      <c r="J913" s="110">
        <v>30.68</v>
      </c>
    </row>
    <row r="914" spans="1:10" ht="24" customHeight="1" x14ac:dyDescent="0.2">
      <c r="A914" s="113" t="s">
        <v>1859</v>
      </c>
      <c r="B914" s="114" t="s">
        <v>1951</v>
      </c>
      <c r="C914" s="113" t="s">
        <v>20</v>
      </c>
      <c r="D914" s="113" t="s">
        <v>1950</v>
      </c>
      <c r="E914" s="139" t="s">
        <v>1860</v>
      </c>
      <c r="F914" s="139"/>
      <c r="G914" s="112" t="s">
        <v>1864</v>
      </c>
      <c r="H914" s="111">
        <v>0.105</v>
      </c>
      <c r="I914" s="110">
        <v>10.62</v>
      </c>
      <c r="J914" s="110">
        <v>1.1200000000000001</v>
      </c>
    </row>
    <row r="915" spans="1:10" ht="24" customHeight="1" x14ac:dyDescent="0.2">
      <c r="A915" s="113" t="s">
        <v>1859</v>
      </c>
      <c r="B915" s="114" t="s">
        <v>2442</v>
      </c>
      <c r="C915" s="113" t="s">
        <v>20</v>
      </c>
      <c r="D915" s="113" t="s">
        <v>2441</v>
      </c>
      <c r="E915" s="139" t="s">
        <v>1860</v>
      </c>
      <c r="F915" s="139"/>
      <c r="G915" s="112" t="s">
        <v>1864</v>
      </c>
      <c r="H915" s="111">
        <v>0.105</v>
      </c>
      <c r="I915" s="110">
        <v>15.97</v>
      </c>
      <c r="J915" s="110">
        <v>1.68</v>
      </c>
    </row>
    <row r="916" spans="1:10" x14ac:dyDescent="0.2">
      <c r="A916" s="109"/>
      <c r="B916" s="109"/>
      <c r="C916" s="109"/>
      <c r="D916" s="109"/>
      <c r="E916" s="109" t="s">
        <v>1858</v>
      </c>
      <c r="F916" s="108">
        <v>2.8</v>
      </c>
      <c r="G916" s="109" t="s">
        <v>1857</v>
      </c>
      <c r="H916" s="108">
        <v>0</v>
      </c>
      <c r="I916" s="109" t="s">
        <v>1856</v>
      </c>
      <c r="J916" s="108">
        <v>2.8</v>
      </c>
    </row>
    <row r="917" spans="1:10" ht="13.9" customHeight="1" x14ac:dyDescent="0.2">
      <c r="A917" s="109"/>
      <c r="B917" s="109"/>
      <c r="C917" s="109"/>
      <c r="D917" s="109"/>
      <c r="E917" s="109" t="s">
        <v>1855</v>
      </c>
      <c r="F917" s="108">
        <v>8.8889399999999998</v>
      </c>
      <c r="G917" s="109"/>
      <c r="H917" s="140" t="s">
        <v>1854</v>
      </c>
      <c r="I917" s="140"/>
      <c r="J917" s="108">
        <v>42.37</v>
      </c>
    </row>
    <row r="918" spans="1:10" ht="30" customHeight="1" thickBot="1" x14ac:dyDescent="0.25">
      <c r="A918" s="100"/>
      <c r="B918" s="100"/>
      <c r="C918" s="100"/>
      <c r="D918" s="100"/>
      <c r="E918" s="100"/>
      <c r="F918" s="100"/>
      <c r="G918" s="100" t="s">
        <v>1853</v>
      </c>
      <c r="H918" s="107">
        <v>125</v>
      </c>
      <c r="I918" s="100" t="s">
        <v>1852</v>
      </c>
      <c r="J918" s="102">
        <v>5296.25</v>
      </c>
    </row>
    <row r="919" spans="1:10" ht="1.1499999999999999" customHeight="1" thickTop="1" x14ac:dyDescent="0.2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</row>
    <row r="920" spans="1:10" ht="24" customHeight="1" x14ac:dyDescent="0.2">
      <c r="A920" s="123" t="s">
        <v>226</v>
      </c>
      <c r="B920" s="123"/>
      <c r="C920" s="123"/>
      <c r="D920" s="123" t="s">
        <v>227</v>
      </c>
      <c r="E920" s="123"/>
      <c r="F920" s="142"/>
      <c r="G920" s="142"/>
      <c r="H920" s="3"/>
      <c r="I920" s="123"/>
      <c r="J920" s="63">
        <v>43.73</v>
      </c>
    </row>
    <row r="921" spans="1:10" ht="18" customHeight="1" x14ac:dyDescent="0.2">
      <c r="A921" s="117" t="s">
        <v>228</v>
      </c>
      <c r="B921" s="126" t="s">
        <v>5</v>
      </c>
      <c r="C921" s="117" t="s">
        <v>6</v>
      </c>
      <c r="D921" s="117" t="s">
        <v>7</v>
      </c>
      <c r="E921" s="136" t="s">
        <v>1113</v>
      </c>
      <c r="F921" s="136"/>
      <c r="G921" s="7" t="s">
        <v>8</v>
      </c>
      <c r="H921" s="126" t="s">
        <v>9</v>
      </c>
      <c r="I921" s="126" t="s">
        <v>10</v>
      </c>
      <c r="J921" s="126" t="s">
        <v>12</v>
      </c>
    </row>
    <row r="922" spans="1:10" ht="24" customHeight="1" x14ac:dyDescent="0.2">
      <c r="A922" s="116" t="s">
        <v>1861</v>
      </c>
      <c r="B922" s="1" t="s">
        <v>229</v>
      </c>
      <c r="C922" s="116" t="s">
        <v>20</v>
      </c>
      <c r="D922" s="116" t="s">
        <v>230</v>
      </c>
      <c r="E922" s="137">
        <v>7</v>
      </c>
      <c r="F922" s="137"/>
      <c r="G922" s="2" t="s">
        <v>22</v>
      </c>
      <c r="H922" s="115">
        <v>1</v>
      </c>
      <c r="I922" s="61">
        <v>128</v>
      </c>
      <c r="J922" s="61">
        <v>128</v>
      </c>
    </row>
    <row r="923" spans="1:10" ht="24" customHeight="1" x14ac:dyDescent="0.2">
      <c r="A923" s="113" t="s">
        <v>1859</v>
      </c>
      <c r="B923" s="114" t="s">
        <v>1899</v>
      </c>
      <c r="C923" s="113" t="s">
        <v>20</v>
      </c>
      <c r="D923" s="113" t="s">
        <v>1898</v>
      </c>
      <c r="E923" s="139" t="s">
        <v>1369</v>
      </c>
      <c r="F923" s="139"/>
      <c r="G923" s="112" t="s">
        <v>49</v>
      </c>
      <c r="H923" s="111">
        <v>5.7200000000000001E-2</v>
      </c>
      <c r="I923" s="110">
        <v>162.78</v>
      </c>
      <c r="J923" s="110">
        <v>9.31</v>
      </c>
    </row>
    <row r="924" spans="1:10" ht="24" customHeight="1" x14ac:dyDescent="0.2">
      <c r="A924" s="113" t="s">
        <v>1859</v>
      </c>
      <c r="B924" s="114" t="s">
        <v>2008</v>
      </c>
      <c r="C924" s="113" t="s">
        <v>20</v>
      </c>
      <c r="D924" s="113" t="s">
        <v>2007</v>
      </c>
      <c r="E924" s="139" t="s">
        <v>1369</v>
      </c>
      <c r="F924" s="139"/>
      <c r="G924" s="112" t="s">
        <v>96</v>
      </c>
      <c r="H924" s="111">
        <v>8.5631000000000004</v>
      </c>
      <c r="I924" s="110">
        <v>0.75</v>
      </c>
      <c r="J924" s="110">
        <v>6.42</v>
      </c>
    </row>
    <row r="925" spans="1:10" ht="24" customHeight="1" x14ac:dyDescent="0.2">
      <c r="A925" s="113" t="s">
        <v>1859</v>
      </c>
      <c r="B925" s="114" t="s">
        <v>1897</v>
      </c>
      <c r="C925" s="113" t="s">
        <v>20</v>
      </c>
      <c r="D925" s="113" t="s">
        <v>1896</v>
      </c>
      <c r="E925" s="139" t="s">
        <v>1369</v>
      </c>
      <c r="F925" s="139"/>
      <c r="G925" s="112" t="s">
        <v>96</v>
      </c>
      <c r="H925" s="111">
        <v>6.7549999999999999</v>
      </c>
      <c r="I925" s="110">
        <v>0.6</v>
      </c>
      <c r="J925" s="110">
        <v>4.05</v>
      </c>
    </row>
    <row r="926" spans="1:10" ht="24" customHeight="1" x14ac:dyDescent="0.2">
      <c r="A926" s="113" t="s">
        <v>1859</v>
      </c>
      <c r="B926" s="114" t="s">
        <v>2012</v>
      </c>
      <c r="C926" s="113" t="s">
        <v>20</v>
      </c>
      <c r="D926" s="113" t="s">
        <v>2011</v>
      </c>
      <c r="E926" s="139" t="s">
        <v>1369</v>
      </c>
      <c r="F926" s="139"/>
      <c r="G926" s="112" t="s">
        <v>246</v>
      </c>
      <c r="H926" s="111">
        <v>84</v>
      </c>
      <c r="I926" s="110">
        <v>0.52</v>
      </c>
      <c r="J926" s="110">
        <v>43.68</v>
      </c>
    </row>
    <row r="927" spans="1:10" ht="24" customHeight="1" x14ac:dyDescent="0.2">
      <c r="A927" s="113" t="s">
        <v>1859</v>
      </c>
      <c r="B927" s="114" t="s">
        <v>1866</v>
      </c>
      <c r="C927" s="113" t="s">
        <v>20</v>
      </c>
      <c r="D927" s="113" t="s">
        <v>1865</v>
      </c>
      <c r="E927" s="139" t="s">
        <v>1860</v>
      </c>
      <c r="F927" s="139"/>
      <c r="G927" s="112" t="s">
        <v>1864</v>
      </c>
      <c r="H927" s="111">
        <v>2.4323999999999999</v>
      </c>
      <c r="I927" s="110">
        <v>15.97</v>
      </c>
      <c r="J927" s="110">
        <v>38.85</v>
      </c>
    </row>
    <row r="928" spans="1:10" ht="24" customHeight="1" x14ac:dyDescent="0.2">
      <c r="A928" s="113" t="s">
        <v>1859</v>
      </c>
      <c r="B928" s="114" t="s">
        <v>1872</v>
      </c>
      <c r="C928" s="113" t="s">
        <v>20</v>
      </c>
      <c r="D928" s="113" t="s">
        <v>1871</v>
      </c>
      <c r="E928" s="139" t="s">
        <v>1860</v>
      </c>
      <c r="F928" s="139"/>
      <c r="G928" s="112" t="s">
        <v>1864</v>
      </c>
      <c r="H928" s="111">
        <v>2.419</v>
      </c>
      <c r="I928" s="110">
        <v>10.62</v>
      </c>
      <c r="J928" s="110">
        <v>25.69</v>
      </c>
    </row>
    <row r="929" spans="1:10" x14ac:dyDescent="0.2">
      <c r="A929" s="109"/>
      <c r="B929" s="109"/>
      <c r="C929" s="109"/>
      <c r="D929" s="109"/>
      <c r="E929" s="109" t="s">
        <v>1858</v>
      </c>
      <c r="F929" s="108">
        <v>64.540000000000006</v>
      </c>
      <c r="G929" s="109" t="s">
        <v>1857</v>
      </c>
      <c r="H929" s="108">
        <v>0</v>
      </c>
      <c r="I929" s="109" t="s">
        <v>1856</v>
      </c>
      <c r="J929" s="108">
        <v>64.540000000000006</v>
      </c>
    </row>
    <row r="930" spans="1:10" ht="13.9" customHeight="1" x14ac:dyDescent="0.2">
      <c r="A930" s="109"/>
      <c r="B930" s="109"/>
      <c r="C930" s="109"/>
      <c r="D930" s="109"/>
      <c r="E930" s="109" t="s">
        <v>1855</v>
      </c>
      <c r="F930" s="108">
        <v>33.984000000000002</v>
      </c>
      <c r="G930" s="109"/>
      <c r="H930" s="140" t="s">
        <v>1854</v>
      </c>
      <c r="I930" s="140"/>
      <c r="J930" s="108">
        <v>161.97999999999999</v>
      </c>
    </row>
    <row r="931" spans="1:10" ht="30" customHeight="1" thickBot="1" x14ac:dyDescent="0.25">
      <c r="A931" s="100"/>
      <c r="B931" s="100"/>
      <c r="C931" s="100"/>
      <c r="D931" s="100"/>
      <c r="E931" s="100"/>
      <c r="F931" s="100"/>
      <c r="G931" s="100" t="s">
        <v>1853</v>
      </c>
      <c r="H931" s="107">
        <v>0.27</v>
      </c>
      <c r="I931" s="100" t="s">
        <v>1852</v>
      </c>
      <c r="J931" s="102">
        <v>43.73</v>
      </c>
    </row>
    <row r="932" spans="1:10" ht="1.1499999999999999" customHeight="1" thickTop="1" x14ac:dyDescent="0.2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</row>
    <row r="933" spans="1:10" ht="24" customHeight="1" x14ac:dyDescent="0.2">
      <c r="A933" s="123" t="s">
        <v>231</v>
      </c>
      <c r="B933" s="123"/>
      <c r="C933" s="123"/>
      <c r="D933" s="123" t="s">
        <v>232</v>
      </c>
      <c r="E933" s="123"/>
      <c r="F933" s="142"/>
      <c r="G933" s="142"/>
      <c r="H933" s="3"/>
      <c r="I933" s="123"/>
      <c r="J933" s="63">
        <v>20032.38</v>
      </c>
    </row>
    <row r="934" spans="1:10" ht="18" customHeight="1" x14ac:dyDescent="0.2">
      <c r="A934" s="117" t="s">
        <v>233</v>
      </c>
      <c r="B934" s="126" t="s">
        <v>5</v>
      </c>
      <c r="C934" s="117" t="s">
        <v>6</v>
      </c>
      <c r="D934" s="117" t="s">
        <v>7</v>
      </c>
      <c r="E934" s="136" t="s">
        <v>1113</v>
      </c>
      <c r="F934" s="136"/>
      <c r="G934" s="7" t="s">
        <v>8</v>
      </c>
      <c r="H934" s="126" t="s">
        <v>9</v>
      </c>
      <c r="I934" s="126" t="s">
        <v>10</v>
      </c>
      <c r="J934" s="126" t="s">
        <v>12</v>
      </c>
    </row>
    <row r="935" spans="1:10" ht="24" customHeight="1" x14ac:dyDescent="0.2">
      <c r="A935" s="116" t="s">
        <v>1861</v>
      </c>
      <c r="B935" s="1" t="s">
        <v>234</v>
      </c>
      <c r="C935" s="116" t="s">
        <v>25</v>
      </c>
      <c r="D935" s="116" t="s">
        <v>235</v>
      </c>
      <c r="E935" s="137" t="s">
        <v>1362</v>
      </c>
      <c r="F935" s="137"/>
      <c r="G935" s="2" t="s">
        <v>236</v>
      </c>
      <c r="H935" s="115">
        <v>1</v>
      </c>
      <c r="I935" s="61">
        <v>22.98</v>
      </c>
      <c r="J935" s="61">
        <v>22.98</v>
      </c>
    </row>
    <row r="936" spans="1:10" ht="24" customHeight="1" x14ac:dyDescent="0.2">
      <c r="A936" s="121" t="s">
        <v>1888</v>
      </c>
      <c r="B936" s="122" t="s">
        <v>2486</v>
      </c>
      <c r="C936" s="121" t="s">
        <v>25</v>
      </c>
      <c r="D936" s="121" t="s">
        <v>2485</v>
      </c>
      <c r="E936" s="138" t="s">
        <v>1902</v>
      </c>
      <c r="F936" s="138"/>
      <c r="G936" s="120" t="s">
        <v>61</v>
      </c>
      <c r="H936" s="119">
        <v>0.1033</v>
      </c>
      <c r="I936" s="118">
        <v>16.11</v>
      </c>
      <c r="J936" s="118">
        <v>1.66</v>
      </c>
    </row>
    <row r="937" spans="1:10" ht="24" customHeight="1" x14ac:dyDescent="0.2">
      <c r="A937" s="121" t="s">
        <v>1888</v>
      </c>
      <c r="B937" s="122" t="s">
        <v>2484</v>
      </c>
      <c r="C937" s="121" t="s">
        <v>25</v>
      </c>
      <c r="D937" s="121" t="s">
        <v>2483</v>
      </c>
      <c r="E937" s="138" t="s">
        <v>1902</v>
      </c>
      <c r="F937" s="138"/>
      <c r="G937" s="120" t="s">
        <v>61</v>
      </c>
      <c r="H937" s="119">
        <v>0.24779999999999999</v>
      </c>
      <c r="I937" s="118">
        <v>21.76</v>
      </c>
      <c r="J937" s="118">
        <v>5.39</v>
      </c>
    </row>
    <row r="938" spans="1:10" ht="24" customHeight="1" x14ac:dyDescent="0.2">
      <c r="A938" s="113" t="s">
        <v>1859</v>
      </c>
      <c r="B938" s="114" t="s">
        <v>2561</v>
      </c>
      <c r="C938" s="113" t="s">
        <v>25</v>
      </c>
      <c r="D938" s="113" t="s">
        <v>2560</v>
      </c>
      <c r="E938" s="139" t="s">
        <v>1369</v>
      </c>
      <c r="F938" s="139"/>
      <c r="G938" s="112" t="s">
        <v>236</v>
      </c>
      <c r="H938" s="111">
        <v>1</v>
      </c>
      <c r="I938" s="110">
        <v>10.55</v>
      </c>
      <c r="J938" s="110">
        <v>10.55</v>
      </c>
    </row>
    <row r="939" spans="1:10" ht="24" customHeight="1" x14ac:dyDescent="0.2">
      <c r="A939" s="113" t="s">
        <v>1859</v>
      </c>
      <c r="B939" s="114" t="s">
        <v>2559</v>
      </c>
      <c r="C939" s="113" t="s">
        <v>25</v>
      </c>
      <c r="D939" s="113" t="s">
        <v>2558</v>
      </c>
      <c r="E939" s="139" t="s">
        <v>1369</v>
      </c>
      <c r="F939" s="139"/>
      <c r="G939" s="112" t="s">
        <v>236</v>
      </c>
      <c r="H939" s="111">
        <v>2</v>
      </c>
      <c r="I939" s="110">
        <v>2.69</v>
      </c>
      <c r="J939" s="110">
        <v>5.38</v>
      </c>
    </row>
    <row r="940" spans="1:10" x14ac:dyDescent="0.2">
      <c r="A940" s="109"/>
      <c r="B940" s="109"/>
      <c r="C940" s="109"/>
      <c r="D940" s="109"/>
      <c r="E940" s="109" t="s">
        <v>1858</v>
      </c>
      <c r="F940" s="108">
        <v>5.0999999999999996</v>
      </c>
      <c r="G940" s="109" t="s">
        <v>1857</v>
      </c>
      <c r="H940" s="108">
        <v>0</v>
      </c>
      <c r="I940" s="109" t="s">
        <v>1856</v>
      </c>
      <c r="J940" s="108">
        <v>5.0999999999999996</v>
      </c>
    </row>
    <row r="941" spans="1:10" ht="13.9" customHeight="1" x14ac:dyDescent="0.2">
      <c r="A941" s="109"/>
      <c r="B941" s="109"/>
      <c r="C941" s="109"/>
      <c r="D941" s="109"/>
      <c r="E941" s="109" t="s">
        <v>1855</v>
      </c>
      <c r="F941" s="108">
        <v>6.1011899999999999</v>
      </c>
      <c r="G941" s="109"/>
      <c r="H941" s="140" t="s">
        <v>1854</v>
      </c>
      <c r="I941" s="140"/>
      <c r="J941" s="108">
        <v>29.08</v>
      </c>
    </row>
    <row r="942" spans="1:10" ht="30" customHeight="1" thickBot="1" x14ac:dyDescent="0.25">
      <c r="A942" s="100"/>
      <c r="B942" s="100"/>
      <c r="C942" s="100"/>
      <c r="D942" s="100"/>
      <c r="E942" s="100"/>
      <c r="F942" s="100"/>
      <c r="G942" s="100" t="s">
        <v>1853</v>
      </c>
      <c r="H942" s="107">
        <v>50</v>
      </c>
      <c r="I942" s="100" t="s">
        <v>1852</v>
      </c>
      <c r="J942" s="102">
        <v>1454</v>
      </c>
    </row>
    <row r="943" spans="1:10" ht="1.1499999999999999" customHeight="1" thickTop="1" x14ac:dyDescent="0.2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</row>
    <row r="944" spans="1:10" ht="18" customHeight="1" x14ac:dyDescent="0.2">
      <c r="A944" s="117" t="s">
        <v>237</v>
      </c>
      <c r="B944" s="126" t="s">
        <v>5</v>
      </c>
      <c r="C944" s="117" t="s">
        <v>6</v>
      </c>
      <c r="D944" s="117" t="s">
        <v>7</v>
      </c>
      <c r="E944" s="136" t="s">
        <v>1113</v>
      </c>
      <c r="F944" s="136"/>
      <c r="G944" s="7" t="s">
        <v>8</v>
      </c>
      <c r="H944" s="126" t="s">
        <v>9</v>
      </c>
      <c r="I944" s="126" t="s">
        <v>10</v>
      </c>
      <c r="J944" s="126" t="s">
        <v>12</v>
      </c>
    </row>
    <row r="945" spans="1:10" ht="24" customHeight="1" x14ac:dyDescent="0.2">
      <c r="A945" s="116" t="s">
        <v>1861</v>
      </c>
      <c r="B945" s="1" t="s">
        <v>234</v>
      </c>
      <c r="C945" s="116" t="s">
        <v>25</v>
      </c>
      <c r="D945" s="116" t="s">
        <v>238</v>
      </c>
      <c r="E945" s="137" t="s">
        <v>1362</v>
      </c>
      <c r="F945" s="137"/>
      <c r="G945" s="2" t="s">
        <v>236</v>
      </c>
      <c r="H945" s="115">
        <v>1</v>
      </c>
      <c r="I945" s="61">
        <v>22.98</v>
      </c>
      <c r="J945" s="61">
        <v>22.98</v>
      </c>
    </row>
    <row r="946" spans="1:10" ht="24" customHeight="1" x14ac:dyDescent="0.2">
      <c r="A946" s="121" t="s">
        <v>1888</v>
      </c>
      <c r="B946" s="122" t="s">
        <v>2486</v>
      </c>
      <c r="C946" s="121" t="s">
        <v>25</v>
      </c>
      <c r="D946" s="121" t="s">
        <v>2485</v>
      </c>
      <c r="E946" s="138" t="s">
        <v>1902</v>
      </c>
      <c r="F946" s="138"/>
      <c r="G946" s="120" t="s">
        <v>61</v>
      </c>
      <c r="H946" s="119">
        <v>0.1033</v>
      </c>
      <c r="I946" s="118">
        <v>16.11</v>
      </c>
      <c r="J946" s="118">
        <v>1.66</v>
      </c>
    </row>
    <row r="947" spans="1:10" ht="24" customHeight="1" x14ac:dyDescent="0.2">
      <c r="A947" s="121" t="s">
        <v>1888</v>
      </c>
      <c r="B947" s="122" t="s">
        <v>2484</v>
      </c>
      <c r="C947" s="121" t="s">
        <v>25</v>
      </c>
      <c r="D947" s="121" t="s">
        <v>2483</v>
      </c>
      <c r="E947" s="138" t="s">
        <v>1902</v>
      </c>
      <c r="F947" s="138"/>
      <c r="G947" s="120" t="s">
        <v>61</v>
      </c>
      <c r="H947" s="119">
        <v>0.24779999999999999</v>
      </c>
      <c r="I947" s="118">
        <v>21.76</v>
      </c>
      <c r="J947" s="118">
        <v>5.39</v>
      </c>
    </row>
    <row r="948" spans="1:10" ht="24" customHeight="1" x14ac:dyDescent="0.2">
      <c r="A948" s="113" t="s">
        <v>1859</v>
      </c>
      <c r="B948" s="114" t="s">
        <v>2561</v>
      </c>
      <c r="C948" s="113" t="s">
        <v>25</v>
      </c>
      <c r="D948" s="113" t="s">
        <v>2560</v>
      </c>
      <c r="E948" s="139" t="s">
        <v>1369</v>
      </c>
      <c r="F948" s="139"/>
      <c r="G948" s="112" t="s">
        <v>236</v>
      </c>
      <c r="H948" s="111">
        <v>1</v>
      </c>
      <c r="I948" s="110">
        <v>10.55</v>
      </c>
      <c r="J948" s="110">
        <v>10.55</v>
      </c>
    </row>
    <row r="949" spans="1:10" ht="24" customHeight="1" x14ac:dyDescent="0.2">
      <c r="A949" s="113" t="s">
        <v>1859</v>
      </c>
      <c r="B949" s="114" t="s">
        <v>2559</v>
      </c>
      <c r="C949" s="113" t="s">
        <v>25</v>
      </c>
      <c r="D949" s="113" t="s">
        <v>2558</v>
      </c>
      <c r="E949" s="139" t="s">
        <v>1369</v>
      </c>
      <c r="F949" s="139"/>
      <c r="G949" s="112" t="s">
        <v>236</v>
      </c>
      <c r="H949" s="111">
        <v>2</v>
      </c>
      <c r="I949" s="110">
        <v>2.69</v>
      </c>
      <c r="J949" s="110">
        <v>5.38</v>
      </c>
    </row>
    <row r="950" spans="1:10" x14ac:dyDescent="0.2">
      <c r="A950" s="109"/>
      <c r="B950" s="109"/>
      <c r="C950" s="109"/>
      <c r="D950" s="109"/>
      <c r="E950" s="109" t="s">
        <v>1858</v>
      </c>
      <c r="F950" s="108">
        <v>5.0999999999999996</v>
      </c>
      <c r="G950" s="109" t="s">
        <v>1857</v>
      </c>
      <c r="H950" s="108">
        <v>0</v>
      </c>
      <c r="I950" s="109" t="s">
        <v>1856</v>
      </c>
      <c r="J950" s="108">
        <v>5.0999999999999996</v>
      </c>
    </row>
    <row r="951" spans="1:10" ht="13.9" customHeight="1" x14ac:dyDescent="0.2">
      <c r="A951" s="109"/>
      <c r="B951" s="109"/>
      <c r="C951" s="109"/>
      <c r="D951" s="109"/>
      <c r="E951" s="109" t="s">
        <v>1855</v>
      </c>
      <c r="F951" s="108">
        <v>6.1011899999999999</v>
      </c>
      <c r="G951" s="109"/>
      <c r="H951" s="140" t="s">
        <v>1854</v>
      </c>
      <c r="I951" s="140"/>
      <c r="J951" s="108">
        <v>29.08</v>
      </c>
    </row>
    <row r="952" spans="1:10" ht="30" customHeight="1" thickBot="1" x14ac:dyDescent="0.25">
      <c r="A952" s="100"/>
      <c r="B952" s="100"/>
      <c r="C952" s="100"/>
      <c r="D952" s="100"/>
      <c r="E952" s="100"/>
      <c r="F952" s="100"/>
      <c r="G952" s="100" t="s">
        <v>1853</v>
      </c>
      <c r="H952" s="107">
        <v>5</v>
      </c>
      <c r="I952" s="100" t="s">
        <v>1852</v>
      </c>
      <c r="J952" s="102">
        <v>145.4</v>
      </c>
    </row>
    <row r="953" spans="1:10" ht="1.1499999999999999" customHeight="1" thickTop="1" x14ac:dyDescent="0.2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</row>
    <row r="954" spans="1:10" ht="18" customHeight="1" x14ac:dyDescent="0.2">
      <c r="A954" s="117"/>
      <c r="B954" s="126" t="s">
        <v>5</v>
      </c>
      <c r="C954" s="117" t="s">
        <v>6</v>
      </c>
      <c r="D954" s="117" t="s">
        <v>7</v>
      </c>
      <c r="E954" s="136" t="s">
        <v>1113</v>
      </c>
      <c r="F954" s="136"/>
      <c r="G954" s="7" t="s">
        <v>8</v>
      </c>
      <c r="H954" s="126" t="s">
        <v>9</v>
      </c>
      <c r="I954" s="126" t="s">
        <v>10</v>
      </c>
      <c r="J954" s="126" t="s">
        <v>12</v>
      </c>
    </row>
    <row r="955" spans="1:10" ht="84" customHeight="1" x14ac:dyDescent="0.2">
      <c r="A955" s="116" t="s">
        <v>1859</v>
      </c>
      <c r="B955" s="1" t="s">
        <v>240</v>
      </c>
      <c r="C955" s="116" t="s">
        <v>25</v>
      </c>
      <c r="D955" s="116" t="s">
        <v>241</v>
      </c>
      <c r="E955" s="137" t="s">
        <v>1369</v>
      </c>
      <c r="F955" s="137"/>
      <c r="G955" s="2" t="s">
        <v>236</v>
      </c>
      <c r="H955" s="115">
        <v>1</v>
      </c>
      <c r="I955" s="61">
        <v>56.69</v>
      </c>
      <c r="J955" s="61">
        <v>56.69</v>
      </c>
    </row>
    <row r="956" spans="1:10" x14ac:dyDescent="0.2">
      <c r="A956" s="109"/>
      <c r="B956" s="109"/>
      <c r="C956" s="109"/>
      <c r="D956" s="109"/>
      <c r="E956" s="109" t="s">
        <v>1858</v>
      </c>
      <c r="F956" s="108">
        <v>0</v>
      </c>
      <c r="G956" s="109" t="s">
        <v>1857</v>
      </c>
      <c r="H956" s="108">
        <v>0</v>
      </c>
      <c r="I956" s="109" t="s">
        <v>1856</v>
      </c>
      <c r="J956" s="108">
        <v>0</v>
      </c>
    </row>
    <row r="957" spans="1:10" ht="13.9" customHeight="1" x14ac:dyDescent="0.2">
      <c r="A957" s="109"/>
      <c r="B957" s="109"/>
      <c r="C957" s="109"/>
      <c r="D957" s="109"/>
      <c r="E957" s="109" t="s">
        <v>1855</v>
      </c>
      <c r="F957" s="108">
        <v>15.05</v>
      </c>
      <c r="G957" s="109"/>
      <c r="H957" s="140" t="s">
        <v>1854</v>
      </c>
      <c r="I957" s="140"/>
      <c r="J957" s="108">
        <v>71.739999999999995</v>
      </c>
    </row>
    <row r="958" spans="1:10" ht="30" customHeight="1" thickBot="1" x14ac:dyDescent="0.25">
      <c r="A958" s="100"/>
      <c r="B958" s="100"/>
      <c r="C958" s="100"/>
      <c r="D958" s="100"/>
      <c r="E958" s="100"/>
      <c r="F958" s="100"/>
      <c r="G958" s="100" t="s">
        <v>1853</v>
      </c>
      <c r="H958" s="107">
        <v>25</v>
      </c>
      <c r="I958" s="100" t="s">
        <v>1852</v>
      </c>
      <c r="J958" s="102">
        <v>1793.5</v>
      </c>
    </row>
    <row r="959" spans="1:10" ht="1.1499999999999999" customHeight="1" thickTop="1" x14ac:dyDescent="0.2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</row>
    <row r="960" spans="1:10" ht="18" customHeight="1" x14ac:dyDescent="0.2">
      <c r="A960" s="117" t="s">
        <v>242</v>
      </c>
      <c r="B960" s="126" t="s">
        <v>5</v>
      </c>
      <c r="C960" s="117" t="s">
        <v>6</v>
      </c>
      <c r="D960" s="117" t="s">
        <v>7</v>
      </c>
      <c r="E960" s="136" t="s">
        <v>1113</v>
      </c>
      <c r="F960" s="136"/>
      <c r="G960" s="7" t="s">
        <v>8</v>
      </c>
      <c r="H960" s="126" t="s">
        <v>9</v>
      </c>
      <c r="I960" s="126" t="s">
        <v>10</v>
      </c>
      <c r="J960" s="126" t="s">
        <v>12</v>
      </c>
    </row>
    <row r="961" spans="1:10" ht="24" customHeight="1" x14ac:dyDescent="0.2">
      <c r="A961" s="116" t="s">
        <v>1861</v>
      </c>
      <c r="B961" s="1" t="s">
        <v>243</v>
      </c>
      <c r="C961" s="116" t="s">
        <v>244</v>
      </c>
      <c r="D961" s="116" t="s">
        <v>245</v>
      </c>
      <c r="E961" s="137" t="s">
        <v>1408</v>
      </c>
      <c r="F961" s="137"/>
      <c r="G961" s="2" t="s">
        <v>246</v>
      </c>
      <c r="H961" s="115">
        <v>1</v>
      </c>
      <c r="I961" s="61">
        <v>61.49</v>
      </c>
      <c r="J961" s="61">
        <v>61.49</v>
      </c>
    </row>
    <row r="962" spans="1:10" ht="24" customHeight="1" x14ac:dyDescent="0.2">
      <c r="A962" s="121" t="s">
        <v>1888</v>
      </c>
      <c r="B962" s="122" t="s">
        <v>1890</v>
      </c>
      <c r="C962" s="121" t="s">
        <v>244</v>
      </c>
      <c r="D962" s="121" t="s">
        <v>1889</v>
      </c>
      <c r="E962" s="138" t="s">
        <v>1885</v>
      </c>
      <c r="F962" s="138"/>
      <c r="G962" s="120" t="s">
        <v>1864</v>
      </c>
      <c r="H962" s="119">
        <v>1</v>
      </c>
      <c r="I962" s="118">
        <v>3.61</v>
      </c>
      <c r="J962" s="118">
        <v>3.61</v>
      </c>
    </row>
    <row r="963" spans="1:10" ht="24" customHeight="1" x14ac:dyDescent="0.2">
      <c r="A963" s="121" t="s">
        <v>1888</v>
      </c>
      <c r="B963" s="122" t="s">
        <v>2503</v>
      </c>
      <c r="C963" s="121" t="s">
        <v>244</v>
      </c>
      <c r="D963" s="121" t="s">
        <v>2502</v>
      </c>
      <c r="E963" s="138" t="s">
        <v>1885</v>
      </c>
      <c r="F963" s="138"/>
      <c r="G963" s="120" t="s">
        <v>1864</v>
      </c>
      <c r="H963" s="119">
        <v>1</v>
      </c>
      <c r="I963" s="118">
        <v>3.47</v>
      </c>
      <c r="J963" s="118">
        <v>3.47</v>
      </c>
    </row>
    <row r="964" spans="1:10" ht="24" customHeight="1" x14ac:dyDescent="0.2">
      <c r="A964" s="113" t="s">
        <v>1859</v>
      </c>
      <c r="B964" s="114" t="s">
        <v>2557</v>
      </c>
      <c r="C964" s="113" t="s">
        <v>244</v>
      </c>
      <c r="D964" s="113" t="s">
        <v>2556</v>
      </c>
      <c r="E964" s="139" t="s">
        <v>1369</v>
      </c>
      <c r="F964" s="139"/>
      <c r="G964" s="112" t="s">
        <v>246</v>
      </c>
      <c r="H964" s="111">
        <v>1</v>
      </c>
      <c r="I964" s="110">
        <v>28.26</v>
      </c>
      <c r="J964" s="110">
        <v>28.26</v>
      </c>
    </row>
    <row r="965" spans="1:10" ht="24" customHeight="1" x14ac:dyDescent="0.2">
      <c r="A965" s="113" t="s">
        <v>1859</v>
      </c>
      <c r="B965" s="114" t="s">
        <v>2500</v>
      </c>
      <c r="C965" s="113" t="s">
        <v>25</v>
      </c>
      <c r="D965" s="113" t="s">
        <v>2441</v>
      </c>
      <c r="E965" s="139" t="s">
        <v>1860</v>
      </c>
      <c r="F965" s="139"/>
      <c r="G965" s="112" t="s">
        <v>61</v>
      </c>
      <c r="H965" s="111">
        <v>1</v>
      </c>
      <c r="I965" s="110">
        <v>15.71</v>
      </c>
      <c r="J965" s="110">
        <v>15.71</v>
      </c>
    </row>
    <row r="966" spans="1:10" ht="24" customHeight="1" x14ac:dyDescent="0.2">
      <c r="A966" s="113" t="s">
        <v>1859</v>
      </c>
      <c r="B966" s="114" t="s">
        <v>1881</v>
      </c>
      <c r="C966" s="113" t="s">
        <v>25</v>
      </c>
      <c r="D966" s="113" t="s">
        <v>1880</v>
      </c>
      <c r="E966" s="139" t="s">
        <v>1860</v>
      </c>
      <c r="F966" s="139"/>
      <c r="G966" s="112" t="s">
        <v>61</v>
      </c>
      <c r="H966" s="111">
        <v>1</v>
      </c>
      <c r="I966" s="110">
        <v>10.44</v>
      </c>
      <c r="J966" s="110">
        <v>10.44</v>
      </c>
    </row>
    <row r="967" spans="1:10" x14ac:dyDescent="0.2">
      <c r="A967" s="109"/>
      <c r="B967" s="109"/>
      <c r="C967" s="109"/>
      <c r="D967" s="109"/>
      <c r="E967" s="109" t="s">
        <v>1858</v>
      </c>
      <c r="F967" s="108">
        <v>26.15</v>
      </c>
      <c r="G967" s="109" t="s">
        <v>1857</v>
      </c>
      <c r="H967" s="108">
        <v>0</v>
      </c>
      <c r="I967" s="109" t="s">
        <v>1856</v>
      </c>
      <c r="J967" s="108">
        <v>26.15</v>
      </c>
    </row>
    <row r="968" spans="1:10" ht="13.9" customHeight="1" x14ac:dyDescent="0.2">
      <c r="A968" s="109"/>
      <c r="B968" s="109"/>
      <c r="C968" s="109"/>
      <c r="D968" s="109"/>
      <c r="E968" s="109" t="s">
        <v>1855</v>
      </c>
      <c r="F968" s="108">
        <v>16.325595</v>
      </c>
      <c r="G968" s="109"/>
      <c r="H968" s="140" t="s">
        <v>1854</v>
      </c>
      <c r="I968" s="140"/>
      <c r="J968" s="108">
        <v>77.819999999999993</v>
      </c>
    </row>
    <row r="969" spans="1:10" ht="30" customHeight="1" thickBot="1" x14ac:dyDescent="0.25">
      <c r="A969" s="100"/>
      <c r="B969" s="100"/>
      <c r="C969" s="100"/>
      <c r="D969" s="100"/>
      <c r="E969" s="100"/>
      <c r="F969" s="100"/>
      <c r="G969" s="100" t="s">
        <v>1853</v>
      </c>
      <c r="H969" s="107">
        <v>9</v>
      </c>
      <c r="I969" s="100" t="s">
        <v>1852</v>
      </c>
      <c r="J969" s="102">
        <v>700.38</v>
      </c>
    </row>
    <row r="970" spans="1:10" ht="1.1499999999999999" customHeight="1" thickTop="1" x14ac:dyDescent="0.2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</row>
    <row r="971" spans="1:10" ht="18" customHeight="1" x14ac:dyDescent="0.2">
      <c r="A971" s="117" t="s">
        <v>247</v>
      </c>
      <c r="B971" s="126" t="s">
        <v>5</v>
      </c>
      <c r="C971" s="117" t="s">
        <v>6</v>
      </c>
      <c r="D971" s="117" t="s">
        <v>7</v>
      </c>
      <c r="E971" s="136" t="s">
        <v>1113</v>
      </c>
      <c r="F971" s="136"/>
      <c r="G971" s="7" t="s">
        <v>8</v>
      </c>
      <c r="H971" s="126" t="s">
        <v>9</v>
      </c>
      <c r="I971" s="126" t="s">
        <v>10</v>
      </c>
      <c r="J971" s="126" t="s">
        <v>12</v>
      </c>
    </row>
    <row r="972" spans="1:10" ht="24" customHeight="1" x14ac:dyDescent="0.2">
      <c r="A972" s="116" t="s">
        <v>1861</v>
      </c>
      <c r="B972" s="1" t="s">
        <v>248</v>
      </c>
      <c r="C972" s="116" t="s">
        <v>249</v>
      </c>
      <c r="D972" s="116" t="s">
        <v>250</v>
      </c>
      <c r="E972" s="137">
        <v>60</v>
      </c>
      <c r="F972" s="137"/>
      <c r="G972" s="2" t="s">
        <v>236</v>
      </c>
      <c r="H972" s="115">
        <v>1</v>
      </c>
      <c r="I972" s="61">
        <v>65.930000000000007</v>
      </c>
      <c r="J972" s="61">
        <v>65.930000000000007</v>
      </c>
    </row>
    <row r="973" spans="1:10" ht="24" customHeight="1" x14ac:dyDescent="0.2">
      <c r="A973" s="121" t="s">
        <v>1888</v>
      </c>
      <c r="B973" s="122" t="s">
        <v>2486</v>
      </c>
      <c r="C973" s="121" t="s">
        <v>25</v>
      </c>
      <c r="D973" s="121" t="s">
        <v>2485</v>
      </c>
      <c r="E973" s="138" t="s">
        <v>1902</v>
      </c>
      <c r="F973" s="138"/>
      <c r="G973" s="120" t="s">
        <v>61</v>
      </c>
      <c r="H973" s="119">
        <v>0.97899999999999998</v>
      </c>
      <c r="I973" s="118">
        <v>16.11</v>
      </c>
      <c r="J973" s="118">
        <v>15.77</v>
      </c>
    </row>
    <row r="974" spans="1:10" ht="24" customHeight="1" x14ac:dyDescent="0.2">
      <c r="A974" s="121" t="s">
        <v>1888</v>
      </c>
      <c r="B974" s="122" t="s">
        <v>2484</v>
      </c>
      <c r="C974" s="121" t="s">
        <v>25</v>
      </c>
      <c r="D974" s="121" t="s">
        <v>2483</v>
      </c>
      <c r="E974" s="138" t="s">
        <v>1902</v>
      </c>
      <c r="F974" s="138"/>
      <c r="G974" s="120" t="s">
        <v>61</v>
      </c>
      <c r="H974" s="119">
        <v>0.97899999999999998</v>
      </c>
      <c r="I974" s="118">
        <v>21.76</v>
      </c>
      <c r="J974" s="118">
        <v>21.3</v>
      </c>
    </row>
    <row r="975" spans="1:10" ht="24" customHeight="1" x14ac:dyDescent="0.2">
      <c r="A975" s="113" t="s">
        <v>1859</v>
      </c>
      <c r="B975" s="114" t="s">
        <v>2554</v>
      </c>
      <c r="C975" s="113" t="s">
        <v>249</v>
      </c>
      <c r="D975" s="113" t="s">
        <v>2553</v>
      </c>
      <c r="E975" s="139" t="s">
        <v>1369</v>
      </c>
      <c r="F975" s="139"/>
      <c r="G975" s="112" t="s">
        <v>92</v>
      </c>
      <c r="H975" s="111">
        <v>0.1</v>
      </c>
      <c r="I975" s="110">
        <v>0.73</v>
      </c>
      <c r="J975" s="110">
        <v>7.0000000000000007E-2</v>
      </c>
    </row>
    <row r="976" spans="1:10" ht="24" customHeight="1" x14ac:dyDescent="0.2">
      <c r="A976" s="113" t="s">
        <v>1859</v>
      </c>
      <c r="B976" s="114" t="s">
        <v>2555</v>
      </c>
      <c r="C976" s="113" t="s">
        <v>249</v>
      </c>
      <c r="D976" s="113" t="s">
        <v>250</v>
      </c>
      <c r="E976" s="139" t="s">
        <v>1369</v>
      </c>
      <c r="F976" s="139"/>
      <c r="G976" s="112" t="s">
        <v>236</v>
      </c>
      <c r="H976" s="111">
        <v>1</v>
      </c>
      <c r="I976" s="110">
        <v>28.79</v>
      </c>
      <c r="J976" s="110">
        <v>28.79</v>
      </c>
    </row>
    <row r="977" spans="1:10" x14ac:dyDescent="0.2">
      <c r="A977" s="109"/>
      <c r="B977" s="109"/>
      <c r="C977" s="109"/>
      <c r="D977" s="109"/>
      <c r="E977" s="109" t="s">
        <v>1858</v>
      </c>
      <c r="F977" s="108">
        <v>26.15</v>
      </c>
      <c r="G977" s="109" t="s">
        <v>1857</v>
      </c>
      <c r="H977" s="108">
        <v>0</v>
      </c>
      <c r="I977" s="109" t="s">
        <v>1856</v>
      </c>
      <c r="J977" s="108">
        <v>26.15</v>
      </c>
    </row>
    <row r="978" spans="1:10" ht="13.9" customHeight="1" x14ac:dyDescent="0.2">
      <c r="A978" s="109"/>
      <c r="B978" s="109"/>
      <c r="C978" s="109"/>
      <c r="D978" s="109"/>
      <c r="E978" s="109" t="s">
        <v>1855</v>
      </c>
      <c r="F978" s="108">
        <v>17.504415000000002</v>
      </c>
      <c r="G978" s="109"/>
      <c r="H978" s="140" t="s">
        <v>1854</v>
      </c>
      <c r="I978" s="140"/>
      <c r="J978" s="108">
        <v>83.43</v>
      </c>
    </row>
    <row r="979" spans="1:10" ht="30" customHeight="1" thickBot="1" x14ac:dyDescent="0.25">
      <c r="A979" s="100"/>
      <c r="B979" s="100"/>
      <c r="C979" s="100"/>
      <c r="D979" s="100"/>
      <c r="E979" s="100"/>
      <c r="F979" s="100"/>
      <c r="G979" s="100" t="s">
        <v>1853</v>
      </c>
      <c r="H979" s="107">
        <v>10</v>
      </c>
      <c r="I979" s="100" t="s">
        <v>1852</v>
      </c>
      <c r="J979" s="102">
        <v>834.3</v>
      </c>
    </row>
    <row r="980" spans="1:10" ht="1.1499999999999999" customHeight="1" thickTop="1" x14ac:dyDescent="0.2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</row>
    <row r="981" spans="1:10" ht="18" customHeight="1" x14ac:dyDescent="0.2">
      <c r="A981" s="117" t="s">
        <v>251</v>
      </c>
      <c r="B981" s="126" t="s">
        <v>5</v>
      </c>
      <c r="C981" s="117" t="s">
        <v>6</v>
      </c>
      <c r="D981" s="117" t="s">
        <v>7</v>
      </c>
      <c r="E981" s="136" t="s">
        <v>1113</v>
      </c>
      <c r="F981" s="136"/>
      <c r="G981" s="7" t="s">
        <v>8</v>
      </c>
      <c r="H981" s="126" t="s">
        <v>9</v>
      </c>
      <c r="I981" s="126" t="s">
        <v>10</v>
      </c>
      <c r="J981" s="126" t="s">
        <v>12</v>
      </c>
    </row>
    <row r="982" spans="1:10" ht="24" customHeight="1" x14ac:dyDescent="0.2">
      <c r="A982" s="116" t="s">
        <v>1861</v>
      </c>
      <c r="B982" s="1" t="s">
        <v>252</v>
      </c>
      <c r="C982" s="116" t="s">
        <v>249</v>
      </c>
      <c r="D982" s="116" t="s">
        <v>253</v>
      </c>
      <c r="E982" s="137">
        <v>60</v>
      </c>
      <c r="F982" s="137"/>
      <c r="G982" s="2" t="s">
        <v>236</v>
      </c>
      <c r="H982" s="115">
        <v>1</v>
      </c>
      <c r="I982" s="61">
        <v>183.13</v>
      </c>
      <c r="J982" s="61">
        <v>183.13</v>
      </c>
    </row>
    <row r="983" spans="1:10" ht="24" customHeight="1" x14ac:dyDescent="0.2">
      <c r="A983" s="121" t="s">
        <v>1888</v>
      </c>
      <c r="B983" s="122" t="s">
        <v>2486</v>
      </c>
      <c r="C983" s="121" t="s">
        <v>25</v>
      </c>
      <c r="D983" s="121" t="s">
        <v>2485</v>
      </c>
      <c r="E983" s="138" t="s">
        <v>1902</v>
      </c>
      <c r="F983" s="138"/>
      <c r="G983" s="120" t="s">
        <v>61</v>
      </c>
      <c r="H983" s="119">
        <v>0.97899999999999998</v>
      </c>
      <c r="I983" s="118">
        <v>16.11</v>
      </c>
      <c r="J983" s="118">
        <v>15.77</v>
      </c>
    </row>
    <row r="984" spans="1:10" ht="24" customHeight="1" x14ac:dyDescent="0.2">
      <c r="A984" s="121" t="s">
        <v>1888</v>
      </c>
      <c r="B984" s="122" t="s">
        <v>2484</v>
      </c>
      <c r="C984" s="121" t="s">
        <v>25</v>
      </c>
      <c r="D984" s="121" t="s">
        <v>2483</v>
      </c>
      <c r="E984" s="138" t="s">
        <v>1902</v>
      </c>
      <c r="F984" s="138"/>
      <c r="G984" s="120" t="s">
        <v>61</v>
      </c>
      <c r="H984" s="119">
        <v>0.97899999999999998</v>
      </c>
      <c r="I984" s="118">
        <v>21.76</v>
      </c>
      <c r="J984" s="118">
        <v>21.3</v>
      </c>
    </row>
    <row r="985" spans="1:10" ht="24" customHeight="1" x14ac:dyDescent="0.2">
      <c r="A985" s="113" t="s">
        <v>1859</v>
      </c>
      <c r="B985" s="114" t="s">
        <v>2554</v>
      </c>
      <c r="C985" s="113" t="s">
        <v>249</v>
      </c>
      <c r="D985" s="113" t="s">
        <v>2553</v>
      </c>
      <c r="E985" s="139" t="s">
        <v>1369</v>
      </c>
      <c r="F985" s="139"/>
      <c r="G985" s="112" t="s">
        <v>92</v>
      </c>
      <c r="H985" s="111">
        <v>0.1</v>
      </c>
      <c r="I985" s="110">
        <v>0.73</v>
      </c>
      <c r="J985" s="110">
        <v>7.0000000000000007E-2</v>
      </c>
    </row>
    <row r="986" spans="1:10" ht="24" customHeight="1" x14ac:dyDescent="0.2">
      <c r="A986" s="113" t="s">
        <v>1859</v>
      </c>
      <c r="B986" s="114" t="s">
        <v>2552</v>
      </c>
      <c r="C986" s="113" t="s">
        <v>249</v>
      </c>
      <c r="D986" s="113" t="s">
        <v>2551</v>
      </c>
      <c r="E986" s="139" t="s">
        <v>1369</v>
      </c>
      <c r="F986" s="139"/>
      <c r="G986" s="112" t="s">
        <v>236</v>
      </c>
      <c r="H986" s="111">
        <v>1</v>
      </c>
      <c r="I986" s="110">
        <v>145.99</v>
      </c>
      <c r="J986" s="110">
        <v>145.99</v>
      </c>
    </row>
    <row r="987" spans="1:10" x14ac:dyDescent="0.2">
      <c r="A987" s="109"/>
      <c r="B987" s="109"/>
      <c r="C987" s="109"/>
      <c r="D987" s="109"/>
      <c r="E987" s="109" t="s">
        <v>1858</v>
      </c>
      <c r="F987" s="108">
        <v>26.15</v>
      </c>
      <c r="G987" s="109" t="s">
        <v>1857</v>
      </c>
      <c r="H987" s="108">
        <v>0</v>
      </c>
      <c r="I987" s="109" t="s">
        <v>1856</v>
      </c>
      <c r="J987" s="108">
        <v>26.15</v>
      </c>
    </row>
    <row r="988" spans="1:10" ht="13.9" customHeight="1" x14ac:dyDescent="0.2">
      <c r="A988" s="109"/>
      <c r="B988" s="109"/>
      <c r="C988" s="109"/>
      <c r="D988" s="109"/>
      <c r="E988" s="109" t="s">
        <v>1855</v>
      </c>
      <c r="F988" s="108">
        <v>48.621015</v>
      </c>
      <c r="G988" s="109"/>
      <c r="H988" s="140" t="s">
        <v>1854</v>
      </c>
      <c r="I988" s="140"/>
      <c r="J988" s="108">
        <v>231.75</v>
      </c>
    </row>
    <row r="989" spans="1:10" ht="30" customHeight="1" thickBot="1" x14ac:dyDescent="0.25">
      <c r="A989" s="100"/>
      <c r="B989" s="100"/>
      <c r="C989" s="100"/>
      <c r="D989" s="100"/>
      <c r="E989" s="100"/>
      <c r="F989" s="100"/>
      <c r="G989" s="100" t="s">
        <v>1853</v>
      </c>
      <c r="H989" s="107">
        <v>33</v>
      </c>
      <c r="I989" s="100" t="s">
        <v>1852</v>
      </c>
      <c r="J989" s="102">
        <v>7647.75</v>
      </c>
    </row>
    <row r="990" spans="1:10" ht="1.1499999999999999" customHeight="1" thickTop="1" x14ac:dyDescent="0.2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</row>
    <row r="991" spans="1:10" ht="18" customHeight="1" x14ac:dyDescent="0.2">
      <c r="A991" s="117" t="s">
        <v>254</v>
      </c>
      <c r="B991" s="126" t="s">
        <v>5</v>
      </c>
      <c r="C991" s="117" t="s">
        <v>6</v>
      </c>
      <c r="D991" s="117" t="s">
        <v>7</v>
      </c>
      <c r="E991" s="136" t="s">
        <v>1113</v>
      </c>
      <c r="F991" s="136"/>
      <c r="G991" s="7" t="s">
        <v>8</v>
      </c>
      <c r="H991" s="126" t="s">
        <v>9</v>
      </c>
      <c r="I991" s="126" t="s">
        <v>10</v>
      </c>
      <c r="J991" s="126" t="s">
        <v>12</v>
      </c>
    </row>
    <row r="992" spans="1:10" ht="24" customHeight="1" x14ac:dyDescent="0.2">
      <c r="A992" s="116" t="s">
        <v>1861</v>
      </c>
      <c r="B992" s="1" t="s">
        <v>252</v>
      </c>
      <c r="C992" s="116" t="s">
        <v>249</v>
      </c>
      <c r="D992" s="116" t="s">
        <v>255</v>
      </c>
      <c r="E992" s="137">
        <v>60</v>
      </c>
      <c r="F992" s="137"/>
      <c r="G992" s="2" t="s">
        <v>236</v>
      </c>
      <c r="H992" s="115">
        <v>1</v>
      </c>
      <c r="I992" s="61">
        <v>183.13</v>
      </c>
      <c r="J992" s="61">
        <v>183.13</v>
      </c>
    </row>
    <row r="993" spans="1:10" ht="24" customHeight="1" x14ac:dyDescent="0.2">
      <c r="A993" s="121" t="s">
        <v>1888</v>
      </c>
      <c r="B993" s="122" t="s">
        <v>2486</v>
      </c>
      <c r="C993" s="121" t="s">
        <v>25</v>
      </c>
      <c r="D993" s="121" t="s">
        <v>2485</v>
      </c>
      <c r="E993" s="138" t="s">
        <v>1902</v>
      </c>
      <c r="F993" s="138"/>
      <c r="G993" s="120" t="s">
        <v>61</v>
      </c>
      <c r="H993" s="119">
        <v>0.97899999999999998</v>
      </c>
      <c r="I993" s="118">
        <v>16.11</v>
      </c>
      <c r="J993" s="118">
        <v>15.77</v>
      </c>
    </row>
    <row r="994" spans="1:10" ht="24" customHeight="1" x14ac:dyDescent="0.2">
      <c r="A994" s="121" t="s">
        <v>1888</v>
      </c>
      <c r="B994" s="122" t="s">
        <v>2484</v>
      </c>
      <c r="C994" s="121" t="s">
        <v>25</v>
      </c>
      <c r="D994" s="121" t="s">
        <v>2483</v>
      </c>
      <c r="E994" s="138" t="s">
        <v>1902</v>
      </c>
      <c r="F994" s="138"/>
      <c r="G994" s="120" t="s">
        <v>61</v>
      </c>
      <c r="H994" s="119">
        <v>0.97899999999999998</v>
      </c>
      <c r="I994" s="118">
        <v>21.76</v>
      </c>
      <c r="J994" s="118">
        <v>21.3</v>
      </c>
    </row>
    <row r="995" spans="1:10" ht="24" customHeight="1" x14ac:dyDescent="0.2">
      <c r="A995" s="113" t="s">
        <v>1859</v>
      </c>
      <c r="B995" s="114" t="s">
        <v>2554</v>
      </c>
      <c r="C995" s="113" t="s">
        <v>249</v>
      </c>
      <c r="D995" s="113" t="s">
        <v>2553</v>
      </c>
      <c r="E995" s="139" t="s">
        <v>1369</v>
      </c>
      <c r="F995" s="139"/>
      <c r="G995" s="112" t="s">
        <v>92</v>
      </c>
      <c r="H995" s="111">
        <v>0.1</v>
      </c>
      <c r="I995" s="110">
        <v>0.73</v>
      </c>
      <c r="J995" s="110">
        <v>7.0000000000000007E-2</v>
      </c>
    </row>
    <row r="996" spans="1:10" ht="24" customHeight="1" x14ac:dyDescent="0.2">
      <c r="A996" s="113" t="s">
        <v>1859</v>
      </c>
      <c r="B996" s="114" t="s">
        <v>2552</v>
      </c>
      <c r="C996" s="113" t="s">
        <v>249</v>
      </c>
      <c r="D996" s="113" t="s">
        <v>2551</v>
      </c>
      <c r="E996" s="139" t="s">
        <v>1369</v>
      </c>
      <c r="F996" s="139"/>
      <c r="G996" s="112" t="s">
        <v>236</v>
      </c>
      <c r="H996" s="111">
        <v>1</v>
      </c>
      <c r="I996" s="110">
        <v>145.99</v>
      </c>
      <c r="J996" s="110">
        <v>145.99</v>
      </c>
    </row>
    <row r="997" spans="1:10" x14ac:dyDescent="0.2">
      <c r="A997" s="109"/>
      <c r="B997" s="109"/>
      <c r="C997" s="109"/>
      <c r="D997" s="109"/>
      <c r="E997" s="109" t="s">
        <v>1858</v>
      </c>
      <c r="F997" s="108">
        <v>26.15</v>
      </c>
      <c r="G997" s="109" t="s">
        <v>1857</v>
      </c>
      <c r="H997" s="108">
        <v>0</v>
      </c>
      <c r="I997" s="109" t="s">
        <v>1856</v>
      </c>
      <c r="J997" s="108">
        <v>26.15</v>
      </c>
    </row>
    <row r="998" spans="1:10" ht="13.9" customHeight="1" x14ac:dyDescent="0.2">
      <c r="A998" s="109"/>
      <c r="B998" s="109"/>
      <c r="C998" s="109"/>
      <c r="D998" s="109"/>
      <c r="E998" s="109" t="s">
        <v>1855</v>
      </c>
      <c r="F998" s="108">
        <v>48.621015</v>
      </c>
      <c r="G998" s="109"/>
      <c r="H998" s="140" t="s">
        <v>1854</v>
      </c>
      <c r="I998" s="140"/>
      <c r="J998" s="108">
        <v>231.75</v>
      </c>
    </row>
    <row r="999" spans="1:10" ht="30" customHeight="1" thickBot="1" x14ac:dyDescent="0.25">
      <c r="A999" s="100"/>
      <c r="B999" s="100"/>
      <c r="C999" s="100"/>
      <c r="D999" s="100"/>
      <c r="E999" s="100"/>
      <c r="F999" s="100"/>
      <c r="G999" s="100" t="s">
        <v>1853</v>
      </c>
      <c r="H999" s="107">
        <v>3</v>
      </c>
      <c r="I999" s="100" t="s">
        <v>1852</v>
      </c>
      <c r="J999" s="102">
        <v>695.25</v>
      </c>
    </row>
    <row r="1000" spans="1:10" ht="1.1499999999999999" customHeight="1" thickTop="1" x14ac:dyDescent="0.2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</row>
    <row r="1001" spans="1:10" ht="18" customHeight="1" x14ac:dyDescent="0.2">
      <c r="A1001" s="117" t="s">
        <v>256</v>
      </c>
      <c r="B1001" s="126" t="s">
        <v>5</v>
      </c>
      <c r="C1001" s="117" t="s">
        <v>6</v>
      </c>
      <c r="D1001" s="117" t="s">
        <v>7</v>
      </c>
      <c r="E1001" s="136" t="s">
        <v>1113</v>
      </c>
      <c r="F1001" s="136"/>
      <c r="G1001" s="7" t="s">
        <v>8</v>
      </c>
      <c r="H1001" s="126" t="s">
        <v>9</v>
      </c>
      <c r="I1001" s="126" t="s">
        <v>10</v>
      </c>
      <c r="J1001" s="126" t="s">
        <v>12</v>
      </c>
    </row>
    <row r="1002" spans="1:10" ht="24" customHeight="1" x14ac:dyDescent="0.2">
      <c r="A1002" s="116" t="s">
        <v>1861</v>
      </c>
      <c r="B1002" s="1" t="s">
        <v>257</v>
      </c>
      <c r="C1002" s="116" t="s">
        <v>20</v>
      </c>
      <c r="D1002" s="116" t="s">
        <v>258</v>
      </c>
      <c r="E1002" s="137">
        <v>7</v>
      </c>
      <c r="F1002" s="137"/>
      <c r="G1002" s="2" t="s">
        <v>246</v>
      </c>
      <c r="H1002" s="115">
        <v>1</v>
      </c>
      <c r="I1002" s="61">
        <v>24.42</v>
      </c>
      <c r="J1002" s="61">
        <v>24.42</v>
      </c>
    </row>
    <row r="1003" spans="1:10" ht="24" customHeight="1" x14ac:dyDescent="0.2">
      <c r="A1003" s="113" t="s">
        <v>1859</v>
      </c>
      <c r="B1003" s="114" t="s">
        <v>2550</v>
      </c>
      <c r="C1003" s="113" t="s">
        <v>20</v>
      </c>
      <c r="D1003" s="113" t="s">
        <v>258</v>
      </c>
      <c r="E1003" s="139" t="s">
        <v>1369</v>
      </c>
      <c r="F1003" s="139"/>
      <c r="G1003" s="112" t="s">
        <v>246</v>
      </c>
      <c r="H1003" s="111">
        <v>1</v>
      </c>
      <c r="I1003" s="110">
        <v>19.989999999999998</v>
      </c>
      <c r="J1003" s="110">
        <v>19.989999999999998</v>
      </c>
    </row>
    <row r="1004" spans="1:10" ht="24" customHeight="1" x14ac:dyDescent="0.2">
      <c r="A1004" s="113" t="s">
        <v>1859</v>
      </c>
      <c r="B1004" s="114" t="s">
        <v>1951</v>
      </c>
      <c r="C1004" s="113" t="s">
        <v>20</v>
      </c>
      <c r="D1004" s="113" t="s">
        <v>1950</v>
      </c>
      <c r="E1004" s="139" t="s">
        <v>1860</v>
      </c>
      <c r="F1004" s="139"/>
      <c r="G1004" s="112" t="s">
        <v>1864</v>
      </c>
      <c r="H1004" s="111">
        <v>0.16669999999999999</v>
      </c>
      <c r="I1004" s="110">
        <v>10.62</v>
      </c>
      <c r="J1004" s="110">
        <v>1.77</v>
      </c>
    </row>
    <row r="1005" spans="1:10" ht="24" customHeight="1" x14ac:dyDescent="0.2">
      <c r="A1005" s="113" t="s">
        <v>1859</v>
      </c>
      <c r="B1005" s="114" t="s">
        <v>2442</v>
      </c>
      <c r="C1005" s="113" t="s">
        <v>20</v>
      </c>
      <c r="D1005" s="113" t="s">
        <v>2441</v>
      </c>
      <c r="E1005" s="139" t="s">
        <v>1860</v>
      </c>
      <c r="F1005" s="139"/>
      <c r="G1005" s="112" t="s">
        <v>1864</v>
      </c>
      <c r="H1005" s="111">
        <v>0.16669999999999999</v>
      </c>
      <c r="I1005" s="110">
        <v>15.97</v>
      </c>
      <c r="J1005" s="110">
        <v>2.66</v>
      </c>
    </row>
    <row r="1006" spans="1:10" x14ac:dyDescent="0.2">
      <c r="A1006" s="109"/>
      <c r="B1006" s="109"/>
      <c r="C1006" s="109"/>
      <c r="D1006" s="109"/>
      <c r="E1006" s="109" t="s">
        <v>1858</v>
      </c>
      <c r="F1006" s="108">
        <v>4.43</v>
      </c>
      <c r="G1006" s="109" t="s">
        <v>1857</v>
      </c>
      <c r="H1006" s="108">
        <v>0</v>
      </c>
      <c r="I1006" s="109" t="s">
        <v>1856</v>
      </c>
      <c r="J1006" s="108">
        <v>4.43</v>
      </c>
    </row>
    <row r="1007" spans="1:10" ht="13.9" customHeight="1" x14ac:dyDescent="0.2">
      <c r="A1007" s="109"/>
      <c r="B1007" s="109"/>
      <c r="C1007" s="109"/>
      <c r="D1007" s="109"/>
      <c r="E1007" s="109" t="s">
        <v>1855</v>
      </c>
      <c r="F1007" s="108">
        <v>6.4835099999999999</v>
      </c>
      <c r="G1007" s="109"/>
      <c r="H1007" s="140" t="s">
        <v>1854</v>
      </c>
      <c r="I1007" s="140"/>
      <c r="J1007" s="108">
        <v>30.9</v>
      </c>
    </row>
    <row r="1008" spans="1:10" ht="30" customHeight="1" thickBot="1" x14ac:dyDescent="0.25">
      <c r="A1008" s="100"/>
      <c r="B1008" s="100"/>
      <c r="C1008" s="100"/>
      <c r="D1008" s="100"/>
      <c r="E1008" s="100"/>
      <c r="F1008" s="100"/>
      <c r="G1008" s="100" t="s">
        <v>1853</v>
      </c>
      <c r="H1008" s="107">
        <v>26</v>
      </c>
      <c r="I1008" s="100" t="s">
        <v>1852</v>
      </c>
      <c r="J1008" s="102">
        <v>803.4</v>
      </c>
    </row>
    <row r="1009" spans="1:10" ht="1.1499999999999999" customHeight="1" thickTop="1" x14ac:dyDescent="0.2">
      <c r="A1009" s="106"/>
      <c r="B1009" s="106"/>
      <c r="C1009" s="106"/>
      <c r="D1009" s="106"/>
      <c r="E1009" s="106"/>
      <c r="F1009" s="106"/>
      <c r="G1009" s="106"/>
      <c r="H1009" s="106"/>
      <c r="I1009" s="106"/>
      <c r="J1009" s="106"/>
    </row>
    <row r="1010" spans="1:10" ht="18" customHeight="1" x14ac:dyDescent="0.2">
      <c r="A1010" s="117" t="s">
        <v>259</v>
      </c>
      <c r="B1010" s="126" t="s">
        <v>5</v>
      </c>
      <c r="C1010" s="117" t="s">
        <v>6</v>
      </c>
      <c r="D1010" s="117" t="s">
        <v>7</v>
      </c>
      <c r="E1010" s="136" t="s">
        <v>1113</v>
      </c>
      <c r="F1010" s="136"/>
      <c r="G1010" s="7" t="s">
        <v>8</v>
      </c>
      <c r="H1010" s="126" t="s">
        <v>9</v>
      </c>
      <c r="I1010" s="126" t="s">
        <v>10</v>
      </c>
      <c r="J1010" s="126" t="s">
        <v>12</v>
      </c>
    </row>
    <row r="1011" spans="1:10" ht="36" customHeight="1" x14ac:dyDescent="0.2">
      <c r="A1011" s="116" t="s">
        <v>1861</v>
      </c>
      <c r="B1011" s="1" t="s">
        <v>260</v>
      </c>
      <c r="C1011" s="116" t="s">
        <v>244</v>
      </c>
      <c r="D1011" s="116" t="s">
        <v>261</v>
      </c>
      <c r="E1011" s="137" t="s">
        <v>1392</v>
      </c>
      <c r="F1011" s="137"/>
      <c r="G1011" s="2" t="s">
        <v>246</v>
      </c>
      <c r="H1011" s="115">
        <v>1</v>
      </c>
      <c r="I1011" s="61">
        <v>85.17</v>
      </c>
      <c r="J1011" s="61">
        <v>85.17</v>
      </c>
    </row>
    <row r="1012" spans="1:10" ht="24" customHeight="1" x14ac:dyDescent="0.2">
      <c r="A1012" s="121" t="s">
        <v>1888</v>
      </c>
      <c r="B1012" s="122" t="s">
        <v>1890</v>
      </c>
      <c r="C1012" s="121" t="s">
        <v>244</v>
      </c>
      <c r="D1012" s="121" t="s">
        <v>1889</v>
      </c>
      <c r="E1012" s="138" t="s">
        <v>1885</v>
      </c>
      <c r="F1012" s="138"/>
      <c r="G1012" s="120" t="s">
        <v>1864</v>
      </c>
      <c r="H1012" s="119">
        <v>0.3</v>
      </c>
      <c r="I1012" s="118">
        <v>3.61</v>
      </c>
      <c r="J1012" s="118">
        <v>1.08</v>
      </c>
    </row>
    <row r="1013" spans="1:10" ht="24" customHeight="1" x14ac:dyDescent="0.2">
      <c r="A1013" s="121" t="s">
        <v>1888</v>
      </c>
      <c r="B1013" s="122" t="s">
        <v>2503</v>
      </c>
      <c r="C1013" s="121" t="s">
        <v>244</v>
      </c>
      <c r="D1013" s="121" t="s">
        <v>2502</v>
      </c>
      <c r="E1013" s="138" t="s">
        <v>1885</v>
      </c>
      <c r="F1013" s="138"/>
      <c r="G1013" s="120" t="s">
        <v>1864</v>
      </c>
      <c r="H1013" s="119">
        <v>0.5</v>
      </c>
      <c r="I1013" s="118">
        <v>3.47</v>
      </c>
      <c r="J1013" s="118">
        <v>1.74</v>
      </c>
    </row>
    <row r="1014" spans="1:10" ht="24" customHeight="1" x14ac:dyDescent="0.2">
      <c r="A1014" s="113" t="s">
        <v>1859</v>
      </c>
      <c r="B1014" s="114" t="s">
        <v>2549</v>
      </c>
      <c r="C1014" s="113" t="s">
        <v>244</v>
      </c>
      <c r="D1014" s="113" t="s">
        <v>2548</v>
      </c>
      <c r="E1014" s="139" t="s">
        <v>1369</v>
      </c>
      <c r="F1014" s="139"/>
      <c r="G1014" s="112" t="s">
        <v>246</v>
      </c>
      <c r="H1014" s="111">
        <v>2</v>
      </c>
      <c r="I1014" s="110">
        <v>0.73</v>
      </c>
      <c r="J1014" s="110">
        <v>1.46</v>
      </c>
    </row>
    <row r="1015" spans="1:10" ht="36" customHeight="1" x14ac:dyDescent="0.2">
      <c r="A1015" s="113" t="s">
        <v>1859</v>
      </c>
      <c r="B1015" s="114" t="s">
        <v>2547</v>
      </c>
      <c r="C1015" s="113" t="s">
        <v>244</v>
      </c>
      <c r="D1015" s="113" t="s">
        <v>261</v>
      </c>
      <c r="E1015" s="139" t="s">
        <v>1369</v>
      </c>
      <c r="F1015" s="139"/>
      <c r="G1015" s="112" t="s">
        <v>246</v>
      </c>
      <c r="H1015" s="111">
        <v>1</v>
      </c>
      <c r="I1015" s="110">
        <v>69.900000000000006</v>
      </c>
      <c r="J1015" s="110">
        <v>69.900000000000006</v>
      </c>
    </row>
    <row r="1016" spans="1:10" ht="24" customHeight="1" x14ac:dyDescent="0.2">
      <c r="A1016" s="113" t="s">
        <v>1859</v>
      </c>
      <c r="B1016" s="114" t="s">
        <v>2500</v>
      </c>
      <c r="C1016" s="113" t="s">
        <v>25</v>
      </c>
      <c r="D1016" s="113" t="s">
        <v>2441</v>
      </c>
      <c r="E1016" s="139" t="s">
        <v>1860</v>
      </c>
      <c r="F1016" s="139"/>
      <c r="G1016" s="112" t="s">
        <v>61</v>
      </c>
      <c r="H1016" s="111">
        <v>0.5</v>
      </c>
      <c r="I1016" s="110">
        <v>15.71</v>
      </c>
      <c r="J1016" s="110">
        <v>7.86</v>
      </c>
    </row>
    <row r="1017" spans="1:10" ht="24" customHeight="1" x14ac:dyDescent="0.2">
      <c r="A1017" s="113" t="s">
        <v>1859</v>
      </c>
      <c r="B1017" s="114" t="s">
        <v>1881</v>
      </c>
      <c r="C1017" s="113" t="s">
        <v>25</v>
      </c>
      <c r="D1017" s="113" t="s">
        <v>1880</v>
      </c>
      <c r="E1017" s="139" t="s">
        <v>1860</v>
      </c>
      <c r="F1017" s="139"/>
      <c r="G1017" s="112" t="s">
        <v>61</v>
      </c>
      <c r="H1017" s="111">
        <v>0.3</v>
      </c>
      <c r="I1017" s="110">
        <v>10.44</v>
      </c>
      <c r="J1017" s="110">
        <v>3.13</v>
      </c>
    </row>
    <row r="1018" spans="1:10" x14ac:dyDescent="0.2">
      <c r="A1018" s="109"/>
      <c r="B1018" s="109"/>
      <c r="C1018" s="109"/>
      <c r="D1018" s="109"/>
      <c r="E1018" s="109" t="s">
        <v>1858</v>
      </c>
      <c r="F1018" s="108">
        <v>10.99</v>
      </c>
      <c r="G1018" s="109" t="s">
        <v>1857</v>
      </c>
      <c r="H1018" s="108">
        <v>0</v>
      </c>
      <c r="I1018" s="109" t="s">
        <v>1856</v>
      </c>
      <c r="J1018" s="108">
        <v>10.99</v>
      </c>
    </row>
    <row r="1019" spans="1:10" ht="13.9" customHeight="1" x14ac:dyDescent="0.2">
      <c r="A1019" s="109"/>
      <c r="B1019" s="109"/>
      <c r="C1019" s="109"/>
      <c r="D1019" s="109"/>
      <c r="E1019" s="109" t="s">
        <v>1855</v>
      </c>
      <c r="F1019" s="108">
        <v>22.612635000000001</v>
      </c>
      <c r="G1019" s="109"/>
      <c r="H1019" s="140" t="s">
        <v>1854</v>
      </c>
      <c r="I1019" s="140"/>
      <c r="J1019" s="108">
        <v>107.78</v>
      </c>
    </row>
    <row r="1020" spans="1:10" ht="30" customHeight="1" thickBot="1" x14ac:dyDescent="0.25">
      <c r="A1020" s="100"/>
      <c r="B1020" s="100"/>
      <c r="C1020" s="100"/>
      <c r="D1020" s="100"/>
      <c r="E1020" s="100"/>
      <c r="F1020" s="100"/>
      <c r="G1020" s="100" t="s">
        <v>1853</v>
      </c>
      <c r="H1020" s="107">
        <v>3</v>
      </c>
      <c r="I1020" s="100" t="s">
        <v>1852</v>
      </c>
      <c r="J1020" s="102">
        <v>323.33999999999997</v>
      </c>
    </row>
    <row r="1021" spans="1:10" ht="1.1499999999999999" customHeight="1" thickTop="1" x14ac:dyDescent="0.2">
      <c r="A1021" s="106"/>
      <c r="B1021" s="106"/>
      <c r="C1021" s="106"/>
      <c r="D1021" s="106"/>
      <c r="E1021" s="106"/>
      <c r="F1021" s="106"/>
      <c r="G1021" s="106"/>
      <c r="H1021" s="106"/>
      <c r="I1021" s="106"/>
      <c r="J1021" s="106"/>
    </row>
    <row r="1022" spans="1:10" ht="18" customHeight="1" x14ac:dyDescent="0.2">
      <c r="A1022" s="117" t="s">
        <v>262</v>
      </c>
      <c r="B1022" s="126" t="s">
        <v>5</v>
      </c>
      <c r="C1022" s="117" t="s">
        <v>6</v>
      </c>
      <c r="D1022" s="117" t="s">
        <v>7</v>
      </c>
      <c r="E1022" s="136" t="s">
        <v>1113</v>
      </c>
      <c r="F1022" s="136"/>
      <c r="G1022" s="7" t="s">
        <v>8</v>
      </c>
      <c r="H1022" s="126" t="s">
        <v>9</v>
      </c>
      <c r="I1022" s="126" t="s">
        <v>10</v>
      </c>
      <c r="J1022" s="126" t="s">
        <v>12</v>
      </c>
    </row>
    <row r="1023" spans="1:10" ht="36" customHeight="1" x14ac:dyDescent="0.2">
      <c r="A1023" s="116" t="s">
        <v>1861</v>
      </c>
      <c r="B1023" s="1" t="s">
        <v>263</v>
      </c>
      <c r="C1023" s="116" t="s">
        <v>25</v>
      </c>
      <c r="D1023" s="116" t="s">
        <v>264</v>
      </c>
      <c r="E1023" s="137" t="s">
        <v>1362</v>
      </c>
      <c r="F1023" s="137"/>
      <c r="G1023" s="2" t="s">
        <v>236</v>
      </c>
      <c r="H1023" s="115">
        <v>1</v>
      </c>
      <c r="I1023" s="61">
        <v>19.32</v>
      </c>
      <c r="J1023" s="61">
        <v>19.32</v>
      </c>
    </row>
    <row r="1024" spans="1:10" ht="36" customHeight="1" x14ac:dyDescent="0.2">
      <c r="A1024" s="121" t="s">
        <v>1888</v>
      </c>
      <c r="B1024" s="122" t="s">
        <v>2546</v>
      </c>
      <c r="C1024" s="121" t="s">
        <v>25</v>
      </c>
      <c r="D1024" s="121" t="s">
        <v>2545</v>
      </c>
      <c r="E1024" s="138" t="s">
        <v>1362</v>
      </c>
      <c r="F1024" s="138"/>
      <c r="G1024" s="120" t="s">
        <v>236</v>
      </c>
      <c r="H1024" s="119">
        <v>1</v>
      </c>
      <c r="I1024" s="118">
        <v>13.45</v>
      </c>
      <c r="J1024" s="118">
        <v>13.45</v>
      </c>
    </row>
    <row r="1025" spans="1:10" ht="36" customHeight="1" x14ac:dyDescent="0.2">
      <c r="A1025" s="121" t="s">
        <v>1888</v>
      </c>
      <c r="B1025" s="122" t="s">
        <v>2538</v>
      </c>
      <c r="C1025" s="121" t="s">
        <v>25</v>
      </c>
      <c r="D1025" s="121" t="s">
        <v>2537</v>
      </c>
      <c r="E1025" s="138" t="s">
        <v>1362</v>
      </c>
      <c r="F1025" s="138"/>
      <c r="G1025" s="120" t="s">
        <v>236</v>
      </c>
      <c r="H1025" s="119">
        <v>1</v>
      </c>
      <c r="I1025" s="118">
        <v>5.87</v>
      </c>
      <c r="J1025" s="118">
        <v>5.87</v>
      </c>
    </row>
    <row r="1026" spans="1:10" x14ac:dyDescent="0.2">
      <c r="A1026" s="109"/>
      <c r="B1026" s="109"/>
      <c r="C1026" s="109"/>
      <c r="D1026" s="109"/>
      <c r="E1026" s="109" t="s">
        <v>1858</v>
      </c>
      <c r="F1026" s="108">
        <v>8.02</v>
      </c>
      <c r="G1026" s="109" t="s">
        <v>1857</v>
      </c>
      <c r="H1026" s="108">
        <v>0</v>
      </c>
      <c r="I1026" s="109" t="s">
        <v>1856</v>
      </c>
      <c r="J1026" s="108">
        <v>8.02</v>
      </c>
    </row>
    <row r="1027" spans="1:10" ht="13.9" customHeight="1" x14ac:dyDescent="0.2">
      <c r="A1027" s="109"/>
      <c r="B1027" s="109"/>
      <c r="C1027" s="109"/>
      <c r="D1027" s="109"/>
      <c r="E1027" s="109" t="s">
        <v>1855</v>
      </c>
      <c r="F1027" s="108">
        <v>5.1294599999999999</v>
      </c>
      <c r="G1027" s="109"/>
      <c r="H1027" s="140" t="s">
        <v>1854</v>
      </c>
      <c r="I1027" s="140"/>
      <c r="J1027" s="108">
        <v>24.45</v>
      </c>
    </row>
    <row r="1028" spans="1:10" ht="30" customHeight="1" thickBot="1" x14ac:dyDescent="0.25">
      <c r="A1028" s="100"/>
      <c r="B1028" s="100"/>
      <c r="C1028" s="100"/>
      <c r="D1028" s="100"/>
      <c r="E1028" s="100"/>
      <c r="F1028" s="100"/>
      <c r="G1028" s="100" t="s">
        <v>1853</v>
      </c>
      <c r="H1028" s="107">
        <v>38</v>
      </c>
      <c r="I1028" s="100" t="s">
        <v>1852</v>
      </c>
      <c r="J1028" s="102">
        <v>929.1</v>
      </c>
    </row>
    <row r="1029" spans="1:10" ht="1.1499999999999999" customHeight="1" thickTop="1" x14ac:dyDescent="0.2">
      <c r="A1029" s="106"/>
      <c r="B1029" s="106"/>
      <c r="C1029" s="106"/>
      <c r="D1029" s="106"/>
      <c r="E1029" s="106"/>
      <c r="F1029" s="106"/>
      <c r="G1029" s="106"/>
      <c r="H1029" s="106"/>
      <c r="I1029" s="106"/>
      <c r="J1029" s="106"/>
    </row>
    <row r="1030" spans="1:10" ht="18" customHeight="1" x14ac:dyDescent="0.2">
      <c r="A1030" s="117" t="s">
        <v>265</v>
      </c>
      <c r="B1030" s="126" t="s">
        <v>5</v>
      </c>
      <c r="C1030" s="117" t="s">
        <v>6</v>
      </c>
      <c r="D1030" s="117" t="s">
        <v>7</v>
      </c>
      <c r="E1030" s="136" t="s">
        <v>1113</v>
      </c>
      <c r="F1030" s="136"/>
      <c r="G1030" s="7" t="s">
        <v>8</v>
      </c>
      <c r="H1030" s="126" t="s">
        <v>9</v>
      </c>
      <c r="I1030" s="126" t="s">
        <v>10</v>
      </c>
      <c r="J1030" s="126" t="s">
        <v>12</v>
      </c>
    </row>
    <row r="1031" spans="1:10" ht="36" customHeight="1" x14ac:dyDescent="0.2">
      <c r="A1031" s="116" t="s">
        <v>1861</v>
      </c>
      <c r="B1031" s="1" t="s">
        <v>266</v>
      </c>
      <c r="C1031" s="116" t="s">
        <v>25</v>
      </c>
      <c r="D1031" s="116" t="s">
        <v>267</v>
      </c>
      <c r="E1031" s="137" t="s">
        <v>1362</v>
      </c>
      <c r="F1031" s="137"/>
      <c r="G1031" s="2" t="s">
        <v>236</v>
      </c>
      <c r="H1031" s="115">
        <v>1</v>
      </c>
      <c r="I1031" s="61">
        <v>30.5</v>
      </c>
      <c r="J1031" s="61">
        <v>30.5</v>
      </c>
    </row>
    <row r="1032" spans="1:10" ht="36" customHeight="1" x14ac:dyDescent="0.2">
      <c r="A1032" s="121" t="s">
        <v>1888</v>
      </c>
      <c r="B1032" s="122" t="s">
        <v>2544</v>
      </c>
      <c r="C1032" s="121" t="s">
        <v>25</v>
      </c>
      <c r="D1032" s="121" t="s">
        <v>2543</v>
      </c>
      <c r="E1032" s="138" t="s">
        <v>1362</v>
      </c>
      <c r="F1032" s="138"/>
      <c r="G1032" s="120" t="s">
        <v>236</v>
      </c>
      <c r="H1032" s="119">
        <v>1</v>
      </c>
      <c r="I1032" s="118">
        <v>24.63</v>
      </c>
      <c r="J1032" s="118">
        <v>24.63</v>
      </c>
    </row>
    <row r="1033" spans="1:10" ht="36" customHeight="1" x14ac:dyDescent="0.2">
      <c r="A1033" s="121" t="s">
        <v>1888</v>
      </c>
      <c r="B1033" s="122" t="s">
        <v>2538</v>
      </c>
      <c r="C1033" s="121" t="s">
        <v>25</v>
      </c>
      <c r="D1033" s="121" t="s">
        <v>2537</v>
      </c>
      <c r="E1033" s="138" t="s">
        <v>1362</v>
      </c>
      <c r="F1033" s="138"/>
      <c r="G1033" s="120" t="s">
        <v>236</v>
      </c>
      <c r="H1033" s="119">
        <v>1</v>
      </c>
      <c r="I1033" s="118">
        <v>5.87</v>
      </c>
      <c r="J1033" s="118">
        <v>5.87</v>
      </c>
    </row>
    <row r="1034" spans="1:10" x14ac:dyDescent="0.2">
      <c r="A1034" s="109"/>
      <c r="B1034" s="109"/>
      <c r="C1034" s="109"/>
      <c r="D1034" s="109"/>
      <c r="E1034" s="109" t="s">
        <v>1858</v>
      </c>
      <c r="F1034" s="108">
        <v>12.42</v>
      </c>
      <c r="G1034" s="109" t="s">
        <v>1857</v>
      </c>
      <c r="H1034" s="108">
        <v>0.01</v>
      </c>
      <c r="I1034" s="109" t="s">
        <v>1856</v>
      </c>
      <c r="J1034" s="108">
        <v>12.43</v>
      </c>
    </row>
    <row r="1035" spans="1:10" ht="13.9" customHeight="1" x14ac:dyDescent="0.2">
      <c r="A1035" s="109"/>
      <c r="B1035" s="109"/>
      <c r="C1035" s="109"/>
      <c r="D1035" s="109"/>
      <c r="E1035" s="109" t="s">
        <v>1855</v>
      </c>
      <c r="F1035" s="108">
        <v>8.0977499999999996</v>
      </c>
      <c r="G1035" s="109"/>
      <c r="H1035" s="140" t="s">
        <v>1854</v>
      </c>
      <c r="I1035" s="140"/>
      <c r="J1035" s="108">
        <v>38.6</v>
      </c>
    </row>
    <row r="1036" spans="1:10" ht="30" customHeight="1" thickBot="1" x14ac:dyDescent="0.25">
      <c r="A1036" s="100"/>
      <c r="B1036" s="100"/>
      <c r="C1036" s="100"/>
      <c r="D1036" s="100"/>
      <c r="E1036" s="100"/>
      <c r="F1036" s="100"/>
      <c r="G1036" s="100" t="s">
        <v>1853</v>
      </c>
      <c r="H1036" s="107">
        <v>4</v>
      </c>
      <c r="I1036" s="100" t="s">
        <v>1852</v>
      </c>
      <c r="J1036" s="102">
        <v>154.4</v>
      </c>
    </row>
    <row r="1037" spans="1:10" ht="1.1499999999999999" customHeight="1" thickTop="1" x14ac:dyDescent="0.2">
      <c r="A1037" s="106"/>
      <c r="B1037" s="106"/>
      <c r="C1037" s="106"/>
      <c r="D1037" s="106"/>
      <c r="E1037" s="106"/>
      <c r="F1037" s="106"/>
      <c r="G1037" s="106"/>
      <c r="H1037" s="106"/>
      <c r="I1037" s="106"/>
      <c r="J1037" s="106"/>
    </row>
    <row r="1038" spans="1:10" ht="18" customHeight="1" x14ac:dyDescent="0.2">
      <c r="A1038" s="117" t="s">
        <v>268</v>
      </c>
      <c r="B1038" s="126" t="s">
        <v>5</v>
      </c>
      <c r="C1038" s="117" t="s">
        <v>6</v>
      </c>
      <c r="D1038" s="117" t="s">
        <v>7</v>
      </c>
      <c r="E1038" s="136" t="s">
        <v>1113</v>
      </c>
      <c r="F1038" s="136"/>
      <c r="G1038" s="7" t="s">
        <v>8</v>
      </c>
      <c r="H1038" s="126" t="s">
        <v>9</v>
      </c>
      <c r="I1038" s="126" t="s">
        <v>10</v>
      </c>
      <c r="J1038" s="126" t="s">
        <v>12</v>
      </c>
    </row>
    <row r="1039" spans="1:10" ht="36" customHeight="1" x14ac:dyDescent="0.2">
      <c r="A1039" s="116" t="s">
        <v>1861</v>
      </c>
      <c r="B1039" s="1" t="s">
        <v>269</v>
      </c>
      <c r="C1039" s="116" t="s">
        <v>25</v>
      </c>
      <c r="D1039" s="116" t="s">
        <v>270</v>
      </c>
      <c r="E1039" s="137" t="s">
        <v>1362</v>
      </c>
      <c r="F1039" s="137"/>
      <c r="G1039" s="2" t="s">
        <v>236</v>
      </c>
      <c r="H1039" s="115">
        <v>1</v>
      </c>
      <c r="I1039" s="61">
        <v>41.68</v>
      </c>
      <c r="J1039" s="61">
        <v>41.68</v>
      </c>
    </row>
    <row r="1040" spans="1:10" ht="36" customHeight="1" x14ac:dyDescent="0.2">
      <c r="A1040" s="121" t="s">
        <v>1888</v>
      </c>
      <c r="B1040" s="122" t="s">
        <v>2538</v>
      </c>
      <c r="C1040" s="121" t="s">
        <v>25</v>
      </c>
      <c r="D1040" s="121" t="s">
        <v>2537</v>
      </c>
      <c r="E1040" s="138" t="s">
        <v>1362</v>
      </c>
      <c r="F1040" s="138"/>
      <c r="G1040" s="120" t="s">
        <v>236</v>
      </c>
      <c r="H1040" s="119">
        <v>1</v>
      </c>
      <c r="I1040" s="118">
        <v>5.87</v>
      </c>
      <c r="J1040" s="118">
        <v>5.87</v>
      </c>
    </row>
    <row r="1041" spans="1:10" ht="36" customHeight="1" x14ac:dyDescent="0.2">
      <c r="A1041" s="121" t="s">
        <v>1888</v>
      </c>
      <c r="B1041" s="122" t="s">
        <v>2542</v>
      </c>
      <c r="C1041" s="121" t="s">
        <v>25</v>
      </c>
      <c r="D1041" s="121" t="s">
        <v>2541</v>
      </c>
      <c r="E1041" s="138" t="s">
        <v>1362</v>
      </c>
      <c r="F1041" s="138"/>
      <c r="G1041" s="120" t="s">
        <v>236</v>
      </c>
      <c r="H1041" s="119">
        <v>1</v>
      </c>
      <c r="I1041" s="118">
        <v>35.81</v>
      </c>
      <c r="J1041" s="118">
        <v>35.81</v>
      </c>
    </row>
    <row r="1042" spans="1:10" x14ac:dyDescent="0.2">
      <c r="A1042" s="109"/>
      <c r="B1042" s="109"/>
      <c r="C1042" s="109"/>
      <c r="D1042" s="109"/>
      <c r="E1042" s="109" t="s">
        <v>1858</v>
      </c>
      <c r="F1042" s="108">
        <v>16.829999999999998</v>
      </c>
      <c r="G1042" s="109" t="s">
        <v>1857</v>
      </c>
      <c r="H1042" s="108">
        <v>0</v>
      </c>
      <c r="I1042" s="109" t="s">
        <v>1856</v>
      </c>
      <c r="J1042" s="108">
        <v>16.829999999999998</v>
      </c>
    </row>
    <row r="1043" spans="1:10" ht="13.9" customHeight="1" x14ac:dyDescent="0.2">
      <c r="A1043" s="109"/>
      <c r="B1043" s="109"/>
      <c r="C1043" s="109"/>
      <c r="D1043" s="109"/>
      <c r="E1043" s="109" t="s">
        <v>1855</v>
      </c>
      <c r="F1043" s="108">
        <v>11.066039999999999</v>
      </c>
      <c r="G1043" s="109"/>
      <c r="H1043" s="140" t="s">
        <v>1854</v>
      </c>
      <c r="I1043" s="140"/>
      <c r="J1043" s="108">
        <v>52.75</v>
      </c>
    </row>
    <row r="1044" spans="1:10" ht="30" customHeight="1" thickBot="1" x14ac:dyDescent="0.25">
      <c r="A1044" s="100"/>
      <c r="B1044" s="100"/>
      <c r="C1044" s="100"/>
      <c r="D1044" s="100"/>
      <c r="E1044" s="100"/>
      <c r="F1044" s="100"/>
      <c r="G1044" s="100" t="s">
        <v>1853</v>
      </c>
      <c r="H1044" s="107">
        <v>2</v>
      </c>
      <c r="I1044" s="100" t="s">
        <v>1852</v>
      </c>
      <c r="J1044" s="102">
        <v>105.5</v>
      </c>
    </row>
    <row r="1045" spans="1:10" ht="1.1499999999999999" customHeight="1" thickTop="1" x14ac:dyDescent="0.2">
      <c r="A1045" s="106"/>
      <c r="B1045" s="106"/>
      <c r="C1045" s="106"/>
      <c r="D1045" s="106"/>
      <c r="E1045" s="106"/>
      <c r="F1045" s="106"/>
      <c r="G1045" s="106"/>
      <c r="H1045" s="106"/>
      <c r="I1045" s="106"/>
      <c r="J1045" s="106"/>
    </row>
    <row r="1046" spans="1:10" ht="18" customHeight="1" x14ac:dyDescent="0.2">
      <c r="A1046" s="117" t="s">
        <v>271</v>
      </c>
      <c r="B1046" s="126" t="s">
        <v>5</v>
      </c>
      <c r="C1046" s="117" t="s">
        <v>6</v>
      </c>
      <c r="D1046" s="117" t="s">
        <v>7</v>
      </c>
      <c r="E1046" s="136" t="s">
        <v>1113</v>
      </c>
      <c r="F1046" s="136"/>
      <c r="G1046" s="7" t="s">
        <v>8</v>
      </c>
      <c r="H1046" s="126" t="s">
        <v>9</v>
      </c>
      <c r="I1046" s="126" t="s">
        <v>10</v>
      </c>
      <c r="J1046" s="126" t="s">
        <v>12</v>
      </c>
    </row>
    <row r="1047" spans="1:10" ht="36" customHeight="1" x14ac:dyDescent="0.2">
      <c r="A1047" s="116" t="s">
        <v>1861</v>
      </c>
      <c r="B1047" s="1" t="s">
        <v>272</v>
      </c>
      <c r="C1047" s="116" t="s">
        <v>25</v>
      </c>
      <c r="D1047" s="116" t="s">
        <v>273</v>
      </c>
      <c r="E1047" s="137" t="s">
        <v>1362</v>
      </c>
      <c r="F1047" s="137"/>
      <c r="G1047" s="2" t="s">
        <v>236</v>
      </c>
      <c r="H1047" s="115">
        <v>1</v>
      </c>
      <c r="I1047" s="61">
        <v>23.96</v>
      </c>
      <c r="J1047" s="61">
        <v>23.96</v>
      </c>
    </row>
    <row r="1048" spans="1:10" ht="36" customHeight="1" x14ac:dyDescent="0.2">
      <c r="A1048" s="121" t="s">
        <v>1888</v>
      </c>
      <c r="B1048" s="122" t="s">
        <v>2540</v>
      </c>
      <c r="C1048" s="121" t="s">
        <v>25</v>
      </c>
      <c r="D1048" s="121" t="s">
        <v>2539</v>
      </c>
      <c r="E1048" s="138" t="s">
        <v>1362</v>
      </c>
      <c r="F1048" s="138"/>
      <c r="G1048" s="120" t="s">
        <v>236</v>
      </c>
      <c r="H1048" s="119">
        <v>1</v>
      </c>
      <c r="I1048" s="118">
        <v>18.09</v>
      </c>
      <c r="J1048" s="118">
        <v>18.09</v>
      </c>
    </row>
    <row r="1049" spans="1:10" ht="36" customHeight="1" x14ac:dyDescent="0.2">
      <c r="A1049" s="121" t="s">
        <v>1888</v>
      </c>
      <c r="B1049" s="122" t="s">
        <v>2538</v>
      </c>
      <c r="C1049" s="121" t="s">
        <v>25</v>
      </c>
      <c r="D1049" s="121" t="s">
        <v>2537</v>
      </c>
      <c r="E1049" s="138" t="s">
        <v>1362</v>
      </c>
      <c r="F1049" s="138"/>
      <c r="G1049" s="120" t="s">
        <v>236</v>
      </c>
      <c r="H1049" s="119">
        <v>1</v>
      </c>
      <c r="I1049" s="118">
        <v>5.87</v>
      </c>
      <c r="J1049" s="118">
        <v>5.87</v>
      </c>
    </row>
    <row r="1050" spans="1:10" x14ac:dyDescent="0.2">
      <c r="A1050" s="109"/>
      <c r="B1050" s="109"/>
      <c r="C1050" s="109"/>
      <c r="D1050" s="109"/>
      <c r="E1050" s="109" t="s">
        <v>1858</v>
      </c>
      <c r="F1050" s="108">
        <v>10.23</v>
      </c>
      <c r="G1050" s="109" t="s">
        <v>1857</v>
      </c>
      <c r="H1050" s="108">
        <v>0</v>
      </c>
      <c r="I1050" s="109" t="s">
        <v>1856</v>
      </c>
      <c r="J1050" s="108">
        <v>10.23</v>
      </c>
    </row>
    <row r="1051" spans="1:10" ht="13.9" customHeight="1" x14ac:dyDescent="0.2">
      <c r="A1051" s="109"/>
      <c r="B1051" s="109"/>
      <c r="C1051" s="109"/>
      <c r="D1051" s="109"/>
      <c r="E1051" s="109" t="s">
        <v>1855</v>
      </c>
      <c r="F1051" s="108">
        <v>6.3613799999999996</v>
      </c>
      <c r="G1051" s="109"/>
      <c r="H1051" s="140" t="s">
        <v>1854</v>
      </c>
      <c r="I1051" s="140"/>
      <c r="J1051" s="108">
        <v>30.32</v>
      </c>
    </row>
    <row r="1052" spans="1:10" ht="30" customHeight="1" thickBot="1" x14ac:dyDescent="0.25">
      <c r="A1052" s="100"/>
      <c r="B1052" s="100"/>
      <c r="C1052" s="100"/>
      <c r="D1052" s="100"/>
      <c r="E1052" s="100"/>
      <c r="F1052" s="100"/>
      <c r="G1052" s="100" t="s">
        <v>1853</v>
      </c>
      <c r="H1052" s="107">
        <v>2</v>
      </c>
      <c r="I1052" s="100" t="s">
        <v>1852</v>
      </c>
      <c r="J1052" s="102">
        <v>60.64</v>
      </c>
    </row>
    <row r="1053" spans="1:10" ht="1.1499999999999999" customHeight="1" thickTop="1" x14ac:dyDescent="0.2">
      <c r="A1053" s="106"/>
      <c r="B1053" s="106"/>
      <c r="C1053" s="106"/>
      <c r="D1053" s="106"/>
      <c r="E1053" s="106"/>
      <c r="F1053" s="106"/>
      <c r="G1053" s="106"/>
      <c r="H1053" s="106"/>
      <c r="I1053" s="106"/>
      <c r="J1053" s="106"/>
    </row>
    <row r="1054" spans="1:10" ht="18" customHeight="1" x14ac:dyDescent="0.2">
      <c r="A1054" s="117" t="s">
        <v>274</v>
      </c>
      <c r="B1054" s="126" t="s">
        <v>5</v>
      </c>
      <c r="C1054" s="117" t="s">
        <v>6</v>
      </c>
      <c r="D1054" s="117" t="s">
        <v>7</v>
      </c>
      <c r="E1054" s="136" t="s">
        <v>1113</v>
      </c>
      <c r="F1054" s="136"/>
      <c r="G1054" s="7" t="s">
        <v>8</v>
      </c>
      <c r="H1054" s="126" t="s">
        <v>9</v>
      </c>
      <c r="I1054" s="126" t="s">
        <v>10</v>
      </c>
      <c r="J1054" s="126" t="s">
        <v>12</v>
      </c>
    </row>
    <row r="1055" spans="1:10" ht="24" customHeight="1" x14ac:dyDescent="0.2">
      <c r="A1055" s="116" t="s">
        <v>1861</v>
      </c>
      <c r="B1055" s="1" t="s">
        <v>275</v>
      </c>
      <c r="C1055" s="116" t="s">
        <v>25</v>
      </c>
      <c r="D1055" s="116" t="s">
        <v>276</v>
      </c>
      <c r="E1055" s="137" t="s">
        <v>1362</v>
      </c>
      <c r="F1055" s="137"/>
      <c r="G1055" s="2" t="s">
        <v>236</v>
      </c>
      <c r="H1055" s="115">
        <v>1</v>
      </c>
      <c r="I1055" s="61">
        <v>53.09</v>
      </c>
      <c r="J1055" s="61">
        <v>53.09</v>
      </c>
    </row>
    <row r="1056" spans="1:10" ht="24" customHeight="1" x14ac:dyDescent="0.2">
      <c r="A1056" s="121" t="s">
        <v>1888</v>
      </c>
      <c r="B1056" s="122" t="s">
        <v>2486</v>
      </c>
      <c r="C1056" s="121" t="s">
        <v>25</v>
      </c>
      <c r="D1056" s="121" t="s">
        <v>2485</v>
      </c>
      <c r="E1056" s="138" t="s">
        <v>1902</v>
      </c>
      <c r="F1056" s="138"/>
      <c r="G1056" s="120" t="s">
        <v>61</v>
      </c>
      <c r="H1056" s="119">
        <v>0.15659999999999999</v>
      </c>
      <c r="I1056" s="118">
        <v>16.11</v>
      </c>
      <c r="J1056" s="118">
        <v>2.52</v>
      </c>
    </row>
    <row r="1057" spans="1:10" ht="24" customHeight="1" x14ac:dyDescent="0.2">
      <c r="A1057" s="121" t="s">
        <v>1888</v>
      </c>
      <c r="B1057" s="122" t="s">
        <v>2484</v>
      </c>
      <c r="C1057" s="121" t="s">
        <v>25</v>
      </c>
      <c r="D1057" s="121" t="s">
        <v>2483</v>
      </c>
      <c r="E1057" s="138" t="s">
        <v>1902</v>
      </c>
      <c r="F1057" s="138"/>
      <c r="G1057" s="120" t="s">
        <v>61</v>
      </c>
      <c r="H1057" s="119">
        <v>0.37580000000000002</v>
      </c>
      <c r="I1057" s="118">
        <v>21.76</v>
      </c>
      <c r="J1057" s="118">
        <v>8.18</v>
      </c>
    </row>
    <row r="1058" spans="1:10" ht="36" customHeight="1" x14ac:dyDescent="0.2">
      <c r="A1058" s="113" t="s">
        <v>1859</v>
      </c>
      <c r="B1058" s="114" t="s">
        <v>2536</v>
      </c>
      <c r="C1058" s="113" t="s">
        <v>25</v>
      </c>
      <c r="D1058" s="113" t="s">
        <v>2535</v>
      </c>
      <c r="E1058" s="139" t="s">
        <v>1369</v>
      </c>
      <c r="F1058" s="139"/>
      <c r="G1058" s="112" t="s">
        <v>236</v>
      </c>
      <c r="H1058" s="111">
        <v>1</v>
      </c>
      <c r="I1058" s="110">
        <v>42.39</v>
      </c>
      <c r="J1058" s="110">
        <v>42.39</v>
      </c>
    </row>
    <row r="1059" spans="1:10" x14ac:dyDescent="0.2">
      <c r="A1059" s="109"/>
      <c r="B1059" s="109"/>
      <c r="C1059" s="109"/>
      <c r="D1059" s="109"/>
      <c r="E1059" s="109" t="s">
        <v>1858</v>
      </c>
      <c r="F1059" s="108">
        <v>7.73</v>
      </c>
      <c r="G1059" s="109" t="s">
        <v>1857</v>
      </c>
      <c r="H1059" s="108">
        <v>0</v>
      </c>
      <c r="I1059" s="109" t="s">
        <v>1856</v>
      </c>
      <c r="J1059" s="108">
        <v>7.73</v>
      </c>
    </row>
    <row r="1060" spans="1:10" ht="13.9" customHeight="1" x14ac:dyDescent="0.2">
      <c r="A1060" s="109"/>
      <c r="B1060" s="109"/>
      <c r="C1060" s="109"/>
      <c r="D1060" s="109"/>
      <c r="E1060" s="109" t="s">
        <v>1855</v>
      </c>
      <c r="F1060" s="108">
        <v>14.095395</v>
      </c>
      <c r="G1060" s="109"/>
      <c r="H1060" s="140" t="s">
        <v>1854</v>
      </c>
      <c r="I1060" s="140"/>
      <c r="J1060" s="108">
        <v>67.19</v>
      </c>
    </row>
    <row r="1061" spans="1:10" ht="30" customHeight="1" thickBot="1" x14ac:dyDescent="0.25">
      <c r="A1061" s="100"/>
      <c r="B1061" s="100"/>
      <c r="C1061" s="100"/>
      <c r="D1061" s="100"/>
      <c r="E1061" s="100"/>
      <c r="F1061" s="100"/>
      <c r="G1061" s="100" t="s">
        <v>1853</v>
      </c>
      <c r="H1061" s="107">
        <v>11</v>
      </c>
      <c r="I1061" s="100" t="s">
        <v>1852</v>
      </c>
      <c r="J1061" s="102">
        <v>739.09</v>
      </c>
    </row>
    <row r="1062" spans="1:10" ht="1.1499999999999999" customHeight="1" thickTop="1" x14ac:dyDescent="0.2">
      <c r="A1062" s="106"/>
      <c r="B1062" s="106"/>
      <c r="C1062" s="106"/>
      <c r="D1062" s="106"/>
      <c r="E1062" s="106"/>
      <c r="F1062" s="106"/>
      <c r="G1062" s="106"/>
      <c r="H1062" s="106"/>
      <c r="I1062" s="106"/>
      <c r="J1062" s="106"/>
    </row>
    <row r="1063" spans="1:10" ht="18" customHeight="1" x14ac:dyDescent="0.2">
      <c r="A1063" s="117" t="s">
        <v>277</v>
      </c>
      <c r="B1063" s="126" t="s">
        <v>5</v>
      </c>
      <c r="C1063" s="117" t="s">
        <v>6</v>
      </c>
      <c r="D1063" s="117" t="s">
        <v>7</v>
      </c>
      <c r="E1063" s="136" t="s">
        <v>1113</v>
      </c>
      <c r="F1063" s="136"/>
      <c r="G1063" s="7" t="s">
        <v>8</v>
      </c>
      <c r="H1063" s="126" t="s">
        <v>9</v>
      </c>
      <c r="I1063" s="126" t="s">
        <v>10</v>
      </c>
      <c r="J1063" s="126" t="s">
        <v>12</v>
      </c>
    </row>
    <row r="1064" spans="1:10" ht="24" customHeight="1" x14ac:dyDescent="0.2">
      <c r="A1064" s="116" t="s">
        <v>1861</v>
      </c>
      <c r="B1064" s="1" t="s">
        <v>278</v>
      </c>
      <c r="C1064" s="116" t="s">
        <v>25</v>
      </c>
      <c r="D1064" s="116" t="s">
        <v>279</v>
      </c>
      <c r="E1064" s="137" t="s">
        <v>1362</v>
      </c>
      <c r="F1064" s="137"/>
      <c r="G1064" s="2" t="s">
        <v>236</v>
      </c>
      <c r="H1064" s="115">
        <v>1</v>
      </c>
      <c r="I1064" s="61">
        <v>76.97</v>
      </c>
      <c r="J1064" s="61">
        <v>76.97</v>
      </c>
    </row>
    <row r="1065" spans="1:10" ht="24" customHeight="1" x14ac:dyDescent="0.2">
      <c r="A1065" s="121" t="s">
        <v>1888</v>
      </c>
      <c r="B1065" s="122" t="s">
        <v>2486</v>
      </c>
      <c r="C1065" s="121" t="s">
        <v>25</v>
      </c>
      <c r="D1065" s="121" t="s">
        <v>2485</v>
      </c>
      <c r="E1065" s="138" t="s">
        <v>1902</v>
      </c>
      <c r="F1065" s="138"/>
      <c r="G1065" s="120" t="s">
        <v>61</v>
      </c>
      <c r="H1065" s="119">
        <v>0.23519999999999999</v>
      </c>
      <c r="I1065" s="118">
        <v>16.11</v>
      </c>
      <c r="J1065" s="118">
        <v>3.79</v>
      </c>
    </row>
    <row r="1066" spans="1:10" ht="24" customHeight="1" x14ac:dyDescent="0.2">
      <c r="A1066" s="121" t="s">
        <v>1888</v>
      </c>
      <c r="B1066" s="122" t="s">
        <v>2484</v>
      </c>
      <c r="C1066" s="121" t="s">
        <v>25</v>
      </c>
      <c r="D1066" s="121" t="s">
        <v>2483</v>
      </c>
      <c r="E1066" s="138" t="s">
        <v>1902</v>
      </c>
      <c r="F1066" s="138"/>
      <c r="G1066" s="120" t="s">
        <v>61</v>
      </c>
      <c r="H1066" s="119">
        <v>0.56440000000000001</v>
      </c>
      <c r="I1066" s="118">
        <v>21.76</v>
      </c>
      <c r="J1066" s="118">
        <v>12.28</v>
      </c>
    </row>
    <row r="1067" spans="1:10" ht="36" customHeight="1" x14ac:dyDescent="0.2">
      <c r="A1067" s="113" t="s">
        <v>1859</v>
      </c>
      <c r="B1067" s="114" t="s">
        <v>2534</v>
      </c>
      <c r="C1067" s="113" t="s">
        <v>25</v>
      </c>
      <c r="D1067" s="113" t="s">
        <v>2533</v>
      </c>
      <c r="E1067" s="139" t="s">
        <v>1369</v>
      </c>
      <c r="F1067" s="139"/>
      <c r="G1067" s="112" t="s">
        <v>236</v>
      </c>
      <c r="H1067" s="111">
        <v>1</v>
      </c>
      <c r="I1067" s="110">
        <v>60.9</v>
      </c>
      <c r="J1067" s="110">
        <v>60.9</v>
      </c>
    </row>
    <row r="1068" spans="1:10" x14ac:dyDescent="0.2">
      <c r="A1068" s="109"/>
      <c r="B1068" s="109"/>
      <c r="C1068" s="109"/>
      <c r="D1068" s="109"/>
      <c r="E1068" s="109" t="s">
        <v>1858</v>
      </c>
      <c r="F1068" s="108">
        <v>11.61</v>
      </c>
      <c r="G1068" s="109" t="s">
        <v>1857</v>
      </c>
      <c r="H1068" s="108">
        <v>0</v>
      </c>
      <c r="I1068" s="109" t="s">
        <v>1856</v>
      </c>
      <c r="J1068" s="108">
        <v>11.61</v>
      </c>
    </row>
    <row r="1069" spans="1:10" ht="13.9" customHeight="1" x14ac:dyDescent="0.2">
      <c r="A1069" s="109"/>
      <c r="B1069" s="109"/>
      <c r="C1069" s="109"/>
      <c r="D1069" s="109"/>
      <c r="E1069" s="109" t="s">
        <v>1855</v>
      </c>
      <c r="F1069" s="108">
        <v>20.435535000000002</v>
      </c>
      <c r="G1069" s="109"/>
      <c r="H1069" s="140" t="s">
        <v>1854</v>
      </c>
      <c r="I1069" s="140"/>
      <c r="J1069" s="108">
        <v>97.41</v>
      </c>
    </row>
    <row r="1070" spans="1:10" ht="30" customHeight="1" thickBot="1" x14ac:dyDescent="0.25">
      <c r="A1070" s="100"/>
      <c r="B1070" s="100"/>
      <c r="C1070" s="100"/>
      <c r="D1070" s="100"/>
      <c r="E1070" s="100"/>
      <c r="F1070" s="100"/>
      <c r="G1070" s="100" t="s">
        <v>1853</v>
      </c>
      <c r="H1070" s="107">
        <v>3</v>
      </c>
      <c r="I1070" s="100" t="s">
        <v>1852</v>
      </c>
      <c r="J1070" s="102">
        <v>292.23</v>
      </c>
    </row>
    <row r="1071" spans="1:10" ht="1.1499999999999999" customHeight="1" thickTop="1" x14ac:dyDescent="0.2">
      <c r="A1071" s="106"/>
      <c r="B1071" s="106"/>
      <c r="C1071" s="106"/>
      <c r="D1071" s="106"/>
      <c r="E1071" s="106"/>
      <c r="F1071" s="106"/>
      <c r="G1071" s="106"/>
      <c r="H1071" s="106"/>
      <c r="I1071" s="106"/>
      <c r="J1071" s="106"/>
    </row>
    <row r="1072" spans="1:10" ht="18" customHeight="1" x14ac:dyDescent="0.2">
      <c r="A1072" s="117" t="s">
        <v>280</v>
      </c>
      <c r="B1072" s="126" t="s">
        <v>5</v>
      </c>
      <c r="C1072" s="117" t="s">
        <v>6</v>
      </c>
      <c r="D1072" s="117" t="s">
        <v>7</v>
      </c>
      <c r="E1072" s="136" t="s">
        <v>1113</v>
      </c>
      <c r="F1072" s="136"/>
      <c r="G1072" s="7" t="s">
        <v>8</v>
      </c>
      <c r="H1072" s="126" t="s">
        <v>9</v>
      </c>
      <c r="I1072" s="126" t="s">
        <v>10</v>
      </c>
      <c r="J1072" s="126" t="s">
        <v>12</v>
      </c>
    </row>
    <row r="1073" spans="1:10" ht="24" customHeight="1" x14ac:dyDescent="0.2">
      <c r="A1073" s="116" t="s">
        <v>1861</v>
      </c>
      <c r="B1073" s="1" t="s">
        <v>281</v>
      </c>
      <c r="C1073" s="116" t="s">
        <v>20</v>
      </c>
      <c r="D1073" s="116" t="s">
        <v>282</v>
      </c>
      <c r="E1073" s="137">
        <v>7</v>
      </c>
      <c r="F1073" s="137"/>
      <c r="G1073" s="2" t="s">
        <v>37</v>
      </c>
      <c r="H1073" s="115">
        <v>1</v>
      </c>
      <c r="I1073" s="61">
        <v>13.35</v>
      </c>
      <c r="J1073" s="61">
        <v>13.35</v>
      </c>
    </row>
    <row r="1074" spans="1:10" ht="24" customHeight="1" x14ac:dyDescent="0.2">
      <c r="A1074" s="113" t="s">
        <v>1859</v>
      </c>
      <c r="B1074" s="114" t="s">
        <v>1951</v>
      </c>
      <c r="C1074" s="113" t="s">
        <v>20</v>
      </c>
      <c r="D1074" s="113" t="s">
        <v>1950</v>
      </c>
      <c r="E1074" s="139" t="s">
        <v>1860</v>
      </c>
      <c r="F1074" s="139"/>
      <c r="G1074" s="112" t="s">
        <v>1864</v>
      </c>
      <c r="H1074" s="111">
        <v>0.28999999999999998</v>
      </c>
      <c r="I1074" s="110">
        <v>10.62</v>
      </c>
      <c r="J1074" s="110">
        <v>3.08</v>
      </c>
    </row>
    <row r="1075" spans="1:10" ht="24" customHeight="1" x14ac:dyDescent="0.2">
      <c r="A1075" s="113" t="s">
        <v>1859</v>
      </c>
      <c r="B1075" s="114" t="s">
        <v>2532</v>
      </c>
      <c r="C1075" s="113" t="s">
        <v>20</v>
      </c>
      <c r="D1075" s="113" t="s">
        <v>282</v>
      </c>
      <c r="E1075" s="139" t="s">
        <v>1369</v>
      </c>
      <c r="F1075" s="139"/>
      <c r="G1075" s="112" t="s">
        <v>246</v>
      </c>
      <c r="H1075" s="111">
        <v>1</v>
      </c>
      <c r="I1075" s="110">
        <v>5.64</v>
      </c>
      <c r="J1075" s="110">
        <v>5.64</v>
      </c>
    </row>
    <row r="1076" spans="1:10" ht="24" customHeight="1" x14ac:dyDescent="0.2">
      <c r="A1076" s="113" t="s">
        <v>1859</v>
      </c>
      <c r="B1076" s="114" t="s">
        <v>2442</v>
      </c>
      <c r="C1076" s="113" t="s">
        <v>20</v>
      </c>
      <c r="D1076" s="113" t="s">
        <v>2441</v>
      </c>
      <c r="E1076" s="139" t="s">
        <v>1860</v>
      </c>
      <c r="F1076" s="139"/>
      <c r="G1076" s="112" t="s">
        <v>1864</v>
      </c>
      <c r="H1076" s="111">
        <v>0.28999999999999998</v>
      </c>
      <c r="I1076" s="110">
        <v>15.97</v>
      </c>
      <c r="J1076" s="110">
        <v>4.63</v>
      </c>
    </row>
    <row r="1077" spans="1:10" x14ac:dyDescent="0.2">
      <c r="A1077" s="109"/>
      <c r="B1077" s="109"/>
      <c r="C1077" s="109"/>
      <c r="D1077" s="109"/>
      <c r="E1077" s="109" t="s">
        <v>1858</v>
      </c>
      <c r="F1077" s="108">
        <v>7.71</v>
      </c>
      <c r="G1077" s="109" t="s">
        <v>1857</v>
      </c>
      <c r="H1077" s="108">
        <v>0</v>
      </c>
      <c r="I1077" s="109" t="s">
        <v>1856</v>
      </c>
      <c r="J1077" s="108">
        <v>7.71</v>
      </c>
    </row>
    <row r="1078" spans="1:10" ht="13.9" customHeight="1" x14ac:dyDescent="0.2">
      <c r="A1078" s="109"/>
      <c r="B1078" s="109"/>
      <c r="C1078" s="109"/>
      <c r="D1078" s="109"/>
      <c r="E1078" s="109" t="s">
        <v>1855</v>
      </c>
      <c r="F1078" s="108">
        <v>3.5444249999999999</v>
      </c>
      <c r="G1078" s="109"/>
      <c r="H1078" s="140" t="s">
        <v>1854</v>
      </c>
      <c r="I1078" s="140"/>
      <c r="J1078" s="108">
        <v>16.89</v>
      </c>
    </row>
    <row r="1079" spans="1:10" ht="30" customHeight="1" thickBot="1" x14ac:dyDescent="0.25">
      <c r="A1079" s="100"/>
      <c r="B1079" s="100"/>
      <c r="C1079" s="100"/>
      <c r="D1079" s="100"/>
      <c r="E1079" s="100"/>
      <c r="F1079" s="100"/>
      <c r="G1079" s="100" t="s">
        <v>1853</v>
      </c>
      <c r="H1079" s="107">
        <v>118</v>
      </c>
      <c r="I1079" s="100" t="s">
        <v>1852</v>
      </c>
      <c r="J1079" s="102">
        <v>1993.02</v>
      </c>
    </row>
    <row r="1080" spans="1:10" ht="1.1499999999999999" customHeight="1" thickTop="1" x14ac:dyDescent="0.2">
      <c r="A1080" s="106"/>
      <c r="B1080" s="106"/>
      <c r="C1080" s="106"/>
      <c r="D1080" s="106"/>
      <c r="E1080" s="106"/>
      <c r="F1080" s="106"/>
      <c r="G1080" s="106"/>
      <c r="H1080" s="106"/>
      <c r="I1080" s="106"/>
      <c r="J1080" s="106"/>
    </row>
    <row r="1081" spans="1:10" ht="18" customHeight="1" x14ac:dyDescent="0.2">
      <c r="A1081" s="117" t="s">
        <v>283</v>
      </c>
      <c r="B1081" s="126" t="s">
        <v>5</v>
      </c>
      <c r="C1081" s="117" t="s">
        <v>6</v>
      </c>
      <c r="D1081" s="117" t="s">
        <v>7</v>
      </c>
      <c r="E1081" s="136" t="s">
        <v>1113</v>
      </c>
      <c r="F1081" s="136"/>
      <c r="G1081" s="7" t="s">
        <v>8</v>
      </c>
      <c r="H1081" s="126" t="s">
        <v>9</v>
      </c>
      <c r="I1081" s="126" t="s">
        <v>10</v>
      </c>
      <c r="J1081" s="126" t="s">
        <v>12</v>
      </c>
    </row>
    <row r="1082" spans="1:10" ht="24" customHeight="1" x14ac:dyDescent="0.2">
      <c r="A1082" s="116" t="s">
        <v>1861</v>
      </c>
      <c r="B1082" s="1" t="s">
        <v>284</v>
      </c>
      <c r="C1082" s="116" t="s">
        <v>20</v>
      </c>
      <c r="D1082" s="116" t="s">
        <v>285</v>
      </c>
      <c r="E1082" s="137">
        <v>7</v>
      </c>
      <c r="F1082" s="137"/>
      <c r="G1082" s="2" t="s">
        <v>246</v>
      </c>
      <c r="H1082" s="115">
        <v>1</v>
      </c>
      <c r="I1082" s="61">
        <v>19.47</v>
      </c>
      <c r="J1082" s="61">
        <v>19.47</v>
      </c>
    </row>
    <row r="1083" spans="1:10" ht="24" customHeight="1" x14ac:dyDescent="0.2">
      <c r="A1083" s="113" t="s">
        <v>1859</v>
      </c>
      <c r="B1083" s="114" t="s">
        <v>2531</v>
      </c>
      <c r="C1083" s="113" t="s">
        <v>20</v>
      </c>
      <c r="D1083" s="113" t="s">
        <v>285</v>
      </c>
      <c r="E1083" s="139" t="s">
        <v>1369</v>
      </c>
      <c r="F1083" s="139"/>
      <c r="G1083" s="112" t="s">
        <v>246</v>
      </c>
      <c r="H1083" s="111">
        <v>1</v>
      </c>
      <c r="I1083" s="110">
        <v>10.96</v>
      </c>
      <c r="J1083" s="110">
        <v>10.96</v>
      </c>
    </row>
    <row r="1084" spans="1:10" ht="24" customHeight="1" x14ac:dyDescent="0.2">
      <c r="A1084" s="113" t="s">
        <v>1859</v>
      </c>
      <c r="B1084" s="114" t="s">
        <v>1951</v>
      </c>
      <c r="C1084" s="113" t="s">
        <v>20</v>
      </c>
      <c r="D1084" s="113" t="s">
        <v>1950</v>
      </c>
      <c r="E1084" s="139" t="s">
        <v>1860</v>
      </c>
      <c r="F1084" s="139"/>
      <c r="G1084" s="112" t="s">
        <v>1864</v>
      </c>
      <c r="H1084" s="111">
        <v>0.32</v>
      </c>
      <c r="I1084" s="110">
        <v>10.62</v>
      </c>
      <c r="J1084" s="110">
        <v>3.4</v>
      </c>
    </row>
    <row r="1085" spans="1:10" ht="24" customHeight="1" x14ac:dyDescent="0.2">
      <c r="A1085" s="113" t="s">
        <v>1859</v>
      </c>
      <c r="B1085" s="114" t="s">
        <v>2442</v>
      </c>
      <c r="C1085" s="113" t="s">
        <v>20</v>
      </c>
      <c r="D1085" s="113" t="s">
        <v>2441</v>
      </c>
      <c r="E1085" s="139" t="s">
        <v>1860</v>
      </c>
      <c r="F1085" s="139"/>
      <c r="G1085" s="112" t="s">
        <v>1864</v>
      </c>
      <c r="H1085" s="111">
        <v>0.32</v>
      </c>
      <c r="I1085" s="110">
        <v>15.97</v>
      </c>
      <c r="J1085" s="110">
        <v>5.1100000000000003</v>
      </c>
    </row>
    <row r="1086" spans="1:10" x14ac:dyDescent="0.2">
      <c r="A1086" s="109"/>
      <c r="B1086" s="109"/>
      <c r="C1086" s="109"/>
      <c r="D1086" s="109"/>
      <c r="E1086" s="109" t="s">
        <v>1858</v>
      </c>
      <c r="F1086" s="108">
        <v>8.51</v>
      </c>
      <c r="G1086" s="109" t="s">
        <v>1857</v>
      </c>
      <c r="H1086" s="108">
        <v>0</v>
      </c>
      <c r="I1086" s="109" t="s">
        <v>1856</v>
      </c>
      <c r="J1086" s="108">
        <v>8.51</v>
      </c>
    </row>
    <row r="1087" spans="1:10" ht="13.9" customHeight="1" x14ac:dyDescent="0.2">
      <c r="A1087" s="109"/>
      <c r="B1087" s="109"/>
      <c r="C1087" s="109"/>
      <c r="D1087" s="109"/>
      <c r="E1087" s="109" t="s">
        <v>1855</v>
      </c>
      <c r="F1087" s="108">
        <v>5.1692850000000004</v>
      </c>
      <c r="G1087" s="109"/>
      <c r="H1087" s="140" t="s">
        <v>1854</v>
      </c>
      <c r="I1087" s="140"/>
      <c r="J1087" s="108">
        <v>24.64</v>
      </c>
    </row>
    <row r="1088" spans="1:10" ht="30" customHeight="1" thickBot="1" x14ac:dyDescent="0.25">
      <c r="A1088" s="100"/>
      <c r="B1088" s="100"/>
      <c r="C1088" s="100"/>
      <c r="D1088" s="100"/>
      <c r="E1088" s="100"/>
      <c r="F1088" s="100"/>
      <c r="G1088" s="100" t="s">
        <v>1853</v>
      </c>
      <c r="H1088" s="107">
        <v>54</v>
      </c>
      <c r="I1088" s="100" t="s">
        <v>1852</v>
      </c>
      <c r="J1088" s="102">
        <v>1330.56</v>
      </c>
    </row>
    <row r="1089" spans="1:10" ht="1.1499999999999999" customHeight="1" thickTop="1" x14ac:dyDescent="0.2">
      <c r="A1089" s="106"/>
      <c r="B1089" s="106"/>
      <c r="C1089" s="106"/>
      <c r="D1089" s="106"/>
      <c r="E1089" s="106"/>
      <c r="F1089" s="106"/>
      <c r="G1089" s="106"/>
      <c r="H1089" s="106"/>
      <c r="I1089" s="106"/>
      <c r="J1089" s="106"/>
    </row>
    <row r="1090" spans="1:10" ht="18" customHeight="1" x14ac:dyDescent="0.2">
      <c r="A1090" s="117" t="s">
        <v>286</v>
      </c>
      <c r="B1090" s="126" t="s">
        <v>5</v>
      </c>
      <c r="C1090" s="117" t="s">
        <v>6</v>
      </c>
      <c r="D1090" s="117" t="s">
        <v>7</v>
      </c>
      <c r="E1090" s="136" t="s">
        <v>1113</v>
      </c>
      <c r="F1090" s="136"/>
      <c r="G1090" s="7" t="s">
        <v>8</v>
      </c>
      <c r="H1090" s="126" t="s">
        <v>9</v>
      </c>
      <c r="I1090" s="126" t="s">
        <v>10</v>
      </c>
      <c r="J1090" s="126" t="s">
        <v>12</v>
      </c>
    </row>
    <row r="1091" spans="1:10" ht="24" customHeight="1" x14ac:dyDescent="0.2">
      <c r="A1091" s="116" t="s">
        <v>1861</v>
      </c>
      <c r="B1091" s="1" t="s">
        <v>287</v>
      </c>
      <c r="C1091" s="116" t="s">
        <v>20</v>
      </c>
      <c r="D1091" s="116" t="s">
        <v>288</v>
      </c>
      <c r="E1091" s="137">
        <v>7</v>
      </c>
      <c r="F1091" s="137"/>
      <c r="G1091" s="2" t="s">
        <v>37</v>
      </c>
      <c r="H1091" s="115">
        <v>1</v>
      </c>
      <c r="I1091" s="61">
        <v>6.03</v>
      </c>
      <c r="J1091" s="61">
        <v>6.03</v>
      </c>
    </row>
    <row r="1092" spans="1:10" ht="24" customHeight="1" x14ac:dyDescent="0.2">
      <c r="A1092" s="113" t="s">
        <v>1859</v>
      </c>
      <c r="B1092" s="114" t="s">
        <v>2530</v>
      </c>
      <c r="C1092" s="113" t="s">
        <v>20</v>
      </c>
      <c r="D1092" s="113" t="s">
        <v>2529</v>
      </c>
      <c r="E1092" s="139" t="s">
        <v>1369</v>
      </c>
      <c r="F1092" s="139"/>
      <c r="G1092" s="112" t="s">
        <v>246</v>
      </c>
      <c r="H1092" s="111">
        <v>1</v>
      </c>
      <c r="I1092" s="110">
        <v>2.04</v>
      </c>
      <c r="J1092" s="110">
        <v>2.04</v>
      </c>
    </row>
    <row r="1093" spans="1:10" ht="24" customHeight="1" x14ac:dyDescent="0.2">
      <c r="A1093" s="113" t="s">
        <v>1859</v>
      </c>
      <c r="B1093" s="114" t="s">
        <v>1951</v>
      </c>
      <c r="C1093" s="113" t="s">
        <v>20</v>
      </c>
      <c r="D1093" s="113" t="s">
        <v>1950</v>
      </c>
      <c r="E1093" s="139" t="s">
        <v>1860</v>
      </c>
      <c r="F1093" s="139"/>
      <c r="G1093" s="112" t="s">
        <v>1864</v>
      </c>
      <c r="H1093" s="111">
        <v>0.15</v>
      </c>
      <c r="I1093" s="110">
        <v>10.62</v>
      </c>
      <c r="J1093" s="110">
        <v>1.59</v>
      </c>
    </row>
    <row r="1094" spans="1:10" ht="24" customHeight="1" x14ac:dyDescent="0.2">
      <c r="A1094" s="113" t="s">
        <v>1859</v>
      </c>
      <c r="B1094" s="114" t="s">
        <v>2442</v>
      </c>
      <c r="C1094" s="113" t="s">
        <v>20</v>
      </c>
      <c r="D1094" s="113" t="s">
        <v>2441</v>
      </c>
      <c r="E1094" s="139" t="s">
        <v>1860</v>
      </c>
      <c r="F1094" s="139"/>
      <c r="G1094" s="112" t="s">
        <v>1864</v>
      </c>
      <c r="H1094" s="111">
        <v>0.15</v>
      </c>
      <c r="I1094" s="110">
        <v>15.97</v>
      </c>
      <c r="J1094" s="110">
        <v>2.4</v>
      </c>
    </row>
    <row r="1095" spans="1:10" x14ac:dyDescent="0.2">
      <c r="A1095" s="109"/>
      <c r="B1095" s="109"/>
      <c r="C1095" s="109"/>
      <c r="D1095" s="109"/>
      <c r="E1095" s="109" t="s">
        <v>1858</v>
      </c>
      <c r="F1095" s="108">
        <v>3.99</v>
      </c>
      <c r="G1095" s="109" t="s">
        <v>1857</v>
      </c>
      <c r="H1095" s="108">
        <v>0</v>
      </c>
      <c r="I1095" s="109" t="s">
        <v>1856</v>
      </c>
      <c r="J1095" s="108">
        <v>3.99</v>
      </c>
    </row>
    <row r="1096" spans="1:10" ht="13.9" customHeight="1" x14ac:dyDescent="0.2">
      <c r="A1096" s="109"/>
      <c r="B1096" s="109"/>
      <c r="C1096" s="109"/>
      <c r="D1096" s="109"/>
      <c r="E1096" s="109" t="s">
        <v>1855</v>
      </c>
      <c r="F1096" s="108">
        <v>1.600965</v>
      </c>
      <c r="G1096" s="109"/>
      <c r="H1096" s="140" t="s">
        <v>1854</v>
      </c>
      <c r="I1096" s="140"/>
      <c r="J1096" s="108">
        <v>7.63</v>
      </c>
    </row>
    <row r="1097" spans="1:10" ht="30" customHeight="1" thickBot="1" x14ac:dyDescent="0.25">
      <c r="A1097" s="100"/>
      <c r="B1097" s="100"/>
      <c r="C1097" s="100"/>
      <c r="D1097" s="100"/>
      <c r="E1097" s="100"/>
      <c r="F1097" s="100"/>
      <c r="G1097" s="100" t="s">
        <v>1853</v>
      </c>
      <c r="H1097" s="107">
        <v>4</v>
      </c>
      <c r="I1097" s="100" t="s">
        <v>1852</v>
      </c>
      <c r="J1097" s="102">
        <v>30.52</v>
      </c>
    </row>
    <row r="1098" spans="1:10" ht="1.1499999999999999" customHeight="1" thickTop="1" x14ac:dyDescent="0.2">
      <c r="A1098" s="106"/>
      <c r="B1098" s="106"/>
      <c r="C1098" s="106"/>
      <c r="D1098" s="106"/>
      <c r="E1098" s="106"/>
      <c r="F1098" s="106"/>
      <c r="G1098" s="106"/>
      <c r="H1098" s="106"/>
      <c r="I1098" s="106"/>
      <c r="J1098" s="106"/>
    </row>
    <row r="1099" spans="1:10" ht="24" customHeight="1" x14ac:dyDescent="0.2">
      <c r="A1099" s="123" t="s">
        <v>289</v>
      </c>
      <c r="B1099" s="123"/>
      <c r="C1099" s="123"/>
      <c r="D1099" s="123" t="s">
        <v>290</v>
      </c>
      <c r="E1099" s="123"/>
      <c r="F1099" s="142"/>
      <c r="G1099" s="142"/>
      <c r="H1099" s="3"/>
      <c r="I1099" s="123"/>
      <c r="J1099" s="63">
        <v>15310.35</v>
      </c>
    </row>
    <row r="1100" spans="1:10" ht="18" customHeight="1" x14ac:dyDescent="0.2">
      <c r="A1100" s="117" t="s">
        <v>291</v>
      </c>
      <c r="B1100" s="126" t="s">
        <v>5</v>
      </c>
      <c r="C1100" s="117" t="s">
        <v>6</v>
      </c>
      <c r="D1100" s="117" t="s">
        <v>7</v>
      </c>
      <c r="E1100" s="136" t="s">
        <v>1113</v>
      </c>
      <c r="F1100" s="136"/>
      <c r="G1100" s="7" t="s">
        <v>8</v>
      </c>
      <c r="H1100" s="126" t="s">
        <v>9</v>
      </c>
      <c r="I1100" s="126" t="s">
        <v>10</v>
      </c>
      <c r="J1100" s="126" t="s">
        <v>12</v>
      </c>
    </row>
    <row r="1101" spans="1:10" ht="24" customHeight="1" x14ac:dyDescent="0.2">
      <c r="A1101" s="116" t="s">
        <v>1861</v>
      </c>
      <c r="B1101" s="1" t="s">
        <v>292</v>
      </c>
      <c r="C1101" s="116" t="s">
        <v>20</v>
      </c>
      <c r="D1101" s="116" t="s">
        <v>293</v>
      </c>
      <c r="E1101" s="137">
        <v>7</v>
      </c>
      <c r="F1101" s="137"/>
      <c r="G1101" s="2" t="s">
        <v>37</v>
      </c>
      <c r="H1101" s="115">
        <v>1</v>
      </c>
      <c r="I1101" s="61">
        <v>18.149999999999999</v>
      </c>
      <c r="J1101" s="61">
        <v>18.149999999999999</v>
      </c>
    </row>
    <row r="1102" spans="1:10" ht="24" customHeight="1" x14ac:dyDescent="0.2">
      <c r="A1102" s="113" t="s">
        <v>1859</v>
      </c>
      <c r="B1102" s="114" t="s">
        <v>2528</v>
      </c>
      <c r="C1102" s="113" t="s">
        <v>20</v>
      </c>
      <c r="D1102" s="113" t="s">
        <v>293</v>
      </c>
      <c r="E1102" s="139" t="s">
        <v>1369</v>
      </c>
      <c r="F1102" s="139"/>
      <c r="G1102" s="112" t="s">
        <v>246</v>
      </c>
      <c r="H1102" s="111">
        <v>1</v>
      </c>
      <c r="I1102" s="110">
        <v>10.17</v>
      </c>
      <c r="J1102" s="110">
        <v>10.17</v>
      </c>
    </row>
    <row r="1103" spans="1:10" ht="24" customHeight="1" x14ac:dyDescent="0.2">
      <c r="A1103" s="113" t="s">
        <v>1859</v>
      </c>
      <c r="B1103" s="114" t="s">
        <v>1951</v>
      </c>
      <c r="C1103" s="113" t="s">
        <v>20</v>
      </c>
      <c r="D1103" s="113" t="s">
        <v>1950</v>
      </c>
      <c r="E1103" s="139" t="s">
        <v>1860</v>
      </c>
      <c r="F1103" s="139"/>
      <c r="G1103" s="112" t="s">
        <v>1864</v>
      </c>
      <c r="H1103" s="111">
        <v>0.3</v>
      </c>
      <c r="I1103" s="110">
        <v>10.62</v>
      </c>
      <c r="J1103" s="110">
        <v>3.19</v>
      </c>
    </row>
    <row r="1104" spans="1:10" ht="24" customHeight="1" x14ac:dyDescent="0.2">
      <c r="A1104" s="113" t="s">
        <v>1859</v>
      </c>
      <c r="B1104" s="114" t="s">
        <v>2442</v>
      </c>
      <c r="C1104" s="113" t="s">
        <v>20</v>
      </c>
      <c r="D1104" s="113" t="s">
        <v>2441</v>
      </c>
      <c r="E1104" s="139" t="s">
        <v>1860</v>
      </c>
      <c r="F1104" s="139"/>
      <c r="G1104" s="112" t="s">
        <v>1864</v>
      </c>
      <c r="H1104" s="111">
        <v>0.3</v>
      </c>
      <c r="I1104" s="110">
        <v>15.97</v>
      </c>
      <c r="J1104" s="110">
        <v>4.79</v>
      </c>
    </row>
    <row r="1105" spans="1:10" x14ac:dyDescent="0.2">
      <c r="A1105" s="109"/>
      <c r="B1105" s="109"/>
      <c r="C1105" s="109"/>
      <c r="D1105" s="109"/>
      <c r="E1105" s="109" t="s">
        <v>1858</v>
      </c>
      <c r="F1105" s="108">
        <v>7.98</v>
      </c>
      <c r="G1105" s="109" t="s">
        <v>1857</v>
      </c>
      <c r="H1105" s="108">
        <v>0</v>
      </c>
      <c r="I1105" s="109" t="s">
        <v>1856</v>
      </c>
      <c r="J1105" s="108">
        <v>7.98</v>
      </c>
    </row>
    <row r="1106" spans="1:10" ht="13.9" customHeight="1" x14ac:dyDescent="0.2">
      <c r="A1106" s="109"/>
      <c r="B1106" s="109"/>
      <c r="C1106" s="109"/>
      <c r="D1106" s="109"/>
      <c r="E1106" s="109" t="s">
        <v>1855</v>
      </c>
      <c r="F1106" s="108">
        <v>4.8188250000000004</v>
      </c>
      <c r="G1106" s="109"/>
      <c r="H1106" s="140" t="s">
        <v>1854</v>
      </c>
      <c r="I1106" s="140"/>
      <c r="J1106" s="108">
        <v>22.97</v>
      </c>
    </row>
    <row r="1107" spans="1:10" ht="30" customHeight="1" thickBot="1" x14ac:dyDescent="0.25">
      <c r="A1107" s="100"/>
      <c r="B1107" s="100"/>
      <c r="C1107" s="100"/>
      <c r="D1107" s="100"/>
      <c r="E1107" s="100"/>
      <c r="F1107" s="100"/>
      <c r="G1107" s="100" t="s">
        <v>1853</v>
      </c>
      <c r="H1107" s="107">
        <v>94</v>
      </c>
      <c r="I1107" s="100" t="s">
        <v>1852</v>
      </c>
      <c r="J1107" s="102">
        <v>2159.1799999999998</v>
      </c>
    </row>
    <row r="1108" spans="1:10" ht="1.1499999999999999" customHeight="1" thickTop="1" x14ac:dyDescent="0.2">
      <c r="A1108" s="106"/>
      <c r="B1108" s="106"/>
      <c r="C1108" s="106"/>
      <c r="D1108" s="106"/>
      <c r="E1108" s="106"/>
      <c r="F1108" s="106"/>
      <c r="G1108" s="106"/>
      <c r="H1108" s="106"/>
      <c r="I1108" s="106"/>
      <c r="J1108" s="106"/>
    </row>
    <row r="1109" spans="1:10" ht="18" customHeight="1" x14ac:dyDescent="0.2">
      <c r="A1109" s="117" t="s">
        <v>294</v>
      </c>
      <c r="B1109" s="126" t="s">
        <v>5</v>
      </c>
      <c r="C1109" s="117" t="s">
        <v>6</v>
      </c>
      <c r="D1109" s="117" t="s">
        <v>7</v>
      </c>
      <c r="E1109" s="136" t="s">
        <v>1113</v>
      </c>
      <c r="F1109" s="136"/>
      <c r="G1109" s="7" t="s">
        <v>8</v>
      </c>
      <c r="H1109" s="126" t="s">
        <v>9</v>
      </c>
      <c r="I1109" s="126" t="s">
        <v>10</v>
      </c>
      <c r="J1109" s="126" t="s">
        <v>12</v>
      </c>
    </row>
    <row r="1110" spans="1:10" ht="24" customHeight="1" x14ac:dyDescent="0.2">
      <c r="A1110" s="116" t="s">
        <v>1861</v>
      </c>
      <c r="B1110" s="1" t="s">
        <v>295</v>
      </c>
      <c r="C1110" s="116" t="s">
        <v>20</v>
      </c>
      <c r="D1110" s="116" t="s">
        <v>296</v>
      </c>
      <c r="E1110" s="137">
        <v>7</v>
      </c>
      <c r="F1110" s="137"/>
      <c r="G1110" s="2" t="s">
        <v>37</v>
      </c>
      <c r="H1110" s="115">
        <v>1</v>
      </c>
      <c r="I1110" s="61">
        <v>23.06</v>
      </c>
      <c r="J1110" s="61">
        <v>23.06</v>
      </c>
    </row>
    <row r="1111" spans="1:10" ht="24" customHeight="1" x14ac:dyDescent="0.2">
      <c r="A1111" s="113" t="s">
        <v>1859</v>
      </c>
      <c r="B1111" s="114" t="s">
        <v>2527</v>
      </c>
      <c r="C1111" s="113" t="s">
        <v>20</v>
      </c>
      <c r="D1111" s="113" t="s">
        <v>296</v>
      </c>
      <c r="E1111" s="139" t="s">
        <v>1369</v>
      </c>
      <c r="F1111" s="139"/>
      <c r="G1111" s="112" t="s">
        <v>246</v>
      </c>
      <c r="H1111" s="111">
        <v>1</v>
      </c>
      <c r="I1111" s="110">
        <v>15.08</v>
      </c>
      <c r="J1111" s="110">
        <v>15.08</v>
      </c>
    </row>
    <row r="1112" spans="1:10" ht="24" customHeight="1" x14ac:dyDescent="0.2">
      <c r="A1112" s="113" t="s">
        <v>1859</v>
      </c>
      <c r="B1112" s="114" t="s">
        <v>1951</v>
      </c>
      <c r="C1112" s="113" t="s">
        <v>20</v>
      </c>
      <c r="D1112" s="113" t="s">
        <v>1950</v>
      </c>
      <c r="E1112" s="139" t="s">
        <v>1860</v>
      </c>
      <c r="F1112" s="139"/>
      <c r="G1112" s="112" t="s">
        <v>1864</v>
      </c>
      <c r="H1112" s="111">
        <v>0.3</v>
      </c>
      <c r="I1112" s="110">
        <v>10.62</v>
      </c>
      <c r="J1112" s="110">
        <v>3.19</v>
      </c>
    </row>
    <row r="1113" spans="1:10" ht="24" customHeight="1" x14ac:dyDescent="0.2">
      <c r="A1113" s="113" t="s">
        <v>1859</v>
      </c>
      <c r="B1113" s="114" t="s">
        <v>2442</v>
      </c>
      <c r="C1113" s="113" t="s">
        <v>20</v>
      </c>
      <c r="D1113" s="113" t="s">
        <v>2441</v>
      </c>
      <c r="E1113" s="139" t="s">
        <v>1860</v>
      </c>
      <c r="F1113" s="139"/>
      <c r="G1113" s="112" t="s">
        <v>1864</v>
      </c>
      <c r="H1113" s="111">
        <v>0.3</v>
      </c>
      <c r="I1113" s="110">
        <v>15.97</v>
      </c>
      <c r="J1113" s="110">
        <v>4.79</v>
      </c>
    </row>
    <row r="1114" spans="1:10" x14ac:dyDescent="0.2">
      <c r="A1114" s="109"/>
      <c r="B1114" s="109"/>
      <c r="C1114" s="109"/>
      <c r="D1114" s="109"/>
      <c r="E1114" s="109" t="s">
        <v>1858</v>
      </c>
      <c r="F1114" s="108">
        <v>7.98</v>
      </c>
      <c r="G1114" s="109" t="s">
        <v>1857</v>
      </c>
      <c r="H1114" s="108">
        <v>0</v>
      </c>
      <c r="I1114" s="109" t="s">
        <v>1856</v>
      </c>
      <c r="J1114" s="108">
        <v>7.98</v>
      </c>
    </row>
    <row r="1115" spans="1:10" ht="13.9" customHeight="1" x14ac:dyDescent="0.2">
      <c r="A1115" s="109"/>
      <c r="B1115" s="109"/>
      <c r="C1115" s="109"/>
      <c r="D1115" s="109"/>
      <c r="E1115" s="109" t="s">
        <v>1855</v>
      </c>
      <c r="F1115" s="108">
        <v>6.1224299999999996</v>
      </c>
      <c r="G1115" s="109"/>
      <c r="H1115" s="140" t="s">
        <v>1854</v>
      </c>
      <c r="I1115" s="140"/>
      <c r="J1115" s="108">
        <v>29.18</v>
      </c>
    </row>
    <row r="1116" spans="1:10" ht="30" customHeight="1" thickBot="1" x14ac:dyDescent="0.25">
      <c r="A1116" s="100"/>
      <c r="B1116" s="100"/>
      <c r="C1116" s="100"/>
      <c r="D1116" s="100"/>
      <c r="E1116" s="100"/>
      <c r="F1116" s="100"/>
      <c r="G1116" s="100" t="s">
        <v>1853</v>
      </c>
      <c r="H1116" s="107">
        <v>2</v>
      </c>
      <c r="I1116" s="100" t="s">
        <v>1852</v>
      </c>
      <c r="J1116" s="102">
        <v>58.36</v>
      </c>
    </row>
    <row r="1117" spans="1:10" ht="1.1499999999999999" customHeight="1" thickTop="1" x14ac:dyDescent="0.2">
      <c r="A1117" s="106"/>
      <c r="B1117" s="106"/>
      <c r="C1117" s="106"/>
      <c r="D1117" s="106"/>
      <c r="E1117" s="106"/>
      <c r="F1117" s="106"/>
      <c r="G1117" s="106"/>
      <c r="H1117" s="106"/>
      <c r="I1117" s="106"/>
      <c r="J1117" s="106"/>
    </row>
    <row r="1118" spans="1:10" ht="18" customHeight="1" x14ac:dyDescent="0.2">
      <c r="A1118" s="117" t="s">
        <v>297</v>
      </c>
      <c r="B1118" s="126" t="s">
        <v>5</v>
      </c>
      <c r="C1118" s="117" t="s">
        <v>6</v>
      </c>
      <c r="D1118" s="117" t="s">
        <v>7</v>
      </c>
      <c r="E1118" s="136" t="s">
        <v>1113</v>
      </c>
      <c r="F1118" s="136"/>
      <c r="G1118" s="7" t="s">
        <v>8</v>
      </c>
      <c r="H1118" s="126" t="s">
        <v>9</v>
      </c>
      <c r="I1118" s="126" t="s">
        <v>10</v>
      </c>
      <c r="J1118" s="126" t="s">
        <v>12</v>
      </c>
    </row>
    <row r="1119" spans="1:10" ht="24" customHeight="1" x14ac:dyDescent="0.2">
      <c r="A1119" s="116" t="s">
        <v>1861</v>
      </c>
      <c r="B1119" s="1" t="s">
        <v>298</v>
      </c>
      <c r="C1119" s="116" t="s">
        <v>20</v>
      </c>
      <c r="D1119" s="116" t="s">
        <v>299</v>
      </c>
      <c r="E1119" s="137">
        <v>7</v>
      </c>
      <c r="F1119" s="137"/>
      <c r="G1119" s="2" t="s">
        <v>37</v>
      </c>
      <c r="H1119" s="115">
        <v>1</v>
      </c>
      <c r="I1119" s="61">
        <v>89.2</v>
      </c>
      <c r="J1119" s="61">
        <v>89.2</v>
      </c>
    </row>
    <row r="1120" spans="1:10" ht="24" customHeight="1" x14ac:dyDescent="0.2">
      <c r="A1120" s="113" t="s">
        <v>1859</v>
      </c>
      <c r="B1120" s="114" t="s">
        <v>2526</v>
      </c>
      <c r="C1120" s="113" t="s">
        <v>20</v>
      </c>
      <c r="D1120" s="113" t="s">
        <v>299</v>
      </c>
      <c r="E1120" s="139" t="s">
        <v>1369</v>
      </c>
      <c r="F1120" s="139"/>
      <c r="G1120" s="112" t="s">
        <v>246</v>
      </c>
      <c r="H1120" s="111">
        <v>1</v>
      </c>
      <c r="I1120" s="110">
        <v>65.27</v>
      </c>
      <c r="J1120" s="110">
        <v>65.27</v>
      </c>
    </row>
    <row r="1121" spans="1:10" ht="24" customHeight="1" x14ac:dyDescent="0.2">
      <c r="A1121" s="113" t="s">
        <v>1859</v>
      </c>
      <c r="B1121" s="114" t="s">
        <v>1951</v>
      </c>
      <c r="C1121" s="113" t="s">
        <v>20</v>
      </c>
      <c r="D1121" s="113" t="s">
        <v>1950</v>
      </c>
      <c r="E1121" s="139" t="s">
        <v>1860</v>
      </c>
      <c r="F1121" s="139"/>
      <c r="G1121" s="112" t="s">
        <v>1864</v>
      </c>
      <c r="H1121" s="111">
        <v>0.9</v>
      </c>
      <c r="I1121" s="110">
        <v>10.62</v>
      </c>
      <c r="J1121" s="110">
        <v>9.56</v>
      </c>
    </row>
    <row r="1122" spans="1:10" ht="24" customHeight="1" x14ac:dyDescent="0.2">
      <c r="A1122" s="113" t="s">
        <v>1859</v>
      </c>
      <c r="B1122" s="114" t="s">
        <v>2442</v>
      </c>
      <c r="C1122" s="113" t="s">
        <v>20</v>
      </c>
      <c r="D1122" s="113" t="s">
        <v>2441</v>
      </c>
      <c r="E1122" s="139" t="s">
        <v>1860</v>
      </c>
      <c r="F1122" s="139"/>
      <c r="G1122" s="112" t="s">
        <v>1864</v>
      </c>
      <c r="H1122" s="111">
        <v>0.9</v>
      </c>
      <c r="I1122" s="110">
        <v>15.97</v>
      </c>
      <c r="J1122" s="110">
        <v>14.37</v>
      </c>
    </row>
    <row r="1123" spans="1:10" x14ac:dyDescent="0.2">
      <c r="A1123" s="109"/>
      <c r="B1123" s="109"/>
      <c r="C1123" s="109"/>
      <c r="D1123" s="109"/>
      <c r="E1123" s="109" t="s">
        <v>1858</v>
      </c>
      <c r="F1123" s="108">
        <v>23.93</v>
      </c>
      <c r="G1123" s="109" t="s">
        <v>1857</v>
      </c>
      <c r="H1123" s="108">
        <v>0</v>
      </c>
      <c r="I1123" s="109" t="s">
        <v>1856</v>
      </c>
      <c r="J1123" s="108">
        <v>23.93</v>
      </c>
    </row>
    <row r="1124" spans="1:10" ht="13.9" customHeight="1" x14ac:dyDescent="0.2">
      <c r="A1124" s="109"/>
      <c r="B1124" s="109"/>
      <c r="C1124" s="109"/>
      <c r="D1124" s="109"/>
      <c r="E1124" s="109" t="s">
        <v>1855</v>
      </c>
      <c r="F1124" s="108">
        <v>23.682600000000001</v>
      </c>
      <c r="G1124" s="109"/>
      <c r="H1124" s="140" t="s">
        <v>1854</v>
      </c>
      <c r="I1124" s="140"/>
      <c r="J1124" s="108">
        <v>112.88</v>
      </c>
    </row>
    <row r="1125" spans="1:10" ht="30" customHeight="1" thickBot="1" x14ac:dyDescent="0.25">
      <c r="A1125" s="100"/>
      <c r="B1125" s="100"/>
      <c r="C1125" s="100"/>
      <c r="D1125" s="100"/>
      <c r="E1125" s="100"/>
      <c r="F1125" s="100"/>
      <c r="G1125" s="100" t="s">
        <v>1853</v>
      </c>
      <c r="H1125" s="107">
        <v>1</v>
      </c>
      <c r="I1125" s="100" t="s">
        <v>1852</v>
      </c>
      <c r="J1125" s="102">
        <v>112.88</v>
      </c>
    </row>
    <row r="1126" spans="1:10" ht="1.1499999999999999" customHeight="1" thickTop="1" x14ac:dyDescent="0.2">
      <c r="A1126" s="106"/>
      <c r="B1126" s="106"/>
      <c r="C1126" s="106"/>
      <c r="D1126" s="106"/>
      <c r="E1126" s="106"/>
      <c r="F1126" s="106"/>
      <c r="G1126" s="106"/>
      <c r="H1126" s="106"/>
      <c r="I1126" s="106"/>
      <c r="J1126" s="106"/>
    </row>
    <row r="1127" spans="1:10" ht="18" customHeight="1" x14ac:dyDescent="0.2">
      <c r="A1127" s="117" t="s">
        <v>300</v>
      </c>
      <c r="B1127" s="126" t="s">
        <v>5</v>
      </c>
      <c r="C1127" s="117" t="s">
        <v>6</v>
      </c>
      <c r="D1127" s="117" t="s">
        <v>7</v>
      </c>
      <c r="E1127" s="136" t="s">
        <v>1113</v>
      </c>
      <c r="F1127" s="136"/>
      <c r="G1127" s="7" t="s">
        <v>8</v>
      </c>
      <c r="H1127" s="126" t="s">
        <v>9</v>
      </c>
      <c r="I1127" s="126" t="s">
        <v>10</v>
      </c>
      <c r="J1127" s="126" t="s">
        <v>12</v>
      </c>
    </row>
    <row r="1128" spans="1:10" ht="24" customHeight="1" x14ac:dyDescent="0.2">
      <c r="A1128" s="116" t="s">
        <v>1861</v>
      </c>
      <c r="B1128" s="1" t="s">
        <v>301</v>
      </c>
      <c r="C1128" s="116" t="s">
        <v>20</v>
      </c>
      <c r="D1128" s="116" t="s">
        <v>302</v>
      </c>
      <c r="E1128" s="137">
        <v>7</v>
      </c>
      <c r="F1128" s="137"/>
      <c r="G1128" s="2" t="s">
        <v>37</v>
      </c>
      <c r="H1128" s="115">
        <v>1</v>
      </c>
      <c r="I1128" s="61">
        <v>95.32</v>
      </c>
      <c r="J1128" s="61">
        <v>95.32</v>
      </c>
    </row>
    <row r="1129" spans="1:10" ht="24" customHeight="1" x14ac:dyDescent="0.2">
      <c r="A1129" s="113" t="s">
        <v>1859</v>
      </c>
      <c r="B1129" s="114" t="s">
        <v>2525</v>
      </c>
      <c r="C1129" s="113" t="s">
        <v>20</v>
      </c>
      <c r="D1129" s="113" t="s">
        <v>302</v>
      </c>
      <c r="E1129" s="139" t="s">
        <v>1369</v>
      </c>
      <c r="F1129" s="139"/>
      <c r="G1129" s="112" t="s">
        <v>246</v>
      </c>
      <c r="H1129" s="111">
        <v>1</v>
      </c>
      <c r="I1129" s="110">
        <v>71.39</v>
      </c>
      <c r="J1129" s="110">
        <v>71.39</v>
      </c>
    </row>
    <row r="1130" spans="1:10" ht="24" customHeight="1" x14ac:dyDescent="0.2">
      <c r="A1130" s="113" t="s">
        <v>1859</v>
      </c>
      <c r="B1130" s="114" t="s">
        <v>1951</v>
      </c>
      <c r="C1130" s="113" t="s">
        <v>20</v>
      </c>
      <c r="D1130" s="113" t="s">
        <v>1950</v>
      </c>
      <c r="E1130" s="139" t="s">
        <v>1860</v>
      </c>
      <c r="F1130" s="139"/>
      <c r="G1130" s="112" t="s">
        <v>1864</v>
      </c>
      <c r="H1130" s="111">
        <v>0.9</v>
      </c>
      <c r="I1130" s="110">
        <v>10.62</v>
      </c>
      <c r="J1130" s="110">
        <v>9.56</v>
      </c>
    </row>
    <row r="1131" spans="1:10" ht="24" customHeight="1" x14ac:dyDescent="0.2">
      <c r="A1131" s="113" t="s">
        <v>1859</v>
      </c>
      <c r="B1131" s="114" t="s">
        <v>2442</v>
      </c>
      <c r="C1131" s="113" t="s">
        <v>20</v>
      </c>
      <c r="D1131" s="113" t="s">
        <v>2441</v>
      </c>
      <c r="E1131" s="139" t="s">
        <v>1860</v>
      </c>
      <c r="F1131" s="139"/>
      <c r="G1131" s="112" t="s">
        <v>1864</v>
      </c>
      <c r="H1131" s="111">
        <v>0.9</v>
      </c>
      <c r="I1131" s="110">
        <v>15.97</v>
      </c>
      <c r="J1131" s="110">
        <v>14.37</v>
      </c>
    </row>
    <row r="1132" spans="1:10" x14ac:dyDescent="0.2">
      <c r="A1132" s="109"/>
      <c r="B1132" s="109"/>
      <c r="C1132" s="109"/>
      <c r="D1132" s="109"/>
      <c r="E1132" s="109" t="s">
        <v>1858</v>
      </c>
      <c r="F1132" s="108">
        <v>23.93</v>
      </c>
      <c r="G1132" s="109" t="s">
        <v>1857</v>
      </c>
      <c r="H1132" s="108">
        <v>0</v>
      </c>
      <c r="I1132" s="109" t="s">
        <v>1856</v>
      </c>
      <c r="J1132" s="108">
        <v>23.93</v>
      </c>
    </row>
    <row r="1133" spans="1:10" ht="13.9" customHeight="1" x14ac:dyDescent="0.2">
      <c r="A1133" s="109"/>
      <c r="B1133" s="109"/>
      <c r="C1133" s="109"/>
      <c r="D1133" s="109"/>
      <c r="E1133" s="109" t="s">
        <v>1855</v>
      </c>
      <c r="F1133" s="108">
        <v>25.307459999999999</v>
      </c>
      <c r="G1133" s="109"/>
      <c r="H1133" s="140" t="s">
        <v>1854</v>
      </c>
      <c r="I1133" s="140"/>
      <c r="J1133" s="108">
        <v>120.63</v>
      </c>
    </row>
    <row r="1134" spans="1:10" ht="30" customHeight="1" thickBot="1" x14ac:dyDescent="0.25">
      <c r="A1134" s="100"/>
      <c r="B1134" s="100"/>
      <c r="C1134" s="100"/>
      <c r="D1134" s="100"/>
      <c r="E1134" s="100"/>
      <c r="F1134" s="100"/>
      <c r="G1134" s="100" t="s">
        <v>1853</v>
      </c>
      <c r="H1134" s="107">
        <v>2</v>
      </c>
      <c r="I1134" s="100" t="s">
        <v>1852</v>
      </c>
      <c r="J1134" s="102">
        <v>241.26</v>
      </c>
    </row>
    <row r="1135" spans="1:10" ht="1.1499999999999999" customHeight="1" thickTop="1" x14ac:dyDescent="0.2">
      <c r="A1135" s="106"/>
      <c r="B1135" s="106"/>
      <c r="C1135" s="106"/>
      <c r="D1135" s="106"/>
      <c r="E1135" s="106"/>
      <c r="F1135" s="106"/>
      <c r="G1135" s="106"/>
      <c r="H1135" s="106"/>
      <c r="I1135" s="106"/>
      <c r="J1135" s="106"/>
    </row>
    <row r="1136" spans="1:10" ht="18" customHeight="1" x14ac:dyDescent="0.2">
      <c r="A1136" s="117" t="s">
        <v>303</v>
      </c>
      <c r="B1136" s="126" t="s">
        <v>5</v>
      </c>
      <c r="C1136" s="117" t="s">
        <v>6</v>
      </c>
      <c r="D1136" s="117" t="s">
        <v>7</v>
      </c>
      <c r="E1136" s="136" t="s">
        <v>1113</v>
      </c>
      <c r="F1136" s="136"/>
      <c r="G1136" s="7" t="s">
        <v>8</v>
      </c>
      <c r="H1136" s="126" t="s">
        <v>9</v>
      </c>
      <c r="I1136" s="126" t="s">
        <v>10</v>
      </c>
      <c r="J1136" s="126" t="s">
        <v>12</v>
      </c>
    </row>
    <row r="1137" spans="1:10" ht="24" customHeight="1" x14ac:dyDescent="0.2">
      <c r="A1137" s="116" t="s">
        <v>1861</v>
      </c>
      <c r="B1137" s="1" t="s">
        <v>304</v>
      </c>
      <c r="C1137" s="116" t="s">
        <v>20</v>
      </c>
      <c r="D1137" s="116" t="s">
        <v>305</v>
      </c>
      <c r="E1137" s="137">
        <v>7</v>
      </c>
      <c r="F1137" s="137"/>
      <c r="G1137" s="2" t="s">
        <v>37</v>
      </c>
      <c r="H1137" s="115">
        <v>1</v>
      </c>
      <c r="I1137" s="61">
        <v>413.38</v>
      </c>
      <c r="J1137" s="61">
        <v>413.38</v>
      </c>
    </row>
    <row r="1138" spans="1:10" ht="24" customHeight="1" x14ac:dyDescent="0.2">
      <c r="A1138" s="113" t="s">
        <v>1859</v>
      </c>
      <c r="B1138" s="114" t="s">
        <v>2524</v>
      </c>
      <c r="C1138" s="113" t="s">
        <v>20</v>
      </c>
      <c r="D1138" s="113" t="s">
        <v>305</v>
      </c>
      <c r="E1138" s="139" t="s">
        <v>1369</v>
      </c>
      <c r="F1138" s="139"/>
      <c r="G1138" s="112" t="s">
        <v>246</v>
      </c>
      <c r="H1138" s="111">
        <v>1</v>
      </c>
      <c r="I1138" s="110">
        <v>389.45</v>
      </c>
      <c r="J1138" s="110">
        <v>389.45</v>
      </c>
    </row>
    <row r="1139" spans="1:10" ht="24" customHeight="1" x14ac:dyDescent="0.2">
      <c r="A1139" s="113" t="s">
        <v>1859</v>
      </c>
      <c r="B1139" s="114" t="s">
        <v>1951</v>
      </c>
      <c r="C1139" s="113" t="s">
        <v>20</v>
      </c>
      <c r="D1139" s="113" t="s">
        <v>1950</v>
      </c>
      <c r="E1139" s="139" t="s">
        <v>1860</v>
      </c>
      <c r="F1139" s="139"/>
      <c r="G1139" s="112" t="s">
        <v>1864</v>
      </c>
      <c r="H1139" s="111">
        <v>0.9</v>
      </c>
      <c r="I1139" s="110">
        <v>10.62</v>
      </c>
      <c r="J1139" s="110">
        <v>9.56</v>
      </c>
    </row>
    <row r="1140" spans="1:10" ht="24" customHeight="1" x14ac:dyDescent="0.2">
      <c r="A1140" s="113" t="s">
        <v>1859</v>
      </c>
      <c r="B1140" s="114" t="s">
        <v>2442</v>
      </c>
      <c r="C1140" s="113" t="s">
        <v>20</v>
      </c>
      <c r="D1140" s="113" t="s">
        <v>2441</v>
      </c>
      <c r="E1140" s="139" t="s">
        <v>1860</v>
      </c>
      <c r="F1140" s="139"/>
      <c r="G1140" s="112" t="s">
        <v>1864</v>
      </c>
      <c r="H1140" s="111">
        <v>0.9</v>
      </c>
      <c r="I1140" s="110">
        <v>15.97</v>
      </c>
      <c r="J1140" s="110">
        <v>14.37</v>
      </c>
    </row>
    <row r="1141" spans="1:10" x14ac:dyDescent="0.2">
      <c r="A1141" s="109"/>
      <c r="B1141" s="109"/>
      <c r="C1141" s="109"/>
      <c r="D1141" s="109"/>
      <c r="E1141" s="109" t="s">
        <v>1858</v>
      </c>
      <c r="F1141" s="108">
        <v>23.93</v>
      </c>
      <c r="G1141" s="109" t="s">
        <v>1857</v>
      </c>
      <c r="H1141" s="108">
        <v>0</v>
      </c>
      <c r="I1141" s="109" t="s">
        <v>1856</v>
      </c>
      <c r="J1141" s="108">
        <v>23.93</v>
      </c>
    </row>
    <row r="1142" spans="1:10" ht="13.9" customHeight="1" x14ac:dyDescent="0.2">
      <c r="A1142" s="109"/>
      <c r="B1142" s="109"/>
      <c r="C1142" s="109"/>
      <c r="D1142" s="109"/>
      <c r="E1142" s="109" t="s">
        <v>1855</v>
      </c>
      <c r="F1142" s="108">
        <v>109.75239000000001</v>
      </c>
      <c r="G1142" s="109"/>
      <c r="H1142" s="140" t="s">
        <v>1854</v>
      </c>
      <c r="I1142" s="140"/>
      <c r="J1142" s="108">
        <v>523.13</v>
      </c>
    </row>
    <row r="1143" spans="1:10" ht="30" customHeight="1" thickBot="1" x14ac:dyDescent="0.25">
      <c r="A1143" s="100"/>
      <c r="B1143" s="100"/>
      <c r="C1143" s="100"/>
      <c r="D1143" s="100"/>
      <c r="E1143" s="100"/>
      <c r="F1143" s="100"/>
      <c r="G1143" s="100" t="s">
        <v>1853</v>
      </c>
      <c r="H1143" s="107">
        <v>1</v>
      </c>
      <c r="I1143" s="100" t="s">
        <v>1852</v>
      </c>
      <c r="J1143" s="102">
        <v>523.13</v>
      </c>
    </row>
    <row r="1144" spans="1:10" ht="1.1499999999999999" customHeight="1" thickTop="1" x14ac:dyDescent="0.2">
      <c r="A1144" s="106"/>
      <c r="B1144" s="106"/>
      <c r="C1144" s="106"/>
      <c r="D1144" s="106"/>
      <c r="E1144" s="106"/>
      <c r="F1144" s="106"/>
      <c r="G1144" s="106"/>
      <c r="H1144" s="106"/>
      <c r="I1144" s="106"/>
      <c r="J1144" s="106"/>
    </row>
    <row r="1145" spans="1:10" ht="18" customHeight="1" x14ac:dyDescent="0.2">
      <c r="A1145" s="117" t="s">
        <v>306</v>
      </c>
      <c r="B1145" s="126" t="s">
        <v>5</v>
      </c>
      <c r="C1145" s="117" t="s">
        <v>6</v>
      </c>
      <c r="D1145" s="117" t="s">
        <v>7</v>
      </c>
      <c r="E1145" s="136" t="s">
        <v>1113</v>
      </c>
      <c r="F1145" s="136"/>
      <c r="G1145" s="7" t="s">
        <v>8</v>
      </c>
      <c r="H1145" s="126" t="s">
        <v>9</v>
      </c>
      <c r="I1145" s="126" t="s">
        <v>10</v>
      </c>
      <c r="J1145" s="126" t="s">
        <v>12</v>
      </c>
    </row>
    <row r="1146" spans="1:10" ht="24" customHeight="1" x14ac:dyDescent="0.2">
      <c r="A1146" s="116" t="s">
        <v>1861</v>
      </c>
      <c r="B1146" s="1" t="s">
        <v>307</v>
      </c>
      <c r="C1146" s="116" t="s">
        <v>20</v>
      </c>
      <c r="D1146" s="116" t="s">
        <v>308</v>
      </c>
      <c r="E1146" s="137">
        <v>7</v>
      </c>
      <c r="F1146" s="137"/>
      <c r="G1146" s="2" t="s">
        <v>37</v>
      </c>
      <c r="H1146" s="115">
        <v>1</v>
      </c>
      <c r="I1146" s="61">
        <v>143.62</v>
      </c>
      <c r="J1146" s="61">
        <v>143.62</v>
      </c>
    </row>
    <row r="1147" spans="1:10" ht="24" customHeight="1" x14ac:dyDescent="0.2">
      <c r="A1147" s="113" t="s">
        <v>1859</v>
      </c>
      <c r="B1147" s="114" t="s">
        <v>2523</v>
      </c>
      <c r="C1147" s="113" t="s">
        <v>20</v>
      </c>
      <c r="D1147" s="113" t="s">
        <v>2522</v>
      </c>
      <c r="E1147" s="139" t="s">
        <v>1369</v>
      </c>
      <c r="F1147" s="139"/>
      <c r="G1147" s="112" t="s">
        <v>246</v>
      </c>
      <c r="H1147" s="111">
        <v>1</v>
      </c>
      <c r="I1147" s="110">
        <v>117.03</v>
      </c>
      <c r="J1147" s="110">
        <v>117.03</v>
      </c>
    </row>
    <row r="1148" spans="1:10" ht="24" customHeight="1" x14ac:dyDescent="0.2">
      <c r="A1148" s="113" t="s">
        <v>1859</v>
      </c>
      <c r="B1148" s="114" t="s">
        <v>1951</v>
      </c>
      <c r="C1148" s="113" t="s">
        <v>20</v>
      </c>
      <c r="D1148" s="113" t="s">
        <v>1950</v>
      </c>
      <c r="E1148" s="139" t="s">
        <v>1860</v>
      </c>
      <c r="F1148" s="139"/>
      <c r="G1148" s="112" t="s">
        <v>1864</v>
      </c>
      <c r="H1148" s="111">
        <v>1</v>
      </c>
      <c r="I1148" s="110">
        <v>10.62</v>
      </c>
      <c r="J1148" s="110">
        <v>10.62</v>
      </c>
    </row>
    <row r="1149" spans="1:10" ht="24" customHeight="1" x14ac:dyDescent="0.2">
      <c r="A1149" s="113" t="s">
        <v>1859</v>
      </c>
      <c r="B1149" s="114" t="s">
        <v>2442</v>
      </c>
      <c r="C1149" s="113" t="s">
        <v>20</v>
      </c>
      <c r="D1149" s="113" t="s">
        <v>2441</v>
      </c>
      <c r="E1149" s="139" t="s">
        <v>1860</v>
      </c>
      <c r="F1149" s="139"/>
      <c r="G1149" s="112" t="s">
        <v>1864</v>
      </c>
      <c r="H1149" s="111">
        <v>1</v>
      </c>
      <c r="I1149" s="110">
        <v>15.97</v>
      </c>
      <c r="J1149" s="110">
        <v>15.97</v>
      </c>
    </row>
    <row r="1150" spans="1:10" x14ac:dyDescent="0.2">
      <c r="A1150" s="109"/>
      <c r="B1150" s="109"/>
      <c r="C1150" s="109"/>
      <c r="D1150" s="109"/>
      <c r="E1150" s="109" t="s">
        <v>1858</v>
      </c>
      <c r="F1150" s="108">
        <v>26.59</v>
      </c>
      <c r="G1150" s="109" t="s">
        <v>1857</v>
      </c>
      <c r="H1150" s="108">
        <v>0</v>
      </c>
      <c r="I1150" s="109" t="s">
        <v>1856</v>
      </c>
      <c r="J1150" s="108">
        <v>26.59</v>
      </c>
    </row>
    <row r="1151" spans="1:10" ht="13.9" customHeight="1" x14ac:dyDescent="0.2">
      <c r="A1151" s="109"/>
      <c r="B1151" s="109"/>
      <c r="C1151" s="109"/>
      <c r="D1151" s="109"/>
      <c r="E1151" s="109" t="s">
        <v>1855</v>
      </c>
      <c r="F1151" s="108">
        <v>38.13111</v>
      </c>
      <c r="G1151" s="109"/>
      <c r="H1151" s="140" t="s">
        <v>1854</v>
      </c>
      <c r="I1151" s="140"/>
      <c r="J1151" s="108">
        <v>181.75</v>
      </c>
    </row>
    <row r="1152" spans="1:10" ht="30" customHeight="1" thickBot="1" x14ac:dyDescent="0.25">
      <c r="A1152" s="100"/>
      <c r="B1152" s="100"/>
      <c r="C1152" s="100"/>
      <c r="D1152" s="100"/>
      <c r="E1152" s="100"/>
      <c r="F1152" s="100"/>
      <c r="G1152" s="100" t="s">
        <v>1853</v>
      </c>
      <c r="H1152" s="107">
        <v>20</v>
      </c>
      <c r="I1152" s="100" t="s">
        <v>1852</v>
      </c>
      <c r="J1152" s="102">
        <v>3635</v>
      </c>
    </row>
    <row r="1153" spans="1:10" ht="1.1499999999999999" customHeight="1" thickTop="1" x14ac:dyDescent="0.2">
      <c r="A1153" s="106"/>
      <c r="B1153" s="106"/>
      <c r="C1153" s="106"/>
      <c r="D1153" s="106"/>
      <c r="E1153" s="106"/>
      <c r="F1153" s="106"/>
      <c r="G1153" s="106"/>
      <c r="H1153" s="106"/>
      <c r="I1153" s="106"/>
      <c r="J1153" s="106"/>
    </row>
    <row r="1154" spans="1:10" ht="18" customHeight="1" x14ac:dyDescent="0.2">
      <c r="A1154" s="117" t="s">
        <v>309</v>
      </c>
      <c r="B1154" s="126" t="s">
        <v>5</v>
      </c>
      <c r="C1154" s="117" t="s">
        <v>6</v>
      </c>
      <c r="D1154" s="117" t="s">
        <v>7</v>
      </c>
      <c r="E1154" s="136" t="s">
        <v>1113</v>
      </c>
      <c r="F1154" s="136"/>
      <c r="G1154" s="7" t="s">
        <v>8</v>
      </c>
      <c r="H1154" s="126" t="s">
        <v>9</v>
      </c>
      <c r="I1154" s="126" t="s">
        <v>10</v>
      </c>
      <c r="J1154" s="126" t="s">
        <v>12</v>
      </c>
    </row>
    <row r="1155" spans="1:10" ht="24" customHeight="1" x14ac:dyDescent="0.2">
      <c r="A1155" s="116" t="s">
        <v>1861</v>
      </c>
      <c r="B1155" s="1" t="s">
        <v>310</v>
      </c>
      <c r="C1155" s="116" t="s">
        <v>20</v>
      </c>
      <c r="D1155" s="116" t="s">
        <v>311</v>
      </c>
      <c r="E1155" s="137">
        <v>7</v>
      </c>
      <c r="F1155" s="137"/>
      <c r="G1155" s="2" t="s">
        <v>37</v>
      </c>
      <c r="H1155" s="115">
        <v>1</v>
      </c>
      <c r="I1155" s="61">
        <v>175.28</v>
      </c>
      <c r="J1155" s="61">
        <v>175.28</v>
      </c>
    </row>
    <row r="1156" spans="1:10" ht="24" customHeight="1" x14ac:dyDescent="0.2">
      <c r="A1156" s="113" t="s">
        <v>1859</v>
      </c>
      <c r="B1156" s="114" t="s">
        <v>2521</v>
      </c>
      <c r="C1156" s="113" t="s">
        <v>20</v>
      </c>
      <c r="D1156" s="113" t="s">
        <v>2520</v>
      </c>
      <c r="E1156" s="139" t="s">
        <v>1369</v>
      </c>
      <c r="F1156" s="139"/>
      <c r="G1156" s="112" t="s">
        <v>246</v>
      </c>
      <c r="H1156" s="111">
        <v>1</v>
      </c>
      <c r="I1156" s="110">
        <v>159.33000000000001</v>
      </c>
      <c r="J1156" s="110">
        <v>159.33000000000001</v>
      </c>
    </row>
    <row r="1157" spans="1:10" ht="24" customHeight="1" x14ac:dyDescent="0.2">
      <c r="A1157" s="113" t="s">
        <v>1859</v>
      </c>
      <c r="B1157" s="114" t="s">
        <v>1951</v>
      </c>
      <c r="C1157" s="113" t="s">
        <v>20</v>
      </c>
      <c r="D1157" s="113" t="s">
        <v>1950</v>
      </c>
      <c r="E1157" s="139" t="s">
        <v>1860</v>
      </c>
      <c r="F1157" s="139"/>
      <c r="G1157" s="112" t="s">
        <v>1864</v>
      </c>
      <c r="H1157" s="111">
        <v>0.6</v>
      </c>
      <c r="I1157" s="110">
        <v>10.62</v>
      </c>
      <c r="J1157" s="110">
        <v>6.37</v>
      </c>
    </row>
    <row r="1158" spans="1:10" ht="24" customHeight="1" x14ac:dyDescent="0.2">
      <c r="A1158" s="113" t="s">
        <v>1859</v>
      </c>
      <c r="B1158" s="114" t="s">
        <v>2442</v>
      </c>
      <c r="C1158" s="113" t="s">
        <v>20</v>
      </c>
      <c r="D1158" s="113" t="s">
        <v>2441</v>
      </c>
      <c r="E1158" s="139" t="s">
        <v>1860</v>
      </c>
      <c r="F1158" s="139"/>
      <c r="G1158" s="112" t="s">
        <v>1864</v>
      </c>
      <c r="H1158" s="111">
        <v>0.6</v>
      </c>
      <c r="I1158" s="110">
        <v>15.97</v>
      </c>
      <c r="J1158" s="110">
        <v>9.58</v>
      </c>
    </row>
    <row r="1159" spans="1:10" x14ac:dyDescent="0.2">
      <c r="A1159" s="109"/>
      <c r="B1159" s="109"/>
      <c r="C1159" s="109"/>
      <c r="D1159" s="109"/>
      <c r="E1159" s="109" t="s">
        <v>1858</v>
      </c>
      <c r="F1159" s="108">
        <v>15.95</v>
      </c>
      <c r="G1159" s="109" t="s">
        <v>1857</v>
      </c>
      <c r="H1159" s="108">
        <v>0</v>
      </c>
      <c r="I1159" s="109" t="s">
        <v>1856</v>
      </c>
      <c r="J1159" s="108">
        <v>15.95</v>
      </c>
    </row>
    <row r="1160" spans="1:10" ht="13.9" customHeight="1" x14ac:dyDescent="0.2">
      <c r="A1160" s="109"/>
      <c r="B1160" s="109"/>
      <c r="C1160" s="109"/>
      <c r="D1160" s="109"/>
      <c r="E1160" s="109" t="s">
        <v>1855</v>
      </c>
      <c r="F1160" s="108">
        <v>46.536839999999998</v>
      </c>
      <c r="G1160" s="109"/>
      <c r="H1160" s="140" t="s">
        <v>1854</v>
      </c>
      <c r="I1160" s="140"/>
      <c r="J1160" s="108">
        <v>221.82</v>
      </c>
    </row>
    <row r="1161" spans="1:10" ht="30" customHeight="1" thickBot="1" x14ac:dyDescent="0.25">
      <c r="A1161" s="100"/>
      <c r="B1161" s="100"/>
      <c r="C1161" s="100"/>
      <c r="D1161" s="100"/>
      <c r="E1161" s="100"/>
      <c r="F1161" s="100"/>
      <c r="G1161" s="100" t="s">
        <v>1853</v>
      </c>
      <c r="H1161" s="107">
        <v>19</v>
      </c>
      <c r="I1161" s="100" t="s">
        <v>1852</v>
      </c>
      <c r="J1161" s="102">
        <v>4214.58</v>
      </c>
    </row>
    <row r="1162" spans="1:10" ht="1.1499999999999999" customHeight="1" thickTop="1" x14ac:dyDescent="0.2">
      <c r="A1162" s="106"/>
      <c r="B1162" s="106"/>
      <c r="C1162" s="106"/>
      <c r="D1162" s="106"/>
      <c r="E1162" s="106"/>
      <c r="F1162" s="106"/>
      <c r="G1162" s="106"/>
      <c r="H1162" s="106"/>
      <c r="I1162" s="106"/>
      <c r="J1162" s="106"/>
    </row>
    <row r="1163" spans="1:10" ht="18" customHeight="1" x14ac:dyDescent="0.2">
      <c r="A1163" s="117" t="s">
        <v>312</v>
      </c>
      <c r="B1163" s="126" t="s">
        <v>5</v>
      </c>
      <c r="C1163" s="117" t="s">
        <v>6</v>
      </c>
      <c r="D1163" s="117" t="s">
        <v>7</v>
      </c>
      <c r="E1163" s="136" t="s">
        <v>1113</v>
      </c>
      <c r="F1163" s="136"/>
      <c r="G1163" s="7" t="s">
        <v>8</v>
      </c>
      <c r="H1163" s="126" t="s">
        <v>9</v>
      </c>
      <c r="I1163" s="126" t="s">
        <v>10</v>
      </c>
      <c r="J1163" s="126" t="s">
        <v>12</v>
      </c>
    </row>
    <row r="1164" spans="1:10" ht="24" customHeight="1" x14ac:dyDescent="0.2">
      <c r="A1164" s="116" t="s">
        <v>1861</v>
      </c>
      <c r="B1164" s="1" t="s">
        <v>313</v>
      </c>
      <c r="C1164" s="116" t="s">
        <v>20</v>
      </c>
      <c r="D1164" s="116" t="s">
        <v>314</v>
      </c>
      <c r="E1164" s="137">
        <v>7</v>
      </c>
      <c r="F1164" s="137"/>
      <c r="G1164" s="2" t="s">
        <v>37</v>
      </c>
      <c r="H1164" s="115">
        <v>1</v>
      </c>
      <c r="I1164" s="61">
        <v>748.14</v>
      </c>
      <c r="J1164" s="61">
        <v>748.14</v>
      </c>
    </row>
    <row r="1165" spans="1:10" ht="24" customHeight="1" x14ac:dyDescent="0.2">
      <c r="A1165" s="113" t="s">
        <v>1859</v>
      </c>
      <c r="B1165" s="114" t="s">
        <v>2515</v>
      </c>
      <c r="C1165" s="113" t="s">
        <v>20</v>
      </c>
      <c r="D1165" s="113" t="s">
        <v>314</v>
      </c>
      <c r="E1165" s="139" t="s">
        <v>1369</v>
      </c>
      <c r="F1165" s="139"/>
      <c r="G1165" s="112" t="s">
        <v>246</v>
      </c>
      <c r="H1165" s="111">
        <v>1</v>
      </c>
      <c r="I1165" s="110">
        <v>641.78</v>
      </c>
      <c r="J1165" s="110">
        <v>641.78</v>
      </c>
    </row>
    <row r="1166" spans="1:10" ht="24" customHeight="1" x14ac:dyDescent="0.2">
      <c r="A1166" s="113" t="s">
        <v>1859</v>
      </c>
      <c r="B1166" s="114" t="s">
        <v>1951</v>
      </c>
      <c r="C1166" s="113" t="s">
        <v>20</v>
      </c>
      <c r="D1166" s="113" t="s">
        <v>1950</v>
      </c>
      <c r="E1166" s="139" t="s">
        <v>1860</v>
      </c>
      <c r="F1166" s="139"/>
      <c r="G1166" s="112" t="s">
        <v>1864</v>
      </c>
      <c r="H1166" s="111">
        <v>4</v>
      </c>
      <c r="I1166" s="110">
        <v>10.62</v>
      </c>
      <c r="J1166" s="110">
        <v>42.48</v>
      </c>
    </row>
    <row r="1167" spans="1:10" ht="24" customHeight="1" x14ac:dyDescent="0.2">
      <c r="A1167" s="113" t="s">
        <v>1859</v>
      </c>
      <c r="B1167" s="114" t="s">
        <v>2442</v>
      </c>
      <c r="C1167" s="113" t="s">
        <v>20</v>
      </c>
      <c r="D1167" s="113" t="s">
        <v>2441</v>
      </c>
      <c r="E1167" s="139" t="s">
        <v>1860</v>
      </c>
      <c r="F1167" s="139"/>
      <c r="G1167" s="112" t="s">
        <v>1864</v>
      </c>
      <c r="H1167" s="111">
        <v>4</v>
      </c>
      <c r="I1167" s="110">
        <v>15.97</v>
      </c>
      <c r="J1167" s="110">
        <v>63.88</v>
      </c>
    </row>
    <row r="1168" spans="1:10" x14ac:dyDescent="0.2">
      <c r="A1168" s="109"/>
      <c r="B1168" s="109"/>
      <c r="C1168" s="109"/>
      <c r="D1168" s="109"/>
      <c r="E1168" s="109" t="s">
        <v>1858</v>
      </c>
      <c r="F1168" s="108">
        <v>106.36</v>
      </c>
      <c r="G1168" s="109" t="s">
        <v>1857</v>
      </c>
      <c r="H1168" s="108">
        <v>0</v>
      </c>
      <c r="I1168" s="109" t="s">
        <v>1856</v>
      </c>
      <c r="J1168" s="108">
        <v>106.36</v>
      </c>
    </row>
    <row r="1169" spans="1:10" ht="13.9" customHeight="1" x14ac:dyDescent="0.2">
      <c r="A1169" s="109"/>
      <c r="B1169" s="109"/>
      <c r="C1169" s="109"/>
      <c r="D1169" s="109"/>
      <c r="E1169" s="109" t="s">
        <v>1855</v>
      </c>
      <c r="F1169" s="108">
        <v>198.63117</v>
      </c>
      <c r="G1169" s="109"/>
      <c r="H1169" s="140" t="s">
        <v>1854</v>
      </c>
      <c r="I1169" s="140"/>
      <c r="J1169" s="108">
        <v>946.77</v>
      </c>
    </row>
    <row r="1170" spans="1:10" ht="30" customHeight="1" thickBot="1" x14ac:dyDescent="0.25">
      <c r="A1170" s="100"/>
      <c r="B1170" s="100"/>
      <c r="C1170" s="100"/>
      <c r="D1170" s="100"/>
      <c r="E1170" s="100"/>
      <c r="F1170" s="100"/>
      <c r="G1170" s="100" t="s">
        <v>1853</v>
      </c>
      <c r="H1170" s="107">
        <v>2</v>
      </c>
      <c r="I1170" s="100" t="s">
        <v>1852</v>
      </c>
      <c r="J1170" s="102">
        <v>1893.54</v>
      </c>
    </row>
    <row r="1171" spans="1:10" ht="1.1499999999999999" customHeight="1" thickTop="1" x14ac:dyDescent="0.2">
      <c r="A1171" s="106"/>
      <c r="B1171" s="106"/>
      <c r="C1171" s="106"/>
      <c r="D1171" s="106"/>
      <c r="E1171" s="106"/>
      <c r="F1171" s="106"/>
      <c r="G1171" s="106"/>
      <c r="H1171" s="106"/>
      <c r="I1171" s="106"/>
      <c r="J1171" s="106"/>
    </row>
    <row r="1172" spans="1:10" ht="18" customHeight="1" x14ac:dyDescent="0.2">
      <c r="A1172" s="117" t="s">
        <v>315</v>
      </c>
      <c r="B1172" s="126" t="s">
        <v>5</v>
      </c>
      <c r="C1172" s="117" t="s">
        <v>6</v>
      </c>
      <c r="D1172" s="117" t="s">
        <v>7</v>
      </c>
      <c r="E1172" s="136" t="s">
        <v>1113</v>
      </c>
      <c r="F1172" s="136"/>
      <c r="G1172" s="7" t="s">
        <v>8</v>
      </c>
      <c r="H1172" s="126" t="s">
        <v>9</v>
      </c>
      <c r="I1172" s="126" t="s">
        <v>10</v>
      </c>
      <c r="J1172" s="126" t="s">
        <v>12</v>
      </c>
    </row>
    <row r="1173" spans="1:10" ht="24" customHeight="1" x14ac:dyDescent="0.2">
      <c r="A1173" s="116" t="s">
        <v>1861</v>
      </c>
      <c r="B1173" s="1" t="s">
        <v>316</v>
      </c>
      <c r="C1173" s="116" t="s">
        <v>20</v>
      </c>
      <c r="D1173" s="116" t="s">
        <v>317</v>
      </c>
      <c r="E1173" s="137">
        <v>7</v>
      </c>
      <c r="F1173" s="137"/>
      <c r="G1173" s="2" t="s">
        <v>246</v>
      </c>
      <c r="H1173" s="115">
        <v>1</v>
      </c>
      <c r="I1173" s="61">
        <v>331.71</v>
      </c>
      <c r="J1173" s="61">
        <v>331.71</v>
      </c>
    </row>
    <row r="1174" spans="1:10" ht="24" customHeight="1" x14ac:dyDescent="0.2">
      <c r="A1174" s="113" t="s">
        <v>1859</v>
      </c>
      <c r="B1174" s="114" t="s">
        <v>2519</v>
      </c>
      <c r="C1174" s="113" t="s">
        <v>20</v>
      </c>
      <c r="D1174" s="113" t="s">
        <v>2518</v>
      </c>
      <c r="E1174" s="139" t="s">
        <v>1369</v>
      </c>
      <c r="F1174" s="139"/>
      <c r="G1174" s="112" t="s">
        <v>246</v>
      </c>
      <c r="H1174" s="111">
        <v>1</v>
      </c>
      <c r="I1174" s="110">
        <v>251.94</v>
      </c>
      <c r="J1174" s="110">
        <v>251.94</v>
      </c>
    </row>
    <row r="1175" spans="1:10" ht="24" customHeight="1" x14ac:dyDescent="0.2">
      <c r="A1175" s="113" t="s">
        <v>1859</v>
      </c>
      <c r="B1175" s="114" t="s">
        <v>1951</v>
      </c>
      <c r="C1175" s="113" t="s">
        <v>20</v>
      </c>
      <c r="D1175" s="113" t="s">
        <v>1950</v>
      </c>
      <c r="E1175" s="139" t="s">
        <v>1860</v>
      </c>
      <c r="F1175" s="139"/>
      <c r="G1175" s="112" t="s">
        <v>1864</v>
      </c>
      <c r="H1175" s="111">
        <v>3</v>
      </c>
      <c r="I1175" s="110">
        <v>10.62</v>
      </c>
      <c r="J1175" s="110">
        <v>31.86</v>
      </c>
    </row>
    <row r="1176" spans="1:10" ht="24" customHeight="1" x14ac:dyDescent="0.2">
      <c r="A1176" s="113" t="s">
        <v>1859</v>
      </c>
      <c r="B1176" s="114" t="s">
        <v>2442</v>
      </c>
      <c r="C1176" s="113" t="s">
        <v>20</v>
      </c>
      <c r="D1176" s="113" t="s">
        <v>2441</v>
      </c>
      <c r="E1176" s="139" t="s">
        <v>1860</v>
      </c>
      <c r="F1176" s="139"/>
      <c r="G1176" s="112" t="s">
        <v>1864</v>
      </c>
      <c r="H1176" s="111">
        <v>3</v>
      </c>
      <c r="I1176" s="110">
        <v>15.97</v>
      </c>
      <c r="J1176" s="110">
        <v>47.91</v>
      </c>
    </row>
    <row r="1177" spans="1:10" x14ac:dyDescent="0.2">
      <c r="A1177" s="109"/>
      <c r="B1177" s="109"/>
      <c r="C1177" s="109"/>
      <c r="D1177" s="109"/>
      <c r="E1177" s="109" t="s">
        <v>1858</v>
      </c>
      <c r="F1177" s="108">
        <v>79.77</v>
      </c>
      <c r="G1177" s="109" t="s">
        <v>1857</v>
      </c>
      <c r="H1177" s="108">
        <v>0</v>
      </c>
      <c r="I1177" s="109" t="s">
        <v>1856</v>
      </c>
      <c r="J1177" s="108">
        <v>79.77</v>
      </c>
    </row>
    <row r="1178" spans="1:10" ht="13.9" customHeight="1" x14ac:dyDescent="0.2">
      <c r="A1178" s="109"/>
      <c r="B1178" s="109"/>
      <c r="C1178" s="109"/>
      <c r="D1178" s="109"/>
      <c r="E1178" s="109" t="s">
        <v>1855</v>
      </c>
      <c r="F1178" s="108">
        <v>88.069005000000004</v>
      </c>
      <c r="G1178" s="109"/>
      <c r="H1178" s="140" t="s">
        <v>1854</v>
      </c>
      <c r="I1178" s="140"/>
      <c r="J1178" s="108">
        <v>419.78</v>
      </c>
    </row>
    <row r="1179" spans="1:10" ht="30" customHeight="1" thickBot="1" x14ac:dyDescent="0.25">
      <c r="A1179" s="100"/>
      <c r="B1179" s="100"/>
      <c r="C1179" s="100"/>
      <c r="D1179" s="100"/>
      <c r="E1179" s="100"/>
      <c r="F1179" s="100"/>
      <c r="G1179" s="100" t="s">
        <v>1853</v>
      </c>
      <c r="H1179" s="107">
        <v>1</v>
      </c>
      <c r="I1179" s="100" t="s">
        <v>1852</v>
      </c>
      <c r="J1179" s="102">
        <v>419.78</v>
      </c>
    </row>
    <row r="1180" spans="1:10" ht="1.1499999999999999" customHeight="1" thickTop="1" x14ac:dyDescent="0.2">
      <c r="A1180" s="106"/>
      <c r="B1180" s="106"/>
      <c r="C1180" s="106"/>
      <c r="D1180" s="106"/>
      <c r="E1180" s="106"/>
      <c r="F1180" s="106"/>
      <c r="G1180" s="106"/>
      <c r="H1180" s="106"/>
      <c r="I1180" s="106"/>
      <c r="J1180" s="106"/>
    </row>
    <row r="1181" spans="1:10" ht="18" customHeight="1" x14ac:dyDescent="0.2">
      <c r="A1181" s="117" t="s">
        <v>318</v>
      </c>
      <c r="B1181" s="126" t="s">
        <v>5</v>
      </c>
      <c r="C1181" s="117" t="s">
        <v>6</v>
      </c>
      <c r="D1181" s="117" t="s">
        <v>7</v>
      </c>
      <c r="E1181" s="136" t="s">
        <v>1113</v>
      </c>
      <c r="F1181" s="136"/>
      <c r="G1181" s="7" t="s">
        <v>8</v>
      </c>
      <c r="H1181" s="126" t="s">
        <v>9</v>
      </c>
      <c r="I1181" s="126" t="s">
        <v>10</v>
      </c>
      <c r="J1181" s="126" t="s">
        <v>12</v>
      </c>
    </row>
    <row r="1182" spans="1:10" ht="24" customHeight="1" x14ac:dyDescent="0.2">
      <c r="A1182" s="116" t="s">
        <v>1861</v>
      </c>
      <c r="B1182" s="1" t="s">
        <v>319</v>
      </c>
      <c r="C1182" s="116" t="s">
        <v>20</v>
      </c>
      <c r="D1182" s="116" t="s">
        <v>320</v>
      </c>
      <c r="E1182" s="137">
        <v>7</v>
      </c>
      <c r="F1182" s="137"/>
      <c r="G1182" s="2" t="s">
        <v>37</v>
      </c>
      <c r="H1182" s="115">
        <v>1</v>
      </c>
      <c r="I1182" s="61">
        <v>175.87</v>
      </c>
      <c r="J1182" s="61">
        <v>175.87</v>
      </c>
    </row>
    <row r="1183" spans="1:10" ht="24" customHeight="1" x14ac:dyDescent="0.2">
      <c r="A1183" s="113" t="s">
        <v>1859</v>
      </c>
      <c r="B1183" s="114" t="s">
        <v>2517</v>
      </c>
      <c r="C1183" s="113" t="s">
        <v>20</v>
      </c>
      <c r="D1183" s="113" t="s">
        <v>2516</v>
      </c>
      <c r="E1183" s="139" t="s">
        <v>1369</v>
      </c>
      <c r="F1183" s="139"/>
      <c r="G1183" s="112" t="s">
        <v>246</v>
      </c>
      <c r="H1183" s="111">
        <v>1</v>
      </c>
      <c r="I1183" s="110">
        <v>135.97999999999999</v>
      </c>
      <c r="J1183" s="110">
        <v>135.97999999999999</v>
      </c>
    </row>
    <row r="1184" spans="1:10" ht="24" customHeight="1" x14ac:dyDescent="0.2">
      <c r="A1184" s="113" t="s">
        <v>1859</v>
      </c>
      <c r="B1184" s="114" t="s">
        <v>1951</v>
      </c>
      <c r="C1184" s="113" t="s">
        <v>20</v>
      </c>
      <c r="D1184" s="113" t="s">
        <v>1950</v>
      </c>
      <c r="E1184" s="139" t="s">
        <v>1860</v>
      </c>
      <c r="F1184" s="139"/>
      <c r="G1184" s="112" t="s">
        <v>1864</v>
      </c>
      <c r="H1184" s="111">
        <v>1.5</v>
      </c>
      <c r="I1184" s="110">
        <v>10.62</v>
      </c>
      <c r="J1184" s="110">
        <v>15.93</v>
      </c>
    </row>
    <row r="1185" spans="1:10" ht="24" customHeight="1" x14ac:dyDescent="0.2">
      <c r="A1185" s="113" t="s">
        <v>1859</v>
      </c>
      <c r="B1185" s="114" t="s">
        <v>2442</v>
      </c>
      <c r="C1185" s="113" t="s">
        <v>20</v>
      </c>
      <c r="D1185" s="113" t="s">
        <v>2441</v>
      </c>
      <c r="E1185" s="139" t="s">
        <v>1860</v>
      </c>
      <c r="F1185" s="139"/>
      <c r="G1185" s="112" t="s">
        <v>1864</v>
      </c>
      <c r="H1185" s="111">
        <v>1.5</v>
      </c>
      <c r="I1185" s="110">
        <v>15.97</v>
      </c>
      <c r="J1185" s="110">
        <v>23.96</v>
      </c>
    </row>
    <row r="1186" spans="1:10" x14ac:dyDescent="0.2">
      <c r="A1186" s="109"/>
      <c r="B1186" s="109"/>
      <c r="C1186" s="109"/>
      <c r="D1186" s="109"/>
      <c r="E1186" s="109" t="s">
        <v>1858</v>
      </c>
      <c r="F1186" s="108">
        <v>39.89</v>
      </c>
      <c r="G1186" s="109" t="s">
        <v>1857</v>
      </c>
      <c r="H1186" s="108">
        <v>0</v>
      </c>
      <c r="I1186" s="109" t="s">
        <v>1856</v>
      </c>
      <c r="J1186" s="108">
        <v>39.89</v>
      </c>
    </row>
    <row r="1187" spans="1:10" ht="13.9" customHeight="1" x14ac:dyDescent="0.2">
      <c r="A1187" s="109"/>
      <c r="B1187" s="109"/>
      <c r="C1187" s="109"/>
      <c r="D1187" s="109"/>
      <c r="E1187" s="109" t="s">
        <v>1855</v>
      </c>
      <c r="F1187" s="108">
        <v>46.693485000000003</v>
      </c>
      <c r="G1187" s="109"/>
      <c r="H1187" s="140" t="s">
        <v>1854</v>
      </c>
      <c r="I1187" s="140"/>
      <c r="J1187" s="108">
        <v>222.56</v>
      </c>
    </row>
    <row r="1188" spans="1:10" ht="30" customHeight="1" thickBot="1" x14ac:dyDescent="0.25">
      <c r="A1188" s="100"/>
      <c r="B1188" s="100"/>
      <c r="C1188" s="100"/>
      <c r="D1188" s="100"/>
      <c r="E1188" s="100"/>
      <c r="F1188" s="100"/>
      <c r="G1188" s="100" t="s">
        <v>1853</v>
      </c>
      <c r="H1188" s="107">
        <v>2</v>
      </c>
      <c r="I1188" s="100" t="s">
        <v>1852</v>
      </c>
      <c r="J1188" s="102">
        <v>445.12</v>
      </c>
    </row>
    <row r="1189" spans="1:10" ht="1.1499999999999999" customHeight="1" thickTop="1" x14ac:dyDescent="0.2">
      <c r="A1189" s="106"/>
      <c r="B1189" s="106"/>
      <c r="C1189" s="106"/>
      <c r="D1189" s="106"/>
      <c r="E1189" s="106"/>
      <c r="F1189" s="106"/>
      <c r="G1189" s="106"/>
      <c r="H1189" s="106"/>
      <c r="I1189" s="106"/>
      <c r="J1189" s="106"/>
    </row>
    <row r="1190" spans="1:10" ht="18" customHeight="1" x14ac:dyDescent="0.2">
      <c r="A1190" s="117" t="s">
        <v>321</v>
      </c>
      <c r="B1190" s="126" t="s">
        <v>5</v>
      </c>
      <c r="C1190" s="117" t="s">
        <v>6</v>
      </c>
      <c r="D1190" s="117" t="s">
        <v>7</v>
      </c>
      <c r="E1190" s="136" t="s">
        <v>1113</v>
      </c>
      <c r="F1190" s="136"/>
      <c r="G1190" s="7" t="s">
        <v>8</v>
      </c>
      <c r="H1190" s="126" t="s">
        <v>9</v>
      </c>
      <c r="I1190" s="126" t="s">
        <v>10</v>
      </c>
      <c r="J1190" s="126" t="s">
        <v>12</v>
      </c>
    </row>
    <row r="1191" spans="1:10" ht="24" customHeight="1" x14ac:dyDescent="0.2">
      <c r="A1191" s="116" t="s">
        <v>1861</v>
      </c>
      <c r="B1191" s="1" t="s">
        <v>313</v>
      </c>
      <c r="C1191" s="116" t="s">
        <v>20</v>
      </c>
      <c r="D1191" s="116" t="s">
        <v>322</v>
      </c>
      <c r="E1191" s="137">
        <v>7</v>
      </c>
      <c r="F1191" s="137"/>
      <c r="G1191" s="2" t="s">
        <v>37</v>
      </c>
      <c r="H1191" s="115">
        <v>1</v>
      </c>
      <c r="I1191" s="61">
        <v>748.14</v>
      </c>
      <c r="J1191" s="61">
        <v>748.14</v>
      </c>
    </row>
    <row r="1192" spans="1:10" ht="24" customHeight="1" x14ac:dyDescent="0.2">
      <c r="A1192" s="113" t="s">
        <v>1859</v>
      </c>
      <c r="B1192" s="114" t="s">
        <v>2515</v>
      </c>
      <c r="C1192" s="113" t="s">
        <v>20</v>
      </c>
      <c r="D1192" s="113" t="s">
        <v>314</v>
      </c>
      <c r="E1192" s="139" t="s">
        <v>1369</v>
      </c>
      <c r="F1192" s="139"/>
      <c r="G1192" s="112" t="s">
        <v>246</v>
      </c>
      <c r="H1192" s="111">
        <v>1</v>
      </c>
      <c r="I1192" s="110">
        <v>641.78</v>
      </c>
      <c r="J1192" s="110">
        <v>641.78</v>
      </c>
    </row>
    <row r="1193" spans="1:10" ht="24" customHeight="1" x14ac:dyDescent="0.2">
      <c r="A1193" s="113" t="s">
        <v>1859</v>
      </c>
      <c r="B1193" s="114" t="s">
        <v>1951</v>
      </c>
      <c r="C1193" s="113" t="s">
        <v>20</v>
      </c>
      <c r="D1193" s="113" t="s">
        <v>1950</v>
      </c>
      <c r="E1193" s="139" t="s">
        <v>1860</v>
      </c>
      <c r="F1193" s="139"/>
      <c r="G1193" s="112" t="s">
        <v>1864</v>
      </c>
      <c r="H1193" s="111">
        <v>4</v>
      </c>
      <c r="I1193" s="110">
        <v>10.62</v>
      </c>
      <c r="J1193" s="110">
        <v>42.48</v>
      </c>
    </row>
    <row r="1194" spans="1:10" ht="24" customHeight="1" x14ac:dyDescent="0.2">
      <c r="A1194" s="113" t="s">
        <v>1859</v>
      </c>
      <c r="B1194" s="114" t="s">
        <v>2442</v>
      </c>
      <c r="C1194" s="113" t="s">
        <v>20</v>
      </c>
      <c r="D1194" s="113" t="s">
        <v>2441</v>
      </c>
      <c r="E1194" s="139" t="s">
        <v>1860</v>
      </c>
      <c r="F1194" s="139"/>
      <c r="G1194" s="112" t="s">
        <v>1864</v>
      </c>
      <c r="H1194" s="111">
        <v>4</v>
      </c>
      <c r="I1194" s="110">
        <v>15.97</v>
      </c>
      <c r="J1194" s="110">
        <v>63.88</v>
      </c>
    </row>
    <row r="1195" spans="1:10" x14ac:dyDescent="0.2">
      <c r="A1195" s="109"/>
      <c r="B1195" s="109"/>
      <c r="C1195" s="109"/>
      <c r="D1195" s="109"/>
      <c r="E1195" s="109" t="s">
        <v>1858</v>
      </c>
      <c r="F1195" s="108">
        <v>106.36</v>
      </c>
      <c r="G1195" s="109" t="s">
        <v>1857</v>
      </c>
      <c r="H1195" s="108">
        <v>0</v>
      </c>
      <c r="I1195" s="109" t="s">
        <v>1856</v>
      </c>
      <c r="J1195" s="108">
        <v>106.36</v>
      </c>
    </row>
    <row r="1196" spans="1:10" ht="13.9" customHeight="1" x14ac:dyDescent="0.2">
      <c r="A1196" s="109"/>
      <c r="B1196" s="109"/>
      <c r="C1196" s="109"/>
      <c r="D1196" s="109"/>
      <c r="E1196" s="109" t="s">
        <v>1855</v>
      </c>
      <c r="F1196" s="108">
        <v>198.63117</v>
      </c>
      <c r="G1196" s="109"/>
      <c r="H1196" s="140" t="s">
        <v>1854</v>
      </c>
      <c r="I1196" s="140"/>
      <c r="J1196" s="108">
        <v>946.77</v>
      </c>
    </row>
    <row r="1197" spans="1:10" ht="30" customHeight="1" thickBot="1" x14ac:dyDescent="0.25">
      <c r="A1197" s="100"/>
      <c r="B1197" s="100"/>
      <c r="C1197" s="100"/>
      <c r="D1197" s="100"/>
      <c r="E1197" s="100"/>
      <c r="F1197" s="100"/>
      <c r="G1197" s="100" t="s">
        <v>1853</v>
      </c>
      <c r="H1197" s="107">
        <v>1</v>
      </c>
      <c r="I1197" s="100" t="s">
        <v>1852</v>
      </c>
      <c r="J1197" s="102">
        <v>946.77</v>
      </c>
    </row>
    <row r="1198" spans="1:10" ht="1.1499999999999999" customHeight="1" thickTop="1" x14ac:dyDescent="0.2">
      <c r="A1198" s="106"/>
      <c r="B1198" s="106"/>
      <c r="C1198" s="106"/>
      <c r="D1198" s="106"/>
      <c r="E1198" s="106"/>
      <c r="F1198" s="106"/>
      <c r="G1198" s="106"/>
      <c r="H1198" s="106"/>
      <c r="I1198" s="106"/>
      <c r="J1198" s="106"/>
    </row>
    <row r="1199" spans="1:10" ht="18" customHeight="1" x14ac:dyDescent="0.2">
      <c r="A1199" s="117" t="s">
        <v>323</v>
      </c>
      <c r="B1199" s="126" t="s">
        <v>5</v>
      </c>
      <c r="C1199" s="117" t="s">
        <v>6</v>
      </c>
      <c r="D1199" s="117" t="s">
        <v>7</v>
      </c>
      <c r="E1199" s="136" t="s">
        <v>1113</v>
      </c>
      <c r="F1199" s="136"/>
      <c r="G1199" s="7" t="s">
        <v>8</v>
      </c>
      <c r="H1199" s="126" t="s">
        <v>9</v>
      </c>
      <c r="I1199" s="126" t="s">
        <v>10</v>
      </c>
      <c r="J1199" s="126" t="s">
        <v>12</v>
      </c>
    </row>
    <row r="1200" spans="1:10" ht="24" customHeight="1" x14ac:dyDescent="0.2">
      <c r="A1200" s="116" t="s">
        <v>1861</v>
      </c>
      <c r="B1200" s="1" t="s">
        <v>324</v>
      </c>
      <c r="C1200" s="116" t="s">
        <v>20</v>
      </c>
      <c r="D1200" s="116" t="s">
        <v>325</v>
      </c>
      <c r="E1200" s="137">
        <v>7</v>
      </c>
      <c r="F1200" s="137"/>
      <c r="G1200" s="2" t="s">
        <v>37</v>
      </c>
      <c r="H1200" s="115">
        <v>1</v>
      </c>
      <c r="I1200" s="61">
        <v>10.77</v>
      </c>
      <c r="J1200" s="61">
        <v>10.77</v>
      </c>
    </row>
    <row r="1201" spans="1:10" ht="24" customHeight="1" x14ac:dyDescent="0.2">
      <c r="A1201" s="113" t="s">
        <v>1859</v>
      </c>
      <c r="B1201" s="114" t="s">
        <v>2514</v>
      </c>
      <c r="C1201" s="113" t="s">
        <v>20</v>
      </c>
      <c r="D1201" s="113" t="s">
        <v>325</v>
      </c>
      <c r="E1201" s="139" t="s">
        <v>1369</v>
      </c>
      <c r="F1201" s="139"/>
      <c r="G1201" s="112" t="s">
        <v>246</v>
      </c>
      <c r="H1201" s="111">
        <v>1</v>
      </c>
      <c r="I1201" s="110">
        <v>5.46</v>
      </c>
      <c r="J1201" s="110">
        <v>5.46</v>
      </c>
    </row>
    <row r="1202" spans="1:10" ht="24" customHeight="1" x14ac:dyDescent="0.2">
      <c r="A1202" s="113" t="s">
        <v>1859</v>
      </c>
      <c r="B1202" s="114" t="s">
        <v>1951</v>
      </c>
      <c r="C1202" s="113" t="s">
        <v>20</v>
      </c>
      <c r="D1202" s="113" t="s">
        <v>1950</v>
      </c>
      <c r="E1202" s="139" t="s">
        <v>1860</v>
      </c>
      <c r="F1202" s="139"/>
      <c r="G1202" s="112" t="s">
        <v>1864</v>
      </c>
      <c r="H1202" s="111">
        <v>0.2</v>
      </c>
      <c r="I1202" s="110">
        <v>10.62</v>
      </c>
      <c r="J1202" s="110">
        <v>2.12</v>
      </c>
    </row>
    <row r="1203" spans="1:10" ht="24" customHeight="1" x14ac:dyDescent="0.2">
      <c r="A1203" s="113" t="s">
        <v>1859</v>
      </c>
      <c r="B1203" s="114" t="s">
        <v>2442</v>
      </c>
      <c r="C1203" s="113" t="s">
        <v>20</v>
      </c>
      <c r="D1203" s="113" t="s">
        <v>2441</v>
      </c>
      <c r="E1203" s="139" t="s">
        <v>1860</v>
      </c>
      <c r="F1203" s="139"/>
      <c r="G1203" s="112" t="s">
        <v>1864</v>
      </c>
      <c r="H1203" s="111">
        <v>0.2</v>
      </c>
      <c r="I1203" s="110">
        <v>15.97</v>
      </c>
      <c r="J1203" s="110">
        <v>3.19</v>
      </c>
    </row>
    <row r="1204" spans="1:10" x14ac:dyDescent="0.2">
      <c r="A1204" s="109"/>
      <c r="B1204" s="109"/>
      <c r="C1204" s="109"/>
      <c r="D1204" s="109"/>
      <c r="E1204" s="109" t="s">
        <v>1858</v>
      </c>
      <c r="F1204" s="108">
        <v>5.31</v>
      </c>
      <c r="G1204" s="109" t="s">
        <v>1857</v>
      </c>
      <c r="H1204" s="108">
        <v>0</v>
      </c>
      <c r="I1204" s="109" t="s">
        <v>1856</v>
      </c>
      <c r="J1204" s="108">
        <v>5.31</v>
      </c>
    </row>
    <row r="1205" spans="1:10" ht="13.9" customHeight="1" x14ac:dyDescent="0.2">
      <c r="A1205" s="109"/>
      <c r="B1205" s="109"/>
      <c r="C1205" s="109"/>
      <c r="D1205" s="109"/>
      <c r="E1205" s="109" t="s">
        <v>1855</v>
      </c>
      <c r="F1205" s="108">
        <v>2.8594349999999999</v>
      </c>
      <c r="G1205" s="109"/>
      <c r="H1205" s="140" t="s">
        <v>1854</v>
      </c>
      <c r="I1205" s="140"/>
      <c r="J1205" s="108">
        <v>13.63</v>
      </c>
    </row>
    <row r="1206" spans="1:10" ht="30" customHeight="1" thickBot="1" x14ac:dyDescent="0.25">
      <c r="A1206" s="100"/>
      <c r="B1206" s="100"/>
      <c r="C1206" s="100"/>
      <c r="D1206" s="100"/>
      <c r="E1206" s="100"/>
      <c r="F1206" s="100"/>
      <c r="G1206" s="100" t="s">
        <v>1853</v>
      </c>
      <c r="H1206" s="107">
        <v>24</v>
      </c>
      <c r="I1206" s="100" t="s">
        <v>1852</v>
      </c>
      <c r="J1206" s="102">
        <v>327.12</v>
      </c>
    </row>
    <row r="1207" spans="1:10" ht="1.1499999999999999" customHeight="1" thickTop="1" x14ac:dyDescent="0.2">
      <c r="A1207" s="106"/>
      <c r="B1207" s="106"/>
      <c r="C1207" s="106"/>
      <c r="D1207" s="106"/>
      <c r="E1207" s="106"/>
      <c r="F1207" s="106"/>
      <c r="G1207" s="106"/>
      <c r="H1207" s="106"/>
      <c r="I1207" s="106"/>
      <c r="J1207" s="106"/>
    </row>
    <row r="1208" spans="1:10" ht="18" customHeight="1" x14ac:dyDescent="0.2">
      <c r="A1208" s="117" t="s">
        <v>326</v>
      </c>
      <c r="B1208" s="126" t="s">
        <v>5</v>
      </c>
      <c r="C1208" s="117" t="s">
        <v>6</v>
      </c>
      <c r="D1208" s="117" t="s">
        <v>7</v>
      </c>
      <c r="E1208" s="136" t="s">
        <v>1113</v>
      </c>
      <c r="F1208" s="136"/>
      <c r="G1208" s="7" t="s">
        <v>8</v>
      </c>
      <c r="H1208" s="126" t="s">
        <v>9</v>
      </c>
      <c r="I1208" s="126" t="s">
        <v>10</v>
      </c>
      <c r="J1208" s="126" t="s">
        <v>12</v>
      </c>
    </row>
    <row r="1209" spans="1:10" ht="24" customHeight="1" x14ac:dyDescent="0.2">
      <c r="A1209" s="116" t="s">
        <v>1861</v>
      </c>
      <c r="B1209" s="1" t="s">
        <v>327</v>
      </c>
      <c r="C1209" s="116" t="s">
        <v>249</v>
      </c>
      <c r="D1209" s="116" t="s">
        <v>328</v>
      </c>
      <c r="E1209" s="137">
        <v>62</v>
      </c>
      <c r="F1209" s="137"/>
      <c r="G1209" s="2" t="s">
        <v>236</v>
      </c>
      <c r="H1209" s="115">
        <v>1</v>
      </c>
      <c r="I1209" s="61">
        <v>87.88</v>
      </c>
      <c r="J1209" s="61">
        <v>87.88</v>
      </c>
    </row>
    <row r="1210" spans="1:10" ht="24" customHeight="1" x14ac:dyDescent="0.2">
      <c r="A1210" s="121" t="s">
        <v>1888</v>
      </c>
      <c r="B1210" s="122" t="s">
        <v>2486</v>
      </c>
      <c r="C1210" s="121" t="s">
        <v>25</v>
      </c>
      <c r="D1210" s="121" t="s">
        <v>2485</v>
      </c>
      <c r="E1210" s="138" t="s">
        <v>1902</v>
      </c>
      <c r="F1210" s="138"/>
      <c r="G1210" s="120" t="s">
        <v>61</v>
      </c>
      <c r="H1210" s="119">
        <v>0.58699999999999997</v>
      </c>
      <c r="I1210" s="118">
        <v>16.11</v>
      </c>
      <c r="J1210" s="118">
        <v>9.4600000000000009</v>
      </c>
    </row>
    <row r="1211" spans="1:10" ht="24" customHeight="1" x14ac:dyDescent="0.2">
      <c r="A1211" s="121" t="s">
        <v>1888</v>
      </c>
      <c r="B1211" s="122" t="s">
        <v>2484</v>
      </c>
      <c r="C1211" s="121" t="s">
        <v>25</v>
      </c>
      <c r="D1211" s="121" t="s">
        <v>2483</v>
      </c>
      <c r="E1211" s="138" t="s">
        <v>1902</v>
      </c>
      <c r="F1211" s="138"/>
      <c r="G1211" s="120" t="s">
        <v>61</v>
      </c>
      <c r="H1211" s="119">
        <v>0.58699999999999997</v>
      </c>
      <c r="I1211" s="118">
        <v>21.76</v>
      </c>
      <c r="J1211" s="118">
        <v>12.77</v>
      </c>
    </row>
    <row r="1212" spans="1:10" ht="24" customHeight="1" x14ac:dyDescent="0.2">
      <c r="A1212" s="113" t="s">
        <v>1859</v>
      </c>
      <c r="B1212" s="114" t="s">
        <v>2513</v>
      </c>
      <c r="C1212" s="113" t="s">
        <v>249</v>
      </c>
      <c r="D1212" s="113" t="s">
        <v>328</v>
      </c>
      <c r="E1212" s="139" t="s">
        <v>1369</v>
      </c>
      <c r="F1212" s="139"/>
      <c r="G1212" s="112" t="s">
        <v>236</v>
      </c>
      <c r="H1212" s="111">
        <v>1</v>
      </c>
      <c r="I1212" s="110">
        <v>65.650000000000006</v>
      </c>
      <c r="J1212" s="110">
        <v>65.650000000000006</v>
      </c>
    </row>
    <row r="1213" spans="1:10" x14ac:dyDescent="0.2">
      <c r="A1213" s="109"/>
      <c r="B1213" s="109"/>
      <c r="C1213" s="109"/>
      <c r="D1213" s="109"/>
      <c r="E1213" s="109" t="s">
        <v>1858</v>
      </c>
      <c r="F1213" s="108">
        <v>15.68</v>
      </c>
      <c r="G1213" s="109" t="s">
        <v>1857</v>
      </c>
      <c r="H1213" s="108">
        <v>0</v>
      </c>
      <c r="I1213" s="109" t="s">
        <v>1856</v>
      </c>
      <c r="J1213" s="108">
        <v>15.68</v>
      </c>
    </row>
    <row r="1214" spans="1:10" ht="13.9" customHeight="1" x14ac:dyDescent="0.2">
      <c r="A1214" s="109"/>
      <c r="B1214" s="109"/>
      <c r="C1214" s="109"/>
      <c r="D1214" s="109"/>
      <c r="E1214" s="109" t="s">
        <v>1855</v>
      </c>
      <c r="F1214" s="108">
        <v>23.332139999999999</v>
      </c>
      <c r="G1214" s="109"/>
      <c r="H1214" s="140" t="s">
        <v>1854</v>
      </c>
      <c r="I1214" s="140"/>
      <c r="J1214" s="108">
        <v>111.21</v>
      </c>
    </row>
    <row r="1215" spans="1:10" ht="30" customHeight="1" thickBot="1" x14ac:dyDescent="0.25">
      <c r="A1215" s="100"/>
      <c r="B1215" s="100"/>
      <c r="C1215" s="100"/>
      <c r="D1215" s="100"/>
      <c r="E1215" s="100"/>
      <c r="F1215" s="100"/>
      <c r="G1215" s="100" t="s">
        <v>1853</v>
      </c>
      <c r="H1215" s="107">
        <v>3</v>
      </c>
      <c r="I1215" s="100" t="s">
        <v>1852</v>
      </c>
      <c r="J1215" s="102">
        <v>333.63</v>
      </c>
    </row>
    <row r="1216" spans="1:10" ht="1.1499999999999999" customHeight="1" thickTop="1" x14ac:dyDescent="0.2">
      <c r="A1216" s="106"/>
      <c r="B1216" s="106"/>
      <c r="C1216" s="106"/>
      <c r="D1216" s="106"/>
      <c r="E1216" s="106"/>
      <c r="F1216" s="106"/>
      <c r="G1216" s="106"/>
      <c r="H1216" s="106"/>
      <c r="I1216" s="106"/>
      <c r="J1216" s="106"/>
    </row>
    <row r="1217" spans="1:10" ht="24" customHeight="1" x14ac:dyDescent="0.2">
      <c r="A1217" s="123" t="s">
        <v>1650</v>
      </c>
      <c r="B1217" s="123"/>
      <c r="C1217" s="123"/>
      <c r="D1217" s="123" t="s">
        <v>1649</v>
      </c>
      <c r="E1217" s="123"/>
      <c r="F1217" s="142"/>
      <c r="G1217" s="142"/>
      <c r="H1217" s="3"/>
      <c r="I1217" s="123"/>
      <c r="J1217" s="63">
        <v>27552.33</v>
      </c>
    </row>
    <row r="1218" spans="1:10" ht="18" customHeight="1" x14ac:dyDescent="0.2">
      <c r="A1218" s="117" t="s">
        <v>1648</v>
      </c>
      <c r="B1218" s="126" t="s">
        <v>5</v>
      </c>
      <c r="C1218" s="117" t="s">
        <v>6</v>
      </c>
      <c r="D1218" s="117" t="s">
        <v>7</v>
      </c>
      <c r="E1218" s="136" t="s">
        <v>1113</v>
      </c>
      <c r="F1218" s="136"/>
      <c r="G1218" s="7" t="s">
        <v>8</v>
      </c>
      <c r="H1218" s="126" t="s">
        <v>9</v>
      </c>
      <c r="I1218" s="126" t="s">
        <v>10</v>
      </c>
      <c r="J1218" s="126" t="s">
        <v>12</v>
      </c>
    </row>
    <row r="1219" spans="1:10" ht="24" customHeight="1" x14ac:dyDescent="0.2">
      <c r="A1219" s="116" t="s">
        <v>1861</v>
      </c>
      <c r="B1219" s="1" t="s">
        <v>1679</v>
      </c>
      <c r="C1219" s="116" t="s">
        <v>244</v>
      </c>
      <c r="D1219" s="116" t="s">
        <v>1680</v>
      </c>
      <c r="E1219" s="137" t="s">
        <v>1710</v>
      </c>
      <c r="F1219" s="137"/>
      <c r="G1219" s="2" t="s">
        <v>213</v>
      </c>
      <c r="H1219" s="115">
        <v>1</v>
      </c>
      <c r="I1219" s="61">
        <v>38.32</v>
      </c>
      <c r="J1219" s="61">
        <v>38.32</v>
      </c>
    </row>
    <row r="1220" spans="1:10" ht="24" customHeight="1" x14ac:dyDescent="0.2">
      <c r="A1220" s="121" t="s">
        <v>1888</v>
      </c>
      <c r="B1220" s="122" t="s">
        <v>1890</v>
      </c>
      <c r="C1220" s="121" t="s">
        <v>244</v>
      </c>
      <c r="D1220" s="121" t="s">
        <v>1889</v>
      </c>
      <c r="E1220" s="138" t="s">
        <v>1885</v>
      </c>
      <c r="F1220" s="138"/>
      <c r="G1220" s="120" t="s">
        <v>1864</v>
      </c>
      <c r="H1220" s="119">
        <v>0.4</v>
      </c>
      <c r="I1220" s="118">
        <v>3.61</v>
      </c>
      <c r="J1220" s="118">
        <v>1.44</v>
      </c>
    </row>
    <row r="1221" spans="1:10" ht="24" customHeight="1" x14ac:dyDescent="0.2">
      <c r="A1221" s="121" t="s">
        <v>1888</v>
      </c>
      <c r="B1221" s="122" t="s">
        <v>2503</v>
      </c>
      <c r="C1221" s="121" t="s">
        <v>244</v>
      </c>
      <c r="D1221" s="121" t="s">
        <v>2502</v>
      </c>
      <c r="E1221" s="138" t="s">
        <v>1885</v>
      </c>
      <c r="F1221" s="138"/>
      <c r="G1221" s="120" t="s">
        <v>1864</v>
      </c>
      <c r="H1221" s="119">
        <v>0.4</v>
      </c>
      <c r="I1221" s="118">
        <v>3.47</v>
      </c>
      <c r="J1221" s="118">
        <v>1.39</v>
      </c>
    </row>
    <row r="1222" spans="1:10" ht="36" customHeight="1" x14ac:dyDescent="0.2">
      <c r="A1222" s="113" t="s">
        <v>1859</v>
      </c>
      <c r="B1222" s="114" t="s">
        <v>2512</v>
      </c>
      <c r="C1222" s="113" t="s">
        <v>244</v>
      </c>
      <c r="D1222" s="113" t="s">
        <v>2511</v>
      </c>
      <c r="E1222" s="139" t="s">
        <v>1369</v>
      </c>
      <c r="F1222" s="139"/>
      <c r="G1222" s="112" t="s">
        <v>213</v>
      </c>
      <c r="H1222" s="111">
        <v>1</v>
      </c>
      <c r="I1222" s="110">
        <v>25.03</v>
      </c>
      <c r="J1222" s="110">
        <v>25.03</v>
      </c>
    </row>
    <row r="1223" spans="1:10" ht="24" customHeight="1" x14ac:dyDescent="0.2">
      <c r="A1223" s="113" t="s">
        <v>1859</v>
      </c>
      <c r="B1223" s="114" t="s">
        <v>2500</v>
      </c>
      <c r="C1223" s="113" t="s">
        <v>25</v>
      </c>
      <c r="D1223" s="113" t="s">
        <v>2441</v>
      </c>
      <c r="E1223" s="139" t="s">
        <v>1860</v>
      </c>
      <c r="F1223" s="139"/>
      <c r="G1223" s="112" t="s">
        <v>61</v>
      </c>
      <c r="H1223" s="111">
        <v>0.4</v>
      </c>
      <c r="I1223" s="110">
        <v>15.71</v>
      </c>
      <c r="J1223" s="110">
        <v>6.28</v>
      </c>
    </row>
    <row r="1224" spans="1:10" ht="24" customHeight="1" x14ac:dyDescent="0.2">
      <c r="A1224" s="113" t="s">
        <v>1859</v>
      </c>
      <c r="B1224" s="114" t="s">
        <v>1881</v>
      </c>
      <c r="C1224" s="113" t="s">
        <v>25</v>
      </c>
      <c r="D1224" s="113" t="s">
        <v>1880</v>
      </c>
      <c r="E1224" s="139" t="s">
        <v>1860</v>
      </c>
      <c r="F1224" s="139"/>
      <c r="G1224" s="112" t="s">
        <v>61</v>
      </c>
      <c r="H1224" s="111">
        <v>0.4</v>
      </c>
      <c r="I1224" s="110">
        <v>10.44</v>
      </c>
      <c r="J1224" s="110">
        <v>4.18</v>
      </c>
    </row>
    <row r="1225" spans="1:10" x14ac:dyDescent="0.2">
      <c r="A1225" s="109"/>
      <c r="B1225" s="109"/>
      <c r="C1225" s="109"/>
      <c r="D1225" s="109"/>
      <c r="E1225" s="109" t="s">
        <v>1858</v>
      </c>
      <c r="F1225" s="108">
        <v>10.46</v>
      </c>
      <c r="G1225" s="109" t="s">
        <v>1857</v>
      </c>
      <c r="H1225" s="108">
        <v>0</v>
      </c>
      <c r="I1225" s="109" t="s">
        <v>1856</v>
      </c>
      <c r="J1225" s="108">
        <v>10.46</v>
      </c>
    </row>
    <row r="1226" spans="1:10" ht="13.9" customHeight="1" x14ac:dyDescent="0.2">
      <c r="A1226" s="109"/>
      <c r="B1226" s="109"/>
      <c r="C1226" s="109"/>
      <c r="D1226" s="109"/>
      <c r="E1226" s="109" t="s">
        <v>1855</v>
      </c>
      <c r="F1226" s="108">
        <v>10.173959999999999</v>
      </c>
      <c r="G1226" s="109"/>
      <c r="H1226" s="140" t="s">
        <v>1854</v>
      </c>
      <c r="I1226" s="140"/>
      <c r="J1226" s="108">
        <v>48.49</v>
      </c>
    </row>
    <row r="1227" spans="1:10" ht="30" customHeight="1" thickBot="1" x14ac:dyDescent="0.25">
      <c r="A1227" s="100"/>
      <c r="B1227" s="100"/>
      <c r="C1227" s="100"/>
      <c r="D1227" s="100"/>
      <c r="E1227" s="100"/>
      <c r="F1227" s="100"/>
      <c r="G1227" s="100" t="s">
        <v>1853</v>
      </c>
      <c r="H1227" s="107">
        <v>44.52</v>
      </c>
      <c r="I1227" s="100" t="s">
        <v>1852</v>
      </c>
      <c r="J1227" s="102">
        <v>2158.77</v>
      </c>
    </row>
    <row r="1228" spans="1:10" ht="1.1499999999999999" customHeight="1" thickTop="1" x14ac:dyDescent="0.2">
      <c r="A1228" s="106"/>
      <c r="B1228" s="106"/>
      <c r="C1228" s="106"/>
      <c r="D1228" s="106"/>
      <c r="E1228" s="106"/>
      <c r="F1228" s="106"/>
      <c r="G1228" s="106"/>
      <c r="H1228" s="106"/>
      <c r="I1228" s="106"/>
      <c r="J1228" s="106"/>
    </row>
    <row r="1229" spans="1:10" ht="18" customHeight="1" x14ac:dyDescent="0.2">
      <c r="A1229" s="117" t="s">
        <v>1645</v>
      </c>
      <c r="B1229" s="126" t="s">
        <v>5</v>
      </c>
      <c r="C1229" s="117" t="s">
        <v>6</v>
      </c>
      <c r="D1229" s="117" t="s">
        <v>7</v>
      </c>
      <c r="E1229" s="136" t="s">
        <v>1113</v>
      </c>
      <c r="F1229" s="136"/>
      <c r="G1229" s="7" t="s">
        <v>8</v>
      </c>
      <c r="H1229" s="126" t="s">
        <v>9</v>
      </c>
      <c r="I1229" s="126" t="s">
        <v>10</v>
      </c>
      <c r="J1229" s="126" t="s">
        <v>12</v>
      </c>
    </row>
    <row r="1230" spans="1:10" ht="24" customHeight="1" x14ac:dyDescent="0.2">
      <c r="A1230" s="116" t="s">
        <v>1861</v>
      </c>
      <c r="B1230" s="1" t="s">
        <v>1681</v>
      </c>
      <c r="C1230" s="116" t="s">
        <v>20</v>
      </c>
      <c r="D1230" s="116" t="s">
        <v>1682</v>
      </c>
      <c r="E1230" s="137">
        <v>7</v>
      </c>
      <c r="F1230" s="137"/>
      <c r="G1230" s="2" t="s">
        <v>37</v>
      </c>
      <c r="H1230" s="115">
        <v>1</v>
      </c>
      <c r="I1230" s="61">
        <v>4.5199999999999996</v>
      </c>
      <c r="J1230" s="61">
        <v>4.5199999999999996</v>
      </c>
    </row>
    <row r="1231" spans="1:10" ht="24" customHeight="1" x14ac:dyDescent="0.2">
      <c r="A1231" s="113" t="s">
        <v>1859</v>
      </c>
      <c r="B1231" s="114" t="s">
        <v>2510</v>
      </c>
      <c r="C1231" s="113" t="s">
        <v>20</v>
      </c>
      <c r="D1231" s="113" t="s">
        <v>1682</v>
      </c>
      <c r="E1231" s="139" t="s">
        <v>1369</v>
      </c>
      <c r="F1231" s="139"/>
      <c r="G1231" s="112" t="s">
        <v>246</v>
      </c>
      <c r="H1231" s="111">
        <v>1</v>
      </c>
      <c r="I1231" s="110">
        <v>1.33</v>
      </c>
      <c r="J1231" s="110">
        <v>1.33</v>
      </c>
    </row>
    <row r="1232" spans="1:10" ht="24" customHeight="1" x14ac:dyDescent="0.2">
      <c r="A1232" s="113" t="s">
        <v>1859</v>
      </c>
      <c r="B1232" s="114" t="s">
        <v>1951</v>
      </c>
      <c r="C1232" s="113" t="s">
        <v>20</v>
      </c>
      <c r="D1232" s="113" t="s">
        <v>1950</v>
      </c>
      <c r="E1232" s="139" t="s">
        <v>1860</v>
      </c>
      <c r="F1232" s="139"/>
      <c r="G1232" s="112" t="s">
        <v>1864</v>
      </c>
      <c r="H1232" s="111">
        <v>0.12</v>
      </c>
      <c r="I1232" s="110">
        <v>10.62</v>
      </c>
      <c r="J1232" s="110">
        <v>1.27</v>
      </c>
    </row>
    <row r="1233" spans="1:10" ht="24" customHeight="1" x14ac:dyDescent="0.2">
      <c r="A1233" s="113" t="s">
        <v>1859</v>
      </c>
      <c r="B1233" s="114" t="s">
        <v>2442</v>
      </c>
      <c r="C1233" s="113" t="s">
        <v>20</v>
      </c>
      <c r="D1233" s="113" t="s">
        <v>2441</v>
      </c>
      <c r="E1233" s="139" t="s">
        <v>1860</v>
      </c>
      <c r="F1233" s="139"/>
      <c r="G1233" s="112" t="s">
        <v>1864</v>
      </c>
      <c r="H1233" s="111">
        <v>0.12</v>
      </c>
      <c r="I1233" s="110">
        <v>15.97</v>
      </c>
      <c r="J1233" s="110">
        <v>1.92</v>
      </c>
    </row>
    <row r="1234" spans="1:10" x14ac:dyDescent="0.2">
      <c r="A1234" s="109"/>
      <c r="B1234" s="109"/>
      <c r="C1234" s="109"/>
      <c r="D1234" s="109"/>
      <c r="E1234" s="109" t="s">
        <v>1858</v>
      </c>
      <c r="F1234" s="108">
        <v>3.19</v>
      </c>
      <c r="G1234" s="109" t="s">
        <v>1857</v>
      </c>
      <c r="H1234" s="108">
        <v>0</v>
      </c>
      <c r="I1234" s="109" t="s">
        <v>1856</v>
      </c>
      <c r="J1234" s="108">
        <v>3.19</v>
      </c>
    </row>
    <row r="1235" spans="1:10" ht="13.9" customHeight="1" x14ac:dyDescent="0.2">
      <c r="A1235" s="109"/>
      <c r="B1235" s="109"/>
      <c r="C1235" s="109"/>
      <c r="D1235" s="109"/>
      <c r="E1235" s="109" t="s">
        <v>1855</v>
      </c>
      <c r="F1235" s="108">
        <v>1.2000599999999999</v>
      </c>
      <c r="G1235" s="109"/>
      <c r="H1235" s="140" t="s">
        <v>1854</v>
      </c>
      <c r="I1235" s="140"/>
      <c r="J1235" s="108">
        <v>5.72</v>
      </c>
    </row>
    <row r="1236" spans="1:10" ht="30" customHeight="1" thickBot="1" x14ac:dyDescent="0.25">
      <c r="A1236" s="100"/>
      <c r="B1236" s="100"/>
      <c r="C1236" s="100"/>
      <c r="D1236" s="100"/>
      <c r="E1236" s="100"/>
      <c r="F1236" s="100"/>
      <c r="G1236" s="100" t="s">
        <v>1853</v>
      </c>
      <c r="H1236" s="107">
        <v>22</v>
      </c>
      <c r="I1236" s="100" t="s">
        <v>1852</v>
      </c>
      <c r="J1236" s="102">
        <v>125.84</v>
      </c>
    </row>
    <row r="1237" spans="1:10" ht="1.1499999999999999" customHeight="1" thickTop="1" x14ac:dyDescent="0.2">
      <c r="A1237" s="106"/>
      <c r="B1237" s="106"/>
      <c r="C1237" s="106"/>
      <c r="D1237" s="106"/>
      <c r="E1237" s="106"/>
      <c r="F1237" s="106"/>
      <c r="G1237" s="106"/>
      <c r="H1237" s="106"/>
      <c r="I1237" s="106"/>
      <c r="J1237" s="106"/>
    </row>
    <row r="1238" spans="1:10" ht="18" customHeight="1" x14ac:dyDescent="0.2">
      <c r="A1238" s="117" t="s">
        <v>1642</v>
      </c>
      <c r="B1238" s="126" t="s">
        <v>5</v>
      </c>
      <c r="C1238" s="117" t="s">
        <v>6</v>
      </c>
      <c r="D1238" s="117" t="s">
        <v>7</v>
      </c>
      <c r="E1238" s="136" t="s">
        <v>1113</v>
      </c>
      <c r="F1238" s="136"/>
      <c r="G1238" s="7" t="s">
        <v>8</v>
      </c>
      <c r="H1238" s="126" t="s">
        <v>9</v>
      </c>
      <c r="I1238" s="126" t="s">
        <v>10</v>
      </c>
      <c r="J1238" s="126" t="s">
        <v>12</v>
      </c>
    </row>
    <row r="1239" spans="1:10" ht="24" customHeight="1" x14ac:dyDescent="0.2">
      <c r="A1239" s="116" t="s">
        <v>1861</v>
      </c>
      <c r="B1239" s="1" t="s">
        <v>1683</v>
      </c>
      <c r="C1239" s="116" t="s">
        <v>20</v>
      </c>
      <c r="D1239" s="116" t="s">
        <v>1684</v>
      </c>
      <c r="E1239" s="137">
        <v>7</v>
      </c>
      <c r="F1239" s="137"/>
      <c r="G1239" s="2" t="s">
        <v>37</v>
      </c>
      <c r="H1239" s="115">
        <v>1</v>
      </c>
      <c r="I1239" s="61">
        <v>0.36</v>
      </c>
      <c r="J1239" s="61">
        <v>0.36</v>
      </c>
    </row>
    <row r="1240" spans="1:10" ht="24" customHeight="1" x14ac:dyDescent="0.2">
      <c r="A1240" s="113" t="s">
        <v>1859</v>
      </c>
      <c r="B1240" s="114" t="s">
        <v>2509</v>
      </c>
      <c r="C1240" s="113" t="s">
        <v>20</v>
      </c>
      <c r="D1240" s="113" t="s">
        <v>2508</v>
      </c>
      <c r="E1240" s="139" t="s">
        <v>1369</v>
      </c>
      <c r="F1240" s="139"/>
      <c r="G1240" s="112" t="s">
        <v>246</v>
      </c>
      <c r="H1240" s="111">
        <v>1</v>
      </c>
      <c r="I1240" s="110">
        <v>0.18</v>
      </c>
      <c r="J1240" s="110">
        <v>0.18</v>
      </c>
    </row>
    <row r="1241" spans="1:10" ht="24" customHeight="1" x14ac:dyDescent="0.2">
      <c r="A1241" s="113" t="s">
        <v>1859</v>
      </c>
      <c r="B1241" s="114" t="s">
        <v>1951</v>
      </c>
      <c r="C1241" s="113" t="s">
        <v>20</v>
      </c>
      <c r="D1241" s="113" t="s">
        <v>1950</v>
      </c>
      <c r="E1241" s="139" t="s">
        <v>1860</v>
      </c>
      <c r="F1241" s="139"/>
      <c r="G1241" s="112" t="s">
        <v>1864</v>
      </c>
      <c r="H1241" s="111">
        <v>6.6E-3</v>
      </c>
      <c r="I1241" s="110">
        <v>10.62</v>
      </c>
      <c r="J1241" s="110">
        <v>7.0000000000000007E-2</v>
      </c>
    </row>
    <row r="1242" spans="1:10" ht="24" customHeight="1" x14ac:dyDescent="0.2">
      <c r="A1242" s="113" t="s">
        <v>1859</v>
      </c>
      <c r="B1242" s="114" t="s">
        <v>2442</v>
      </c>
      <c r="C1242" s="113" t="s">
        <v>20</v>
      </c>
      <c r="D1242" s="113" t="s">
        <v>2441</v>
      </c>
      <c r="E1242" s="139" t="s">
        <v>1860</v>
      </c>
      <c r="F1242" s="139"/>
      <c r="G1242" s="112" t="s">
        <v>1864</v>
      </c>
      <c r="H1242" s="111">
        <v>6.6E-3</v>
      </c>
      <c r="I1242" s="110">
        <v>15.97</v>
      </c>
      <c r="J1242" s="110">
        <v>0.11</v>
      </c>
    </row>
    <row r="1243" spans="1:10" x14ac:dyDescent="0.2">
      <c r="A1243" s="109"/>
      <c r="B1243" s="109"/>
      <c r="C1243" s="109"/>
      <c r="D1243" s="109"/>
      <c r="E1243" s="109" t="s">
        <v>1858</v>
      </c>
      <c r="F1243" s="108">
        <v>0.18</v>
      </c>
      <c r="G1243" s="109" t="s">
        <v>1857</v>
      </c>
      <c r="H1243" s="108">
        <v>0</v>
      </c>
      <c r="I1243" s="109" t="s">
        <v>1856</v>
      </c>
      <c r="J1243" s="108">
        <v>0.18</v>
      </c>
    </row>
    <row r="1244" spans="1:10" ht="13.9" customHeight="1" x14ac:dyDescent="0.2">
      <c r="A1244" s="109"/>
      <c r="B1244" s="109"/>
      <c r="C1244" s="109"/>
      <c r="D1244" s="109"/>
      <c r="E1244" s="109" t="s">
        <v>1855</v>
      </c>
      <c r="F1244" s="108">
        <v>9.5579999999999998E-2</v>
      </c>
      <c r="G1244" s="109"/>
      <c r="H1244" s="140" t="s">
        <v>1854</v>
      </c>
      <c r="I1244" s="140"/>
      <c r="J1244" s="108">
        <v>0.46</v>
      </c>
    </row>
    <row r="1245" spans="1:10" ht="30" customHeight="1" thickBot="1" x14ac:dyDescent="0.25">
      <c r="A1245" s="100"/>
      <c r="B1245" s="100"/>
      <c r="C1245" s="100"/>
      <c r="D1245" s="100"/>
      <c r="E1245" s="100"/>
      <c r="F1245" s="100"/>
      <c r="G1245" s="100" t="s">
        <v>1853</v>
      </c>
      <c r="H1245" s="107">
        <v>103</v>
      </c>
      <c r="I1245" s="100" t="s">
        <v>1852</v>
      </c>
      <c r="J1245" s="102">
        <v>47.38</v>
      </c>
    </row>
    <row r="1246" spans="1:10" ht="1.1499999999999999" customHeight="1" thickTop="1" x14ac:dyDescent="0.2">
      <c r="A1246" s="106"/>
      <c r="B1246" s="106"/>
      <c r="C1246" s="106"/>
      <c r="D1246" s="106"/>
      <c r="E1246" s="106"/>
      <c r="F1246" s="106"/>
      <c r="G1246" s="106"/>
      <c r="H1246" s="106"/>
      <c r="I1246" s="106"/>
      <c r="J1246" s="106"/>
    </row>
    <row r="1247" spans="1:10" ht="18" customHeight="1" x14ac:dyDescent="0.2">
      <c r="A1247" s="117" t="s">
        <v>1639</v>
      </c>
      <c r="B1247" s="126" t="s">
        <v>5</v>
      </c>
      <c r="C1247" s="117" t="s">
        <v>6</v>
      </c>
      <c r="D1247" s="117" t="s">
        <v>7</v>
      </c>
      <c r="E1247" s="136" t="s">
        <v>1113</v>
      </c>
      <c r="F1247" s="136"/>
      <c r="G1247" s="7" t="s">
        <v>8</v>
      </c>
      <c r="H1247" s="126" t="s">
        <v>9</v>
      </c>
      <c r="I1247" s="126" t="s">
        <v>10</v>
      </c>
      <c r="J1247" s="126" t="s">
        <v>12</v>
      </c>
    </row>
    <row r="1248" spans="1:10" ht="24" customHeight="1" x14ac:dyDescent="0.2">
      <c r="A1248" s="116" t="s">
        <v>1861</v>
      </c>
      <c r="B1248" s="1" t="s">
        <v>1685</v>
      </c>
      <c r="C1248" s="116" t="s">
        <v>20</v>
      </c>
      <c r="D1248" s="116" t="s">
        <v>1686</v>
      </c>
      <c r="E1248" s="137">
        <v>7</v>
      </c>
      <c r="F1248" s="137"/>
      <c r="G1248" s="2" t="s">
        <v>37</v>
      </c>
      <c r="H1248" s="115">
        <v>1</v>
      </c>
      <c r="I1248" s="61">
        <v>0.38</v>
      </c>
      <c r="J1248" s="61">
        <v>0.38</v>
      </c>
    </row>
    <row r="1249" spans="1:10" ht="24" customHeight="1" x14ac:dyDescent="0.2">
      <c r="A1249" s="113" t="s">
        <v>1859</v>
      </c>
      <c r="B1249" s="114" t="s">
        <v>2507</v>
      </c>
      <c r="C1249" s="113" t="s">
        <v>20</v>
      </c>
      <c r="D1249" s="113" t="s">
        <v>2506</v>
      </c>
      <c r="E1249" s="139" t="s">
        <v>1369</v>
      </c>
      <c r="F1249" s="139"/>
      <c r="G1249" s="112" t="s">
        <v>246</v>
      </c>
      <c r="H1249" s="111">
        <v>1</v>
      </c>
      <c r="I1249" s="110">
        <v>0.2</v>
      </c>
      <c r="J1249" s="110">
        <v>0.2</v>
      </c>
    </row>
    <row r="1250" spans="1:10" ht="24" customHeight="1" x14ac:dyDescent="0.2">
      <c r="A1250" s="113" t="s">
        <v>1859</v>
      </c>
      <c r="B1250" s="114" t="s">
        <v>1951</v>
      </c>
      <c r="C1250" s="113" t="s">
        <v>20</v>
      </c>
      <c r="D1250" s="113" t="s">
        <v>1950</v>
      </c>
      <c r="E1250" s="139" t="s">
        <v>1860</v>
      </c>
      <c r="F1250" s="139"/>
      <c r="G1250" s="112" t="s">
        <v>1864</v>
      </c>
      <c r="H1250" s="111">
        <v>6.6E-3</v>
      </c>
      <c r="I1250" s="110">
        <v>10.62</v>
      </c>
      <c r="J1250" s="110">
        <v>7.0000000000000007E-2</v>
      </c>
    </row>
    <row r="1251" spans="1:10" ht="24" customHeight="1" x14ac:dyDescent="0.2">
      <c r="A1251" s="113" t="s">
        <v>1859</v>
      </c>
      <c r="B1251" s="114" t="s">
        <v>2442</v>
      </c>
      <c r="C1251" s="113" t="s">
        <v>20</v>
      </c>
      <c r="D1251" s="113" t="s">
        <v>2441</v>
      </c>
      <c r="E1251" s="139" t="s">
        <v>1860</v>
      </c>
      <c r="F1251" s="139"/>
      <c r="G1251" s="112" t="s">
        <v>1864</v>
      </c>
      <c r="H1251" s="111">
        <v>6.6E-3</v>
      </c>
      <c r="I1251" s="110">
        <v>15.97</v>
      </c>
      <c r="J1251" s="110">
        <v>0.11</v>
      </c>
    </row>
    <row r="1252" spans="1:10" x14ac:dyDescent="0.2">
      <c r="A1252" s="109"/>
      <c r="B1252" s="109"/>
      <c r="C1252" s="109"/>
      <c r="D1252" s="109"/>
      <c r="E1252" s="109" t="s">
        <v>1858</v>
      </c>
      <c r="F1252" s="108">
        <v>0.18</v>
      </c>
      <c r="G1252" s="109" t="s">
        <v>1857</v>
      </c>
      <c r="H1252" s="108">
        <v>0</v>
      </c>
      <c r="I1252" s="109" t="s">
        <v>1856</v>
      </c>
      <c r="J1252" s="108">
        <v>0.18</v>
      </c>
    </row>
    <row r="1253" spans="1:10" ht="13.9" customHeight="1" x14ac:dyDescent="0.2">
      <c r="A1253" s="109"/>
      <c r="B1253" s="109"/>
      <c r="C1253" s="109"/>
      <c r="D1253" s="109"/>
      <c r="E1253" s="109" t="s">
        <v>1855</v>
      </c>
      <c r="F1253" s="108">
        <v>0.10088999999999999</v>
      </c>
      <c r="G1253" s="109"/>
      <c r="H1253" s="140" t="s">
        <v>1854</v>
      </c>
      <c r="I1253" s="140"/>
      <c r="J1253" s="108">
        <v>0.48</v>
      </c>
    </row>
    <row r="1254" spans="1:10" ht="30" customHeight="1" thickBot="1" x14ac:dyDescent="0.25">
      <c r="A1254" s="100"/>
      <c r="B1254" s="100"/>
      <c r="C1254" s="100"/>
      <c r="D1254" s="100"/>
      <c r="E1254" s="100"/>
      <c r="F1254" s="100"/>
      <c r="G1254" s="100" t="s">
        <v>1853</v>
      </c>
      <c r="H1254" s="107">
        <v>103</v>
      </c>
      <c r="I1254" s="100" t="s">
        <v>1852</v>
      </c>
      <c r="J1254" s="102">
        <v>49.44</v>
      </c>
    </row>
    <row r="1255" spans="1:10" ht="1.1499999999999999" customHeight="1" thickTop="1" x14ac:dyDescent="0.2">
      <c r="A1255" s="106"/>
      <c r="B1255" s="106"/>
      <c r="C1255" s="106"/>
      <c r="D1255" s="106"/>
      <c r="E1255" s="106"/>
      <c r="F1255" s="106"/>
      <c r="G1255" s="106"/>
      <c r="H1255" s="106"/>
      <c r="I1255" s="106"/>
      <c r="J1255" s="106"/>
    </row>
    <row r="1256" spans="1:10" ht="18" customHeight="1" x14ac:dyDescent="0.2">
      <c r="A1256" s="117" t="s">
        <v>1638</v>
      </c>
      <c r="B1256" s="126" t="s">
        <v>5</v>
      </c>
      <c r="C1256" s="117" t="s">
        <v>6</v>
      </c>
      <c r="D1256" s="117" t="s">
        <v>7</v>
      </c>
      <c r="E1256" s="136" t="s">
        <v>1113</v>
      </c>
      <c r="F1256" s="136"/>
      <c r="G1256" s="7" t="s">
        <v>8</v>
      </c>
      <c r="H1256" s="126" t="s">
        <v>9</v>
      </c>
      <c r="I1256" s="126" t="s">
        <v>10</v>
      </c>
      <c r="J1256" s="126" t="s">
        <v>12</v>
      </c>
    </row>
    <row r="1257" spans="1:10" ht="24" customHeight="1" x14ac:dyDescent="0.2">
      <c r="A1257" s="116" t="s">
        <v>1861</v>
      </c>
      <c r="B1257" s="1" t="s">
        <v>1687</v>
      </c>
      <c r="C1257" s="116" t="s">
        <v>20</v>
      </c>
      <c r="D1257" s="116" t="s">
        <v>1688</v>
      </c>
      <c r="E1257" s="137">
        <v>7</v>
      </c>
      <c r="F1257" s="137"/>
      <c r="G1257" s="2" t="s">
        <v>37</v>
      </c>
      <c r="H1257" s="115">
        <v>1</v>
      </c>
      <c r="I1257" s="61">
        <v>0.04</v>
      </c>
      <c r="J1257" s="61">
        <v>0.04</v>
      </c>
    </row>
    <row r="1258" spans="1:10" ht="24" customHeight="1" x14ac:dyDescent="0.2">
      <c r="A1258" s="113" t="s">
        <v>1859</v>
      </c>
      <c r="B1258" s="114" t="s">
        <v>2505</v>
      </c>
      <c r="C1258" s="113" t="s">
        <v>20</v>
      </c>
      <c r="D1258" s="113" t="s">
        <v>2504</v>
      </c>
      <c r="E1258" s="139" t="s">
        <v>1369</v>
      </c>
      <c r="F1258" s="139"/>
      <c r="G1258" s="112" t="s">
        <v>246</v>
      </c>
      <c r="H1258" s="111">
        <v>1</v>
      </c>
      <c r="I1258" s="110">
        <v>0.04</v>
      </c>
      <c r="J1258" s="110">
        <v>0.04</v>
      </c>
    </row>
    <row r="1259" spans="1:10" x14ac:dyDescent="0.2">
      <c r="A1259" s="109"/>
      <c r="B1259" s="109"/>
      <c r="C1259" s="109"/>
      <c r="D1259" s="109"/>
      <c r="E1259" s="109" t="s">
        <v>1858</v>
      </c>
      <c r="F1259" s="108">
        <v>0</v>
      </c>
      <c r="G1259" s="109" t="s">
        <v>1857</v>
      </c>
      <c r="H1259" s="108">
        <v>0</v>
      </c>
      <c r="I1259" s="109" t="s">
        <v>1856</v>
      </c>
      <c r="J1259" s="108">
        <v>0</v>
      </c>
    </row>
    <row r="1260" spans="1:10" ht="13.9" customHeight="1" x14ac:dyDescent="0.2">
      <c r="A1260" s="109"/>
      <c r="B1260" s="109"/>
      <c r="C1260" s="109"/>
      <c r="D1260" s="109"/>
      <c r="E1260" s="109" t="s">
        <v>1855</v>
      </c>
      <c r="F1260" s="108">
        <v>1.0619999999999999E-2</v>
      </c>
      <c r="G1260" s="109"/>
      <c r="H1260" s="140" t="s">
        <v>1854</v>
      </c>
      <c r="I1260" s="140"/>
      <c r="J1260" s="108">
        <v>0.05</v>
      </c>
    </row>
    <row r="1261" spans="1:10" ht="30" customHeight="1" thickBot="1" x14ac:dyDescent="0.25">
      <c r="A1261" s="100"/>
      <c r="B1261" s="100"/>
      <c r="C1261" s="100"/>
      <c r="D1261" s="100"/>
      <c r="E1261" s="100"/>
      <c r="F1261" s="100"/>
      <c r="G1261" s="100" t="s">
        <v>1853</v>
      </c>
      <c r="H1261" s="107">
        <v>103</v>
      </c>
      <c r="I1261" s="100" t="s">
        <v>1852</v>
      </c>
      <c r="J1261" s="102">
        <v>5.15</v>
      </c>
    </row>
    <row r="1262" spans="1:10" ht="1.1499999999999999" customHeight="1" thickTop="1" x14ac:dyDescent="0.2">
      <c r="A1262" s="106"/>
      <c r="B1262" s="106"/>
      <c r="C1262" s="106"/>
      <c r="D1262" s="106"/>
      <c r="E1262" s="106"/>
      <c r="F1262" s="106"/>
      <c r="G1262" s="106"/>
      <c r="H1262" s="106"/>
      <c r="I1262" s="106"/>
      <c r="J1262" s="106"/>
    </row>
    <row r="1263" spans="1:10" ht="18" customHeight="1" x14ac:dyDescent="0.2">
      <c r="A1263" s="117" t="s">
        <v>1637</v>
      </c>
      <c r="B1263" s="126" t="s">
        <v>5</v>
      </c>
      <c r="C1263" s="117" t="s">
        <v>6</v>
      </c>
      <c r="D1263" s="117" t="s">
        <v>7</v>
      </c>
      <c r="E1263" s="136" t="s">
        <v>1113</v>
      </c>
      <c r="F1263" s="136"/>
      <c r="G1263" s="7" t="s">
        <v>8</v>
      </c>
      <c r="H1263" s="126" t="s">
        <v>9</v>
      </c>
      <c r="I1263" s="126" t="s">
        <v>10</v>
      </c>
      <c r="J1263" s="126" t="s">
        <v>12</v>
      </c>
    </row>
    <row r="1264" spans="1:10" ht="24" customHeight="1" x14ac:dyDescent="0.2">
      <c r="A1264" s="116" t="s">
        <v>1861</v>
      </c>
      <c r="B1264" s="1" t="s">
        <v>1689</v>
      </c>
      <c r="C1264" s="116" t="s">
        <v>244</v>
      </c>
      <c r="D1264" s="116" t="s">
        <v>1690</v>
      </c>
      <c r="E1264" s="137" t="s">
        <v>1730</v>
      </c>
      <c r="F1264" s="137"/>
      <c r="G1264" s="2" t="s">
        <v>246</v>
      </c>
      <c r="H1264" s="115">
        <v>1</v>
      </c>
      <c r="I1264" s="61">
        <v>27.14</v>
      </c>
      <c r="J1264" s="61">
        <v>27.14</v>
      </c>
    </row>
    <row r="1265" spans="1:10" ht="24" customHeight="1" x14ac:dyDescent="0.2">
      <c r="A1265" s="121" t="s">
        <v>1888</v>
      </c>
      <c r="B1265" s="122" t="s">
        <v>1890</v>
      </c>
      <c r="C1265" s="121" t="s">
        <v>244</v>
      </c>
      <c r="D1265" s="121" t="s">
        <v>1889</v>
      </c>
      <c r="E1265" s="138" t="s">
        <v>1885</v>
      </c>
      <c r="F1265" s="138"/>
      <c r="G1265" s="120" t="s">
        <v>1864</v>
      </c>
      <c r="H1265" s="119">
        <v>0.2</v>
      </c>
      <c r="I1265" s="118">
        <v>3.61</v>
      </c>
      <c r="J1265" s="118">
        <v>0.72</v>
      </c>
    </row>
    <row r="1266" spans="1:10" ht="24" customHeight="1" x14ac:dyDescent="0.2">
      <c r="A1266" s="121" t="s">
        <v>1888</v>
      </c>
      <c r="B1266" s="122" t="s">
        <v>2503</v>
      </c>
      <c r="C1266" s="121" t="s">
        <v>244</v>
      </c>
      <c r="D1266" s="121" t="s">
        <v>2502</v>
      </c>
      <c r="E1266" s="138" t="s">
        <v>1885</v>
      </c>
      <c r="F1266" s="138"/>
      <c r="G1266" s="120" t="s">
        <v>1864</v>
      </c>
      <c r="H1266" s="119">
        <v>0.2</v>
      </c>
      <c r="I1266" s="118">
        <v>3.47</v>
      </c>
      <c r="J1266" s="118">
        <v>0.69</v>
      </c>
    </row>
    <row r="1267" spans="1:10" ht="24" customHeight="1" x14ac:dyDescent="0.2">
      <c r="A1267" s="113" t="s">
        <v>1859</v>
      </c>
      <c r="B1267" s="114" t="s">
        <v>2501</v>
      </c>
      <c r="C1267" s="113" t="s">
        <v>244</v>
      </c>
      <c r="D1267" s="113" t="s">
        <v>1690</v>
      </c>
      <c r="E1267" s="139" t="s">
        <v>1369</v>
      </c>
      <c r="F1267" s="139"/>
      <c r="G1267" s="112" t="s">
        <v>246</v>
      </c>
      <c r="H1267" s="111">
        <v>1</v>
      </c>
      <c r="I1267" s="110">
        <v>20.5</v>
      </c>
      <c r="J1267" s="110">
        <v>20.5</v>
      </c>
    </row>
    <row r="1268" spans="1:10" ht="24" customHeight="1" x14ac:dyDescent="0.2">
      <c r="A1268" s="113" t="s">
        <v>1859</v>
      </c>
      <c r="B1268" s="114" t="s">
        <v>2500</v>
      </c>
      <c r="C1268" s="113" t="s">
        <v>25</v>
      </c>
      <c r="D1268" s="113" t="s">
        <v>2441</v>
      </c>
      <c r="E1268" s="139" t="s">
        <v>1860</v>
      </c>
      <c r="F1268" s="139"/>
      <c r="G1268" s="112" t="s">
        <v>61</v>
      </c>
      <c r="H1268" s="111">
        <v>0.2</v>
      </c>
      <c r="I1268" s="110">
        <v>15.71</v>
      </c>
      <c r="J1268" s="110">
        <v>3.14</v>
      </c>
    </row>
    <row r="1269" spans="1:10" ht="24" customHeight="1" x14ac:dyDescent="0.2">
      <c r="A1269" s="113" t="s">
        <v>1859</v>
      </c>
      <c r="B1269" s="114" t="s">
        <v>1881</v>
      </c>
      <c r="C1269" s="113" t="s">
        <v>25</v>
      </c>
      <c r="D1269" s="113" t="s">
        <v>1880</v>
      </c>
      <c r="E1269" s="139" t="s">
        <v>1860</v>
      </c>
      <c r="F1269" s="139"/>
      <c r="G1269" s="112" t="s">
        <v>61</v>
      </c>
      <c r="H1269" s="111">
        <v>0.2</v>
      </c>
      <c r="I1269" s="110">
        <v>10.44</v>
      </c>
      <c r="J1269" s="110">
        <v>2.09</v>
      </c>
    </row>
    <row r="1270" spans="1:10" x14ac:dyDescent="0.2">
      <c r="A1270" s="109"/>
      <c r="B1270" s="109"/>
      <c r="C1270" s="109"/>
      <c r="D1270" s="109"/>
      <c r="E1270" s="109" t="s">
        <v>1858</v>
      </c>
      <c r="F1270" s="108">
        <v>5.23</v>
      </c>
      <c r="G1270" s="109" t="s">
        <v>1857</v>
      </c>
      <c r="H1270" s="108">
        <v>0</v>
      </c>
      <c r="I1270" s="109" t="s">
        <v>1856</v>
      </c>
      <c r="J1270" s="108">
        <v>5.23</v>
      </c>
    </row>
    <row r="1271" spans="1:10" ht="13.9" customHeight="1" x14ac:dyDescent="0.2">
      <c r="A1271" s="109"/>
      <c r="B1271" s="109"/>
      <c r="C1271" s="109"/>
      <c r="D1271" s="109"/>
      <c r="E1271" s="109" t="s">
        <v>1855</v>
      </c>
      <c r="F1271" s="108">
        <v>7.2056699999999996</v>
      </c>
      <c r="G1271" s="109"/>
      <c r="H1271" s="140" t="s">
        <v>1854</v>
      </c>
      <c r="I1271" s="140"/>
      <c r="J1271" s="108">
        <v>34.35</v>
      </c>
    </row>
    <row r="1272" spans="1:10" ht="30" customHeight="1" thickBot="1" x14ac:dyDescent="0.25">
      <c r="A1272" s="100"/>
      <c r="B1272" s="100"/>
      <c r="C1272" s="100"/>
      <c r="D1272" s="100"/>
      <c r="E1272" s="100"/>
      <c r="F1272" s="100"/>
      <c r="G1272" s="100" t="s">
        <v>1853</v>
      </c>
      <c r="H1272" s="107">
        <v>4</v>
      </c>
      <c r="I1272" s="100" t="s">
        <v>1852</v>
      </c>
      <c r="J1272" s="102">
        <v>137.4</v>
      </c>
    </row>
    <row r="1273" spans="1:10" ht="1.1499999999999999" customHeight="1" thickTop="1" x14ac:dyDescent="0.2">
      <c r="A1273" s="106"/>
      <c r="B1273" s="106"/>
      <c r="C1273" s="106"/>
      <c r="D1273" s="106"/>
      <c r="E1273" s="106"/>
      <c r="F1273" s="106"/>
      <c r="G1273" s="106"/>
      <c r="H1273" s="106"/>
      <c r="I1273" s="106"/>
      <c r="J1273" s="106"/>
    </row>
    <row r="1274" spans="1:10" ht="18" customHeight="1" x14ac:dyDescent="0.2">
      <c r="A1274" s="117" t="s">
        <v>1636</v>
      </c>
      <c r="B1274" s="126" t="s">
        <v>5</v>
      </c>
      <c r="C1274" s="117" t="s">
        <v>6</v>
      </c>
      <c r="D1274" s="117" t="s">
        <v>7</v>
      </c>
      <c r="E1274" s="136" t="s">
        <v>1113</v>
      </c>
      <c r="F1274" s="136"/>
      <c r="G1274" s="7" t="s">
        <v>8</v>
      </c>
      <c r="H1274" s="126" t="s">
        <v>9</v>
      </c>
      <c r="I1274" s="126" t="s">
        <v>10</v>
      </c>
      <c r="J1274" s="126" t="s">
        <v>12</v>
      </c>
    </row>
    <row r="1275" spans="1:10" ht="24" customHeight="1" x14ac:dyDescent="0.2">
      <c r="A1275" s="116" t="s">
        <v>1861</v>
      </c>
      <c r="B1275" s="1" t="s">
        <v>199</v>
      </c>
      <c r="C1275" s="116" t="s">
        <v>20</v>
      </c>
      <c r="D1275" s="116" t="s">
        <v>200</v>
      </c>
      <c r="E1275" s="137">
        <v>7</v>
      </c>
      <c r="F1275" s="137"/>
      <c r="G1275" s="2" t="s">
        <v>92</v>
      </c>
      <c r="H1275" s="115">
        <v>1</v>
      </c>
      <c r="I1275" s="61">
        <v>7.66</v>
      </c>
      <c r="J1275" s="61">
        <v>7.66</v>
      </c>
    </row>
    <row r="1276" spans="1:10" ht="24" customHeight="1" x14ac:dyDescent="0.2">
      <c r="A1276" s="113" t="s">
        <v>1859</v>
      </c>
      <c r="B1276" s="114" t="s">
        <v>2499</v>
      </c>
      <c r="C1276" s="113" t="s">
        <v>20</v>
      </c>
      <c r="D1276" s="113" t="s">
        <v>2498</v>
      </c>
      <c r="E1276" s="139" t="s">
        <v>1369</v>
      </c>
      <c r="F1276" s="139"/>
      <c r="G1276" s="112" t="s">
        <v>213</v>
      </c>
      <c r="H1276" s="111">
        <v>1</v>
      </c>
      <c r="I1276" s="110">
        <v>2.35</v>
      </c>
      <c r="J1276" s="110">
        <v>2.35</v>
      </c>
    </row>
    <row r="1277" spans="1:10" ht="24" customHeight="1" x14ac:dyDescent="0.2">
      <c r="A1277" s="113" t="s">
        <v>1859</v>
      </c>
      <c r="B1277" s="114" t="s">
        <v>1951</v>
      </c>
      <c r="C1277" s="113" t="s">
        <v>20</v>
      </c>
      <c r="D1277" s="113" t="s">
        <v>1950</v>
      </c>
      <c r="E1277" s="139" t="s">
        <v>1860</v>
      </c>
      <c r="F1277" s="139"/>
      <c r="G1277" s="112" t="s">
        <v>1864</v>
      </c>
      <c r="H1277" s="111">
        <v>0.2</v>
      </c>
      <c r="I1277" s="110">
        <v>10.62</v>
      </c>
      <c r="J1277" s="110">
        <v>2.12</v>
      </c>
    </row>
    <row r="1278" spans="1:10" ht="24" customHeight="1" x14ac:dyDescent="0.2">
      <c r="A1278" s="113" t="s">
        <v>1859</v>
      </c>
      <c r="B1278" s="114" t="s">
        <v>2442</v>
      </c>
      <c r="C1278" s="113" t="s">
        <v>20</v>
      </c>
      <c r="D1278" s="113" t="s">
        <v>2441</v>
      </c>
      <c r="E1278" s="139" t="s">
        <v>1860</v>
      </c>
      <c r="F1278" s="139"/>
      <c r="G1278" s="112" t="s">
        <v>1864</v>
      </c>
      <c r="H1278" s="111">
        <v>0.2</v>
      </c>
      <c r="I1278" s="110">
        <v>15.97</v>
      </c>
      <c r="J1278" s="110">
        <v>3.19</v>
      </c>
    </row>
    <row r="1279" spans="1:10" x14ac:dyDescent="0.2">
      <c r="A1279" s="109"/>
      <c r="B1279" s="109"/>
      <c r="C1279" s="109"/>
      <c r="D1279" s="109"/>
      <c r="E1279" s="109" t="s">
        <v>1858</v>
      </c>
      <c r="F1279" s="108">
        <v>5.31</v>
      </c>
      <c r="G1279" s="109" t="s">
        <v>1857</v>
      </c>
      <c r="H1279" s="108">
        <v>0</v>
      </c>
      <c r="I1279" s="109" t="s">
        <v>1856</v>
      </c>
      <c r="J1279" s="108">
        <v>5.31</v>
      </c>
    </row>
    <row r="1280" spans="1:10" ht="13.9" customHeight="1" x14ac:dyDescent="0.2">
      <c r="A1280" s="109"/>
      <c r="B1280" s="109"/>
      <c r="C1280" s="109"/>
      <c r="D1280" s="109"/>
      <c r="E1280" s="109" t="s">
        <v>1855</v>
      </c>
      <c r="F1280" s="108">
        <v>2.0337299999999998</v>
      </c>
      <c r="G1280" s="109"/>
      <c r="H1280" s="140" t="s">
        <v>1854</v>
      </c>
      <c r="I1280" s="140"/>
      <c r="J1280" s="108">
        <v>9.69</v>
      </c>
    </row>
    <row r="1281" spans="1:10" ht="30" customHeight="1" thickBot="1" x14ac:dyDescent="0.25">
      <c r="A1281" s="100"/>
      <c r="B1281" s="100"/>
      <c r="C1281" s="100"/>
      <c r="D1281" s="100"/>
      <c r="E1281" s="100"/>
      <c r="F1281" s="100"/>
      <c r="G1281" s="100" t="s">
        <v>1853</v>
      </c>
      <c r="H1281" s="107">
        <v>167.62</v>
      </c>
      <c r="I1281" s="100" t="s">
        <v>1852</v>
      </c>
      <c r="J1281" s="102">
        <v>1624.24</v>
      </c>
    </row>
    <row r="1282" spans="1:10" ht="1.1499999999999999" customHeight="1" thickTop="1" x14ac:dyDescent="0.2">
      <c r="A1282" s="106"/>
      <c r="B1282" s="106"/>
      <c r="C1282" s="106"/>
      <c r="D1282" s="106"/>
      <c r="E1282" s="106"/>
      <c r="F1282" s="106"/>
      <c r="G1282" s="106"/>
      <c r="H1282" s="106"/>
      <c r="I1282" s="106"/>
      <c r="J1282" s="106"/>
    </row>
    <row r="1283" spans="1:10" ht="18" customHeight="1" x14ac:dyDescent="0.2">
      <c r="A1283" s="117" t="s">
        <v>1633</v>
      </c>
      <c r="B1283" s="126" t="s">
        <v>5</v>
      </c>
      <c r="C1283" s="117" t="s">
        <v>6</v>
      </c>
      <c r="D1283" s="117" t="s">
        <v>7</v>
      </c>
      <c r="E1283" s="136" t="s">
        <v>1113</v>
      </c>
      <c r="F1283" s="136"/>
      <c r="G1283" s="7" t="s">
        <v>8</v>
      </c>
      <c r="H1283" s="126" t="s">
        <v>9</v>
      </c>
      <c r="I1283" s="126" t="s">
        <v>10</v>
      </c>
      <c r="J1283" s="126" t="s">
        <v>12</v>
      </c>
    </row>
    <row r="1284" spans="1:10" ht="24" customHeight="1" x14ac:dyDescent="0.2">
      <c r="A1284" s="116" t="s">
        <v>1861</v>
      </c>
      <c r="B1284" s="1" t="s">
        <v>1691</v>
      </c>
      <c r="C1284" s="116" t="s">
        <v>20</v>
      </c>
      <c r="D1284" s="116" t="s">
        <v>1692</v>
      </c>
      <c r="E1284" s="137">
        <v>7</v>
      </c>
      <c r="F1284" s="137"/>
      <c r="G1284" s="2" t="s">
        <v>37</v>
      </c>
      <c r="H1284" s="115">
        <v>1</v>
      </c>
      <c r="I1284" s="61">
        <v>18.940000000000001</v>
      </c>
      <c r="J1284" s="61">
        <v>18.940000000000001</v>
      </c>
    </row>
    <row r="1285" spans="1:10" ht="24" customHeight="1" x14ac:dyDescent="0.2">
      <c r="A1285" s="113" t="s">
        <v>1859</v>
      </c>
      <c r="B1285" s="114" t="s">
        <v>2497</v>
      </c>
      <c r="C1285" s="113" t="s">
        <v>20</v>
      </c>
      <c r="D1285" s="113" t="s">
        <v>2496</v>
      </c>
      <c r="E1285" s="139" t="s">
        <v>1369</v>
      </c>
      <c r="F1285" s="139"/>
      <c r="G1285" s="112" t="s">
        <v>246</v>
      </c>
      <c r="H1285" s="111">
        <v>1</v>
      </c>
      <c r="I1285" s="110">
        <v>14.68</v>
      </c>
      <c r="J1285" s="110">
        <v>14.68</v>
      </c>
    </row>
    <row r="1286" spans="1:10" ht="24" customHeight="1" x14ac:dyDescent="0.2">
      <c r="A1286" s="113" t="s">
        <v>1859</v>
      </c>
      <c r="B1286" s="114" t="s">
        <v>1951</v>
      </c>
      <c r="C1286" s="113" t="s">
        <v>20</v>
      </c>
      <c r="D1286" s="113" t="s">
        <v>1950</v>
      </c>
      <c r="E1286" s="139" t="s">
        <v>1860</v>
      </c>
      <c r="F1286" s="139"/>
      <c r="G1286" s="112" t="s">
        <v>1864</v>
      </c>
      <c r="H1286" s="111">
        <v>0.16</v>
      </c>
      <c r="I1286" s="110">
        <v>10.62</v>
      </c>
      <c r="J1286" s="110">
        <v>1.7</v>
      </c>
    </row>
    <row r="1287" spans="1:10" ht="24" customHeight="1" x14ac:dyDescent="0.2">
      <c r="A1287" s="113" t="s">
        <v>1859</v>
      </c>
      <c r="B1287" s="114" t="s">
        <v>2442</v>
      </c>
      <c r="C1287" s="113" t="s">
        <v>20</v>
      </c>
      <c r="D1287" s="113" t="s">
        <v>2441</v>
      </c>
      <c r="E1287" s="139" t="s">
        <v>1860</v>
      </c>
      <c r="F1287" s="139"/>
      <c r="G1287" s="112" t="s">
        <v>1864</v>
      </c>
      <c r="H1287" s="111">
        <v>0.16</v>
      </c>
      <c r="I1287" s="110">
        <v>15.97</v>
      </c>
      <c r="J1287" s="110">
        <v>2.56</v>
      </c>
    </row>
    <row r="1288" spans="1:10" x14ac:dyDescent="0.2">
      <c r="A1288" s="109"/>
      <c r="B1288" s="109"/>
      <c r="C1288" s="109"/>
      <c r="D1288" s="109"/>
      <c r="E1288" s="109" t="s">
        <v>1858</v>
      </c>
      <c r="F1288" s="108">
        <v>4.26</v>
      </c>
      <c r="G1288" s="109" t="s">
        <v>1857</v>
      </c>
      <c r="H1288" s="108">
        <v>0</v>
      </c>
      <c r="I1288" s="109" t="s">
        <v>1856</v>
      </c>
      <c r="J1288" s="108">
        <v>4.26</v>
      </c>
    </row>
    <row r="1289" spans="1:10" ht="13.9" customHeight="1" x14ac:dyDescent="0.2">
      <c r="A1289" s="109"/>
      <c r="B1289" s="109"/>
      <c r="C1289" s="109"/>
      <c r="D1289" s="109"/>
      <c r="E1289" s="109" t="s">
        <v>1855</v>
      </c>
      <c r="F1289" s="108">
        <v>5.0285700000000002</v>
      </c>
      <c r="G1289" s="109"/>
      <c r="H1289" s="140" t="s">
        <v>1854</v>
      </c>
      <c r="I1289" s="140"/>
      <c r="J1289" s="108">
        <v>23.97</v>
      </c>
    </row>
    <row r="1290" spans="1:10" ht="30" customHeight="1" thickBot="1" x14ac:dyDescent="0.25">
      <c r="A1290" s="100"/>
      <c r="B1290" s="100"/>
      <c r="C1290" s="100"/>
      <c r="D1290" s="100"/>
      <c r="E1290" s="100"/>
      <c r="F1290" s="100"/>
      <c r="G1290" s="100" t="s">
        <v>1853</v>
      </c>
      <c r="H1290" s="107">
        <v>2</v>
      </c>
      <c r="I1290" s="100" t="s">
        <v>1852</v>
      </c>
      <c r="J1290" s="102">
        <v>47.94</v>
      </c>
    </row>
    <row r="1291" spans="1:10" ht="1.1499999999999999" customHeight="1" thickTop="1" x14ac:dyDescent="0.2">
      <c r="A1291" s="106"/>
      <c r="B1291" s="106"/>
      <c r="C1291" s="106"/>
      <c r="D1291" s="106"/>
      <c r="E1291" s="106"/>
      <c r="F1291" s="106"/>
      <c r="G1291" s="106"/>
      <c r="H1291" s="106"/>
      <c r="I1291" s="106"/>
      <c r="J1291" s="106"/>
    </row>
    <row r="1292" spans="1:10" ht="18" customHeight="1" x14ac:dyDescent="0.2">
      <c r="A1292" s="117" t="s">
        <v>1630</v>
      </c>
      <c r="B1292" s="126" t="s">
        <v>5</v>
      </c>
      <c r="C1292" s="117" t="s">
        <v>6</v>
      </c>
      <c r="D1292" s="117" t="s">
        <v>7</v>
      </c>
      <c r="E1292" s="136" t="s">
        <v>1113</v>
      </c>
      <c r="F1292" s="136"/>
      <c r="G1292" s="7" t="s">
        <v>8</v>
      </c>
      <c r="H1292" s="126" t="s">
        <v>9</v>
      </c>
      <c r="I1292" s="126" t="s">
        <v>10</v>
      </c>
      <c r="J1292" s="126" t="s">
        <v>12</v>
      </c>
    </row>
    <row r="1293" spans="1:10" ht="24" customHeight="1" x14ac:dyDescent="0.2">
      <c r="A1293" s="116" t="s">
        <v>1861</v>
      </c>
      <c r="B1293" s="1" t="s">
        <v>1693</v>
      </c>
      <c r="C1293" s="116" t="s">
        <v>249</v>
      </c>
      <c r="D1293" s="116" t="s">
        <v>1694</v>
      </c>
      <c r="E1293" s="137">
        <v>63</v>
      </c>
      <c r="F1293" s="137"/>
      <c r="G1293" s="2" t="s">
        <v>236</v>
      </c>
      <c r="H1293" s="115">
        <v>1</v>
      </c>
      <c r="I1293" s="61">
        <v>5</v>
      </c>
      <c r="J1293" s="61">
        <v>5</v>
      </c>
    </row>
    <row r="1294" spans="1:10" ht="24" customHeight="1" x14ac:dyDescent="0.2">
      <c r="A1294" s="121" t="s">
        <v>1888</v>
      </c>
      <c r="B1294" s="122" t="s">
        <v>2486</v>
      </c>
      <c r="C1294" s="121" t="s">
        <v>25</v>
      </c>
      <c r="D1294" s="121" t="s">
        <v>2485</v>
      </c>
      <c r="E1294" s="138" t="s">
        <v>1902</v>
      </c>
      <c r="F1294" s="138"/>
      <c r="G1294" s="120" t="s">
        <v>61</v>
      </c>
      <c r="H1294" s="119">
        <v>2.3E-2</v>
      </c>
      <c r="I1294" s="118">
        <v>16.11</v>
      </c>
      <c r="J1294" s="118">
        <v>0.37</v>
      </c>
    </row>
    <row r="1295" spans="1:10" ht="24" customHeight="1" x14ac:dyDescent="0.2">
      <c r="A1295" s="121" t="s">
        <v>1888</v>
      </c>
      <c r="B1295" s="122" t="s">
        <v>2484</v>
      </c>
      <c r="C1295" s="121" t="s">
        <v>25</v>
      </c>
      <c r="D1295" s="121" t="s">
        <v>2483</v>
      </c>
      <c r="E1295" s="138" t="s">
        <v>1902</v>
      </c>
      <c r="F1295" s="138"/>
      <c r="G1295" s="120" t="s">
        <v>61</v>
      </c>
      <c r="H1295" s="119">
        <v>2.3E-2</v>
      </c>
      <c r="I1295" s="118">
        <v>21.76</v>
      </c>
      <c r="J1295" s="118">
        <v>0.5</v>
      </c>
    </row>
    <row r="1296" spans="1:10" ht="24" customHeight="1" x14ac:dyDescent="0.2">
      <c r="A1296" s="113" t="s">
        <v>1859</v>
      </c>
      <c r="B1296" s="114" t="s">
        <v>2495</v>
      </c>
      <c r="C1296" s="113" t="s">
        <v>249</v>
      </c>
      <c r="D1296" s="113" t="s">
        <v>2494</v>
      </c>
      <c r="E1296" s="139" t="s">
        <v>1369</v>
      </c>
      <c r="F1296" s="139"/>
      <c r="G1296" s="112" t="s">
        <v>236</v>
      </c>
      <c r="H1296" s="111">
        <v>1</v>
      </c>
      <c r="I1296" s="110">
        <v>4.13</v>
      </c>
      <c r="J1296" s="110">
        <v>4.13</v>
      </c>
    </row>
    <row r="1297" spans="1:10" x14ac:dyDescent="0.2">
      <c r="A1297" s="109"/>
      <c r="B1297" s="109"/>
      <c r="C1297" s="109"/>
      <c r="D1297" s="109"/>
      <c r="E1297" s="109" t="s">
        <v>1858</v>
      </c>
      <c r="F1297" s="108">
        <v>0.61</v>
      </c>
      <c r="G1297" s="109" t="s">
        <v>1857</v>
      </c>
      <c r="H1297" s="108">
        <v>0</v>
      </c>
      <c r="I1297" s="109" t="s">
        <v>1856</v>
      </c>
      <c r="J1297" s="108">
        <v>0.61</v>
      </c>
    </row>
    <row r="1298" spans="1:10" ht="13.9" customHeight="1" x14ac:dyDescent="0.2">
      <c r="A1298" s="109"/>
      <c r="B1298" s="109"/>
      <c r="C1298" s="109"/>
      <c r="D1298" s="109"/>
      <c r="E1298" s="109" t="s">
        <v>1855</v>
      </c>
      <c r="F1298" s="108">
        <v>1.3274999999999999</v>
      </c>
      <c r="G1298" s="109"/>
      <c r="H1298" s="140" t="s">
        <v>1854</v>
      </c>
      <c r="I1298" s="140"/>
      <c r="J1298" s="108">
        <v>6.33</v>
      </c>
    </row>
    <row r="1299" spans="1:10" ht="30" customHeight="1" thickBot="1" x14ac:dyDescent="0.25">
      <c r="A1299" s="100"/>
      <c r="B1299" s="100"/>
      <c r="C1299" s="100"/>
      <c r="D1299" s="100"/>
      <c r="E1299" s="100"/>
      <c r="F1299" s="100"/>
      <c r="G1299" s="100" t="s">
        <v>1853</v>
      </c>
      <c r="H1299" s="107">
        <v>44</v>
      </c>
      <c r="I1299" s="100" t="s">
        <v>1852</v>
      </c>
      <c r="J1299" s="102">
        <v>278.52</v>
      </c>
    </row>
    <row r="1300" spans="1:10" ht="1.1499999999999999" customHeight="1" thickTop="1" x14ac:dyDescent="0.2">
      <c r="A1300" s="106"/>
      <c r="B1300" s="106"/>
      <c r="C1300" s="106"/>
      <c r="D1300" s="106"/>
      <c r="E1300" s="106"/>
      <c r="F1300" s="106"/>
      <c r="G1300" s="106"/>
      <c r="H1300" s="106"/>
      <c r="I1300" s="106"/>
      <c r="J1300" s="106"/>
    </row>
    <row r="1301" spans="1:10" ht="18" customHeight="1" x14ac:dyDescent="0.2">
      <c r="A1301" s="117" t="s">
        <v>1629</v>
      </c>
      <c r="B1301" s="126" t="s">
        <v>5</v>
      </c>
      <c r="C1301" s="117" t="s">
        <v>6</v>
      </c>
      <c r="D1301" s="117" t="s">
        <v>7</v>
      </c>
      <c r="E1301" s="136" t="s">
        <v>1113</v>
      </c>
      <c r="F1301" s="136"/>
      <c r="G1301" s="7" t="s">
        <v>8</v>
      </c>
      <c r="H1301" s="126" t="s">
        <v>9</v>
      </c>
      <c r="I1301" s="126" t="s">
        <v>10</v>
      </c>
      <c r="J1301" s="126" t="s">
        <v>12</v>
      </c>
    </row>
    <row r="1302" spans="1:10" ht="24" customHeight="1" x14ac:dyDescent="0.2">
      <c r="A1302" s="116" t="s">
        <v>1861</v>
      </c>
      <c r="B1302" s="1" t="s">
        <v>1647</v>
      </c>
      <c r="C1302" s="116" t="s">
        <v>20</v>
      </c>
      <c r="D1302" s="116" t="s">
        <v>1646</v>
      </c>
      <c r="E1302" s="137">
        <v>7</v>
      </c>
      <c r="F1302" s="137"/>
      <c r="G1302" s="2" t="s">
        <v>92</v>
      </c>
      <c r="H1302" s="115">
        <v>1</v>
      </c>
      <c r="I1302" s="61">
        <v>3.66</v>
      </c>
      <c r="J1302" s="61">
        <v>3.66</v>
      </c>
    </row>
    <row r="1303" spans="1:10" ht="24" customHeight="1" x14ac:dyDescent="0.2">
      <c r="A1303" s="113" t="s">
        <v>1859</v>
      </c>
      <c r="B1303" s="114" t="s">
        <v>2493</v>
      </c>
      <c r="C1303" s="113" t="s">
        <v>20</v>
      </c>
      <c r="D1303" s="113" t="s">
        <v>2492</v>
      </c>
      <c r="E1303" s="139" t="s">
        <v>1369</v>
      </c>
      <c r="F1303" s="139"/>
      <c r="G1303" s="112" t="s">
        <v>213</v>
      </c>
      <c r="H1303" s="111">
        <v>1.02</v>
      </c>
      <c r="I1303" s="110">
        <v>1.89</v>
      </c>
      <c r="J1303" s="110">
        <v>1.93</v>
      </c>
    </row>
    <row r="1304" spans="1:10" ht="24" customHeight="1" x14ac:dyDescent="0.2">
      <c r="A1304" s="113" t="s">
        <v>1859</v>
      </c>
      <c r="B1304" s="114" t="s">
        <v>1951</v>
      </c>
      <c r="C1304" s="113" t="s">
        <v>20</v>
      </c>
      <c r="D1304" s="113" t="s">
        <v>1950</v>
      </c>
      <c r="E1304" s="139" t="s">
        <v>1860</v>
      </c>
      <c r="F1304" s="139"/>
      <c r="G1304" s="112" t="s">
        <v>1864</v>
      </c>
      <c r="H1304" s="111">
        <v>6.5000000000000002E-2</v>
      </c>
      <c r="I1304" s="110">
        <v>10.62</v>
      </c>
      <c r="J1304" s="110">
        <v>0.69</v>
      </c>
    </row>
    <row r="1305" spans="1:10" ht="24" customHeight="1" x14ac:dyDescent="0.2">
      <c r="A1305" s="113" t="s">
        <v>1859</v>
      </c>
      <c r="B1305" s="114" t="s">
        <v>2442</v>
      </c>
      <c r="C1305" s="113" t="s">
        <v>20</v>
      </c>
      <c r="D1305" s="113" t="s">
        <v>2441</v>
      </c>
      <c r="E1305" s="139" t="s">
        <v>1860</v>
      </c>
      <c r="F1305" s="139"/>
      <c r="G1305" s="112" t="s">
        <v>1864</v>
      </c>
      <c r="H1305" s="111">
        <v>6.5000000000000002E-2</v>
      </c>
      <c r="I1305" s="110">
        <v>15.97</v>
      </c>
      <c r="J1305" s="110">
        <v>1.04</v>
      </c>
    </row>
    <row r="1306" spans="1:10" x14ac:dyDescent="0.2">
      <c r="A1306" s="109"/>
      <c r="B1306" s="109"/>
      <c r="C1306" s="109"/>
      <c r="D1306" s="109"/>
      <c r="E1306" s="109" t="s">
        <v>1858</v>
      </c>
      <c r="F1306" s="108">
        <v>1.73</v>
      </c>
      <c r="G1306" s="109" t="s">
        <v>1857</v>
      </c>
      <c r="H1306" s="108">
        <v>0</v>
      </c>
      <c r="I1306" s="109" t="s">
        <v>1856</v>
      </c>
      <c r="J1306" s="108">
        <v>1.73</v>
      </c>
    </row>
    <row r="1307" spans="1:10" ht="13.9" customHeight="1" x14ac:dyDescent="0.2">
      <c r="A1307" s="109"/>
      <c r="B1307" s="109"/>
      <c r="C1307" s="109"/>
      <c r="D1307" s="109"/>
      <c r="E1307" s="109" t="s">
        <v>1855</v>
      </c>
      <c r="F1307" s="108">
        <v>0.97172999999999998</v>
      </c>
      <c r="G1307" s="109"/>
      <c r="H1307" s="140" t="s">
        <v>1854</v>
      </c>
      <c r="I1307" s="140"/>
      <c r="J1307" s="108">
        <v>4.63</v>
      </c>
    </row>
    <row r="1308" spans="1:10" ht="30" customHeight="1" thickBot="1" x14ac:dyDescent="0.25">
      <c r="A1308" s="100"/>
      <c r="B1308" s="100"/>
      <c r="C1308" s="100"/>
      <c r="D1308" s="100"/>
      <c r="E1308" s="100"/>
      <c r="F1308" s="100"/>
      <c r="G1308" s="100" t="s">
        <v>1853</v>
      </c>
      <c r="H1308" s="107">
        <v>1957.3</v>
      </c>
      <c r="I1308" s="100" t="s">
        <v>1852</v>
      </c>
      <c r="J1308" s="102">
        <v>9062.2999999999993</v>
      </c>
    </row>
    <row r="1309" spans="1:10" ht="1.1499999999999999" customHeight="1" thickTop="1" x14ac:dyDescent="0.2">
      <c r="A1309" s="106"/>
      <c r="B1309" s="106"/>
      <c r="C1309" s="106"/>
      <c r="D1309" s="106"/>
      <c r="E1309" s="106"/>
      <c r="F1309" s="106"/>
      <c r="G1309" s="106"/>
      <c r="H1309" s="106"/>
      <c r="I1309" s="106"/>
      <c r="J1309" s="106"/>
    </row>
    <row r="1310" spans="1:10" ht="18" customHeight="1" x14ac:dyDescent="0.2">
      <c r="A1310" s="117" t="s">
        <v>1628</v>
      </c>
      <c r="B1310" s="126" t="s">
        <v>5</v>
      </c>
      <c r="C1310" s="117" t="s">
        <v>6</v>
      </c>
      <c r="D1310" s="117" t="s">
        <v>7</v>
      </c>
      <c r="E1310" s="136" t="s">
        <v>1113</v>
      </c>
      <c r="F1310" s="136"/>
      <c r="G1310" s="7" t="s">
        <v>8</v>
      </c>
      <c r="H1310" s="126" t="s">
        <v>9</v>
      </c>
      <c r="I1310" s="126" t="s">
        <v>10</v>
      </c>
      <c r="J1310" s="126" t="s">
        <v>12</v>
      </c>
    </row>
    <row r="1311" spans="1:10" ht="24" customHeight="1" x14ac:dyDescent="0.2">
      <c r="A1311" s="116" t="s">
        <v>1861</v>
      </c>
      <c r="B1311" s="1" t="s">
        <v>1641</v>
      </c>
      <c r="C1311" s="116" t="s">
        <v>20</v>
      </c>
      <c r="D1311" s="116" t="s">
        <v>1640</v>
      </c>
      <c r="E1311" s="137">
        <v>7</v>
      </c>
      <c r="F1311" s="137"/>
      <c r="G1311" s="2" t="s">
        <v>37</v>
      </c>
      <c r="H1311" s="115">
        <v>1</v>
      </c>
      <c r="I1311" s="61">
        <v>3.49</v>
      </c>
      <c r="J1311" s="61">
        <v>3.49</v>
      </c>
    </row>
    <row r="1312" spans="1:10" ht="24" customHeight="1" x14ac:dyDescent="0.2">
      <c r="A1312" s="113" t="s">
        <v>1859</v>
      </c>
      <c r="B1312" s="114" t="s">
        <v>2491</v>
      </c>
      <c r="C1312" s="113" t="s">
        <v>20</v>
      </c>
      <c r="D1312" s="113" t="s">
        <v>2490</v>
      </c>
      <c r="E1312" s="139" t="s">
        <v>1369</v>
      </c>
      <c r="F1312" s="139"/>
      <c r="G1312" s="112" t="s">
        <v>246</v>
      </c>
      <c r="H1312" s="111">
        <v>1</v>
      </c>
      <c r="I1312" s="110">
        <v>2.16</v>
      </c>
      <c r="J1312" s="110">
        <v>2.16</v>
      </c>
    </row>
    <row r="1313" spans="1:10" ht="24" customHeight="1" x14ac:dyDescent="0.2">
      <c r="A1313" s="113" t="s">
        <v>1859</v>
      </c>
      <c r="B1313" s="114" t="s">
        <v>1951</v>
      </c>
      <c r="C1313" s="113" t="s">
        <v>20</v>
      </c>
      <c r="D1313" s="113" t="s">
        <v>1950</v>
      </c>
      <c r="E1313" s="139" t="s">
        <v>1860</v>
      </c>
      <c r="F1313" s="139"/>
      <c r="G1313" s="112" t="s">
        <v>1864</v>
      </c>
      <c r="H1313" s="111">
        <v>0.05</v>
      </c>
      <c r="I1313" s="110">
        <v>10.62</v>
      </c>
      <c r="J1313" s="110">
        <v>0.53</v>
      </c>
    </row>
    <row r="1314" spans="1:10" ht="24" customHeight="1" x14ac:dyDescent="0.2">
      <c r="A1314" s="113" t="s">
        <v>1859</v>
      </c>
      <c r="B1314" s="114" t="s">
        <v>2442</v>
      </c>
      <c r="C1314" s="113" t="s">
        <v>20</v>
      </c>
      <c r="D1314" s="113" t="s">
        <v>2441</v>
      </c>
      <c r="E1314" s="139" t="s">
        <v>1860</v>
      </c>
      <c r="F1314" s="139"/>
      <c r="G1314" s="112" t="s">
        <v>1864</v>
      </c>
      <c r="H1314" s="111">
        <v>0.05</v>
      </c>
      <c r="I1314" s="110">
        <v>15.97</v>
      </c>
      <c r="J1314" s="110">
        <v>0.8</v>
      </c>
    </row>
    <row r="1315" spans="1:10" x14ac:dyDescent="0.2">
      <c r="A1315" s="109"/>
      <c r="B1315" s="109"/>
      <c r="C1315" s="109"/>
      <c r="D1315" s="109"/>
      <c r="E1315" s="109" t="s">
        <v>1858</v>
      </c>
      <c r="F1315" s="108">
        <v>1.33</v>
      </c>
      <c r="G1315" s="109" t="s">
        <v>1857</v>
      </c>
      <c r="H1315" s="108">
        <v>0</v>
      </c>
      <c r="I1315" s="109" t="s">
        <v>1856</v>
      </c>
      <c r="J1315" s="108">
        <v>1.33</v>
      </c>
    </row>
    <row r="1316" spans="1:10" ht="13.9" customHeight="1" x14ac:dyDescent="0.2">
      <c r="A1316" s="109"/>
      <c r="B1316" s="109"/>
      <c r="C1316" s="109"/>
      <c r="D1316" s="109"/>
      <c r="E1316" s="109" t="s">
        <v>1855</v>
      </c>
      <c r="F1316" s="108">
        <v>0.92659499999999995</v>
      </c>
      <c r="G1316" s="109"/>
      <c r="H1316" s="140" t="s">
        <v>1854</v>
      </c>
      <c r="I1316" s="140"/>
      <c r="J1316" s="108">
        <v>4.42</v>
      </c>
    </row>
    <row r="1317" spans="1:10" ht="30" customHeight="1" thickBot="1" x14ac:dyDescent="0.25">
      <c r="A1317" s="100"/>
      <c r="B1317" s="100"/>
      <c r="C1317" s="100"/>
      <c r="D1317" s="100"/>
      <c r="E1317" s="100"/>
      <c r="F1317" s="100"/>
      <c r="G1317" s="100" t="s">
        <v>1853</v>
      </c>
      <c r="H1317" s="107">
        <v>206</v>
      </c>
      <c r="I1317" s="100" t="s">
        <v>1852</v>
      </c>
      <c r="J1317" s="102">
        <v>910.52</v>
      </c>
    </row>
    <row r="1318" spans="1:10" ht="1.1499999999999999" customHeight="1" thickTop="1" x14ac:dyDescent="0.2">
      <c r="A1318" s="106"/>
      <c r="B1318" s="106"/>
      <c r="C1318" s="106"/>
      <c r="D1318" s="106"/>
      <c r="E1318" s="106"/>
      <c r="F1318" s="106"/>
      <c r="G1318" s="106"/>
      <c r="H1318" s="106"/>
      <c r="I1318" s="106"/>
      <c r="J1318" s="106"/>
    </row>
    <row r="1319" spans="1:10" ht="18" customHeight="1" x14ac:dyDescent="0.2">
      <c r="A1319" s="117" t="s">
        <v>1695</v>
      </c>
      <c r="B1319" s="126" t="s">
        <v>5</v>
      </c>
      <c r="C1319" s="117" t="s">
        <v>6</v>
      </c>
      <c r="D1319" s="117" t="s">
        <v>7</v>
      </c>
      <c r="E1319" s="136" t="s">
        <v>1113</v>
      </c>
      <c r="F1319" s="136"/>
      <c r="G1319" s="7" t="s">
        <v>8</v>
      </c>
      <c r="H1319" s="126" t="s">
        <v>9</v>
      </c>
      <c r="I1319" s="126" t="s">
        <v>10</v>
      </c>
      <c r="J1319" s="126" t="s">
        <v>12</v>
      </c>
    </row>
    <row r="1320" spans="1:10" ht="24" customHeight="1" x14ac:dyDescent="0.2">
      <c r="A1320" s="116" t="s">
        <v>1861</v>
      </c>
      <c r="B1320" s="1" t="s">
        <v>1644</v>
      </c>
      <c r="C1320" s="116" t="s">
        <v>20</v>
      </c>
      <c r="D1320" s="116" t="s">
        <v>1643</v>
      </c>
      <c r="E1320" s="137">
        <v>7</v>
      </c>
      <c r="F1320" s="137"/>
      <c r="G1320" s="2" t="s">
        <v>37</v>
      </c>
      <c r="H1320" s="115">
        <v>1</v>
      </c>
      <c r="I1320" s="61">
        <v>31.78</v>
      </c>
      <c r="J1320" s="61">
        <v>31.78</v>
      </c>
    </row>
    <row r="1321" spans="1:10" ht="24" customHeight="1" x14ac:dyDescent="0.2">
      <c r="A1321" s="113" t="s">
        <v>1859</v>
      </c>
      <c r="B1321" s="114" t="s">
        <v>2489</v>
      </c>
      <c r="C1321" s="113" t="s">
        <v>20</v>
      </c>
      <c r="D1321" s="113" t="s">
        <v>1643</v>
      </c>
      <c r="E1321" s="139" t="s">
        <v>1369</v>
      </c>
      <c r="F1321" s="139"/>
      <c r="G1321" s="112" t="s">
        <v>246</v>
      </c>
      <c r="H1321" s="111">
        <v>1</v>
      </c>
      <c r="I1321" s="110">
        <v>21.94</v>
      </c>
      <c r="J1321" s="110">
        <v>21.94</v>
      </c>
    </row>
    <row r="1322" spans="1:10" ht="24" customHeight="1" x14ac:dyDescent="0.2">
      <c r="A1322" s="113" t="s">
        <v>1859</v>
      </c>
      <c r="B1322" s="114" t="s">
        <v>1951</v>
      </c>
      <c r="C1322" s="113" t="s">
        <v>20</v>
      </c>
      <c r="D1322" s="113" t="s">
        <v>1950</v>
      </c>
      <c r="E1322" s="139" t="s">
        <v>1860</v>
      </c>
      <c r="F1322" s="139"/>
      <c r="G1322" s="112" t="s">
        <v>1864</v>
      </c>
      <c r="H1322" s="111">
        <v>0.37</v>
      </c>
      <c r="I1322" s="110">
        <v>10.62</v>
      </c>
      <c r="J1322" s="110">
        <v>3.93</v>
      </c>
    </row>
    <row r="1323" spans="1:10" ht="24" customHeight="1" x14ac:dyDescent="0.2">
      <c r="A1323" s="113" t="s">
        <v>1859</v>
      </c>
      <c r="B1323" s="114" t="s">
        <v>2442</v>
      </c>
      <c r="C1323" s="113" t="s">
        <v>20</v>
      </c>
      <c r="D1323" s="113" t="s">
        <v>2441</v>
      </c>
      <c r="E1323" s="139" t="s">
        <v>1860</v>
      </c>
      <c r="F1323" s="139"/>
      <c r="G1323" s="112" t="s">
        <v>1864</v>
      </c>
      <c r="H1323" s="111">
        <v>0.37</v>
      </c>
      <c r="I1323" s="110">
        <v>15.97</v>
      </c>
      <c r="J1323" s="110">
        <v>5.91</v>
      </c>
    </row>
    <row r="1324" spans="1:10" x14ac:dyDescent="0.2">
      <c r="A1324" s="109"/>
      <c r="B1324" s="109"/>
      <c r="C1324" s="109"/>
      <c r="D1324" s="109"/>
      <c r="E1324" s="109" t="s">
        <v>1858</v>
      </c>
      <c r="F1324" s="108">
        <v>9.84</v>
      </c>
      <c r="G1324" s="109" t="s">
        <v>1857</v>
      </c>
      <c r="H1324" s="108">
        <v>0</v>
      </c>
      <c r="I1324" s="109" t="s">
        <v>1856</v>
      </c>
      <c r="J1324" s="108">
        <v>9.84</v>
      </c>
    </row>
    <row r="1325" spans="1:10" ht="13.9" customHeight="1" x14ac:dyDescent="0.2">
      <c r="A1325" s="109"/>
      <c r="B1325" s="109"/>
      <c r="C1325" s="109"/>
      <c r="D1325" s="109"/>
      <c r="E1325" s="109" t="s">
        <v>1855</v>
      </c>
      <c r="F1325" s="108">
        <v>8.4375900000000001</v>
      </c>
      <c r="G1325" s="109"/>
      <c r="H1325" s="140" t="s">
        <v>1854</v>
      </c>
      <c r="I1325" s="140"/>
      <c r="J1325" s="108">
        <v>40.22</v>
      </c>
    </row>
    <row r="1326" spans="1:10" ht="30" customHeight="1" thickBot="1" x14ac:dyDescent="0.25">
      <c r="A1326" s="100"/>
      <c r="B1326" s="100"/>
      <c r="C1326" s="100"/>
      <c r="D1326" s="100"/>
      <c r="E1326" s="100"/>
      <c r="F1326" s="100"/>
      <c r="G1326" s="100" t="s">
        <v>1853</v>
      </c>
      <c r="H1326" s="107">
        <v>103</v>
      </c>
      <c r="I1326" s="100" t="s">
        <v>1852</v>
      </c>
      <c r="J1326" s="102">
        <v>4142.66</v>
      </c>
    </row>
    <row r="1327" spans="1:10" ht="1.1499999999999999" customHeight="1" thickTop="1" x14ac:dyDescent="0.2">
      <c r="A1327" s="106"/>
      <c r="B1327" s="106"/>
      <c r="C1327" s="106"/>
      <c r="D1327" s="106"/>
      <c r="E1327" s="106"/>
      <c r="F1327" s="106"/>
      <c r="G1327" s="106"/>
      <c r="H1327" s="106"/>
      <c r="I1327" s="106"/>
      <c r="J1327" s="106"/>
    </row>
    <row r="1328" spans="1:10" ht="18" customHeight="1" x14ac:dyDescent="0.2">
      <c r="A1328" s="117" t="s">
        <v>1696</v>
      </c>
      <c r="B1328" s="126" t="s">
        <v>5</v>
      </c>
      <c r="C1328" s="117" t="s">
        <v>6</v>
      </c>
      <c r="D1328" s="117" t="s">
        <v>7</v>
      </c>
      <c r="E1328" s="136" t="s">
        <v>1113</v>
      </c>
      <c r="F1328" s="136"/>
      <c r="G1328" s="7" t="s">
        <v>8</v>
      </c>
      <c r="H1328" s="126" t="s">
        <v>9</v>
      </c>
      <c r="I1328" s="126" t="s">
        <v>10</v>
      </c>
      <c r="J1328" s="126" t="s">
        <v>12</v>
      </c>
    </row>
    <row r="1329" spans="1:10" ht="24" customHeight="1" x14ac:dyDescent="0.2">
      <c r="A1329" s="116" t="s">
        <v>1861</v>
      </c>
      <c r="B1329" s="1" t="s">
        <v>1632</v>
      </c>
      <c r="C1329" s="116" t="s">
        <v>20</v>
      </c>
      <c r="D1329" s="116" t="s">
        <v>1631</v>
      </c>
      <c r="E1329" s="137">
        <v>7</v>
      </c>
      <c r="F1329" s="137"/>
      <c r="G1329" s="2" t="s">
        <v>37</v>
      </c>
      <c r="H1329" s="115">
        <v>1</v>
      </c>
      <c r="I1329" s="61">
        <v>411.39</v>
      </c>
      <c r="J1329" s="61">
        <v>411.39</v>
      </c>
    </row>
    <row r="1330" spans="1:10" ht="24" customHeight="1" x14ac:dyDescent="0.2">
      <c r="A1330" s="113" t="s">
        <v>1859</v>
      </c>
      <c r="B1330" s="114" t="s">
        <v>2488</v>
      </c>
      <c r="C1330" s="113" t="s">
        <v>20</v>
      </c>
      <c r="D1330" s="113" t="s">
        <v>2487</v>
      </c>
      <c r="E1330" s="139" t="s">
        <v>1369</v>
      </c>
      <c r="F1330" s="139"/>
      <c r="G1330" s="112" t="s">
        <v>246</v>
      </c>
      <c r="H1330" s="111">
        <v>1</v>
      </c>
      <c r="I1330" s="110">
        <v>364.85</v>
      </c>
      <c r="J1330" s="110">
        <v>364.85</v>
      </c>
    </row>
    <row r="1331" spans="1:10" ht="24" customHeight="1" x14ac:dyDescent="0.2">
      <c r="A1331" s="113" t="s">
        <v>1859</v>
      </c>
      <c r="B1331" s="114" t="s">
        <v>1951</v>
      </c>
      <c r="C1331" s="113" t="s">
        <v>20</v>
      </c>
      <c r="D1331" s="113" t="s">
        <v>1950</v>
      </c>
      <c r="E1331" s="139" t="s">
        <v>1860</v>
      </c>
      <c r="F1331" s="139"/>
      <c r="G1331" s="112" t="s">
        <v>1864</v>
      </c>
      <c r="H1331" s="111">
        <v>1.75</v>
      </c>
      <c r="I1331" s="110">
        <v>10.62</v>
      </c>
      <c r="J1331" s="110">
        <v>18.59</v>
      </c>
    </row>
    <row r="1332" spans="1:10" ht="24" customHeight="1" x14ac:dyDescent="0.2">
      <c r="A1332" s="113" t="s">
        <v>1859</v>
      </c>
      <c r="B1332" s="114" t="s">
        <v>2442</v>
      </c>
      <c r="C1332" s="113" t="s">
        <v>20</v>
      </c>
      <c r="D1332" s="113" t="s">
        <v>2441</v>
      </c>
      <c r="E1332" s="139" t="s">
        <v>1860</v>
      </c>
      <c r="F1332" s="139"/>
      <c r="G1332" s="112" t="s">
        <v>1864</v>
      </c>
      <c r="H1332" s="111">
        <v>1.75</v>
      </c>
      <c r="I1332" s="110">
        <v>15.97</v>
      </c>
      <c r="J1332" s="110">
        <v>27.95</v>
      </c>
    </row>
    <row r="1333" spans="1:10" x14ac:dyDescent="0.2">
      <c r="A1333" s="109"/>
      <c r="B1333" s="109"/>
      <c r="C1333" s="109"/>
      <c r="D1333" s="109"/>
      <c r="E1333" s="109" t="s">
        <v>1858</v>
      </c>
      <c r="F1333" s="108">
        <v>46.54</v>
      </c>
      <c r="G1333" s="109" t="s">
        <v>1857</v>
      </c>
      <c r="H1333" s="108">
        <v>0</v>
      </c>
      <c r="I1333" s="109" t="s">
        <v>1856</v>
      </c>
      <c r="J1333" s="108">
        <v>46.54</v>
      </c>
    </row>
    <row r="1334" spans="1:10" ht="13.9" customHeight="1" x14ac:dyDescent="0.2">
      <c r="A1334" s="109"/>
      <c r="B1334" s="109"/>
      <c r="C1334" s="109"/>
      <c r="D1334" s="109"/>
      <c r="E1334" s="109" t="s">
        <v>1855</v>
      </c>
      <c r="F1334" s="108">
        <v>109.224045</v>
      </c>
      <c r="G1334" s="109"/>
      <c r="H1334" s="140" t="s">
        <v>1854</v>
      </c>
      <c r="I1334" s="140"/>
      <c r="J1334" s="108">
        <v>520.61</v>
      </c>
    </row>
    <row r="1335" spans="1:10" ht="30" customHeight="1" thickBot="1" x14ac:dyDescent="0.25">
      <c r="A1335" s="100"/>
      <c r="B1335" s="100"/>
      <c r="C1335" s="100"/>
      <c r="D1335" s="100"/>
      <c r="E1335" s="100"/>
      <c r="F1335" s="100"/>
      <c r="G1335" s="100" t="s">
        <v>1853</v>
      </c>
      <c r="H1335" s="107">
        <v>4</v>
      </c>
      <c r="I1335" s="100" t="s">
        <v>1852</v>
      </c>
      <c r="J1335" s="102">
        <v>2082.44</v>
      </c>
    </row>
    <row r="1336" spans="1:10" ht="1.1499999999999999" customHeight="1" thickTop="1" x14ac:dyDescent="0.2">
      <c r="A1336" s="106"/>
      <c r="B1336" s="106"/>
      <c r="C1336" s="106"/>
      <c r="D1336" s="106"/>
      <c r="E1336" s="106"/>
      <c r="F1336" s="106"/>
      <c r="G1336" s="106"/>
      <c r="H1336" s="106"/>
      <c r="I1336" s="106"/>
      <c r="J1336" s="106"/>
    </row>
    <row r="1337" spans="1:10" ht="18" customHeight="1" x14ac:dyDescent="0.2">
      <c r="A1337" s="117" t="s">
        <v>1697</v>
      </c>
      <c r="B1337" s="126" t="s">
        <v>5</v>
      </c>
      <c r="C1337" s="117" t="s">
        <v>6</v>
      </c>
      <c r="D1337" s="117" t="s">
        <v>7</v>
      </c>
      <c r="E1337" s="136" t="s">
        <v>1113</v>
      </c>
      <c r="F1337" s="136"/>
      <c r="G1337" s="7" t="s">
        <v>8</v>
      </c>
      <c r="H1337" s="126" t="s">
        <v>9</v>
      </c>
      <c r="I1337" s="126" t="s">
        <v>10</v>
      </c>
      <c r="J1337" s="126" t="s">
        <v>12</v>
      </c>
    </row>
    <row r="1338" spans="1:10" ht="24" customHeight="1" x14ac:dyDescent="0.2">
      <c r="A1338" s="116" t="s">
        <v>1861</v>
      </c>
      <c r="B1338" s="1" t="s">
        <v>1635</v>
      </c>
      <c r="C1338" s="116" t="s">
        <v>25</v>
      </c>
      <c r="D1338" s="116" t="s">
        <v>1634</v>
      </c>
      <c r="E1338" s="137" t="s">
        <v>1666</v>
      </c>
      <c r="F1338" s="137"/>
      <c r="G1338" s="2" t="s">
        <v>236</v>
      </c>
      <c r="H1338" s="115">
        <v>1</v>
      </c>
      <c r="I1338" s="61">
        <v>988.49</v>
      </c>
      <c r="J1338" s="61">
        <v>988.49</v>
      </c>
    </row>
    <row r="1339" spans="1:10" ht="24" customHeight="1" x14ac:dyDescent="0.2">
      <c r="A1339" s="121" t="s">
        <v>1888</v>
      </c>
      <c r="B1339" s="122" t="s">
        <v>2486</v>
      </c>
      <c r="C1339" s="121" t="s">
        <v>25</v>
      </c>
      <c r="D1339" s="121" t="s">
        <v>2485</v>
      </c>
      <c r="E1339" s="138" t="s">
        <v>1902</v>
      </c>
      <c r="F1339" s="138"/>
      <c r="G1339" s="120" t="s">
        <v>61</v>
      </c>
      <c r="H1339" s="119">
        <v>12.323600000000001</v>
      </c>
      <c r="I1339" s="118">
        <v>16.11</v>
      </c>
      <c r="J1339" s="118">
        <v>198.53</v>
      </c>
    </row>
    <row r="1340" spans="1:10" ht="24" customHeight="1" x14ac:dyDescent="0.2">
      <c r="A1340" s="121" t="s">
        <v>1888</v>
      </c>
      <c r="B1340" s="122" t="s">
        <v>2484</v>
      </c>
      <c r="C1340" s="121" t="s">
        <v>25</v>
      </c>
      <c r="D1340" s="121" t="s">
        <v>2483</v>
      </c>
      <c r="E1340" s="138" t="s">
        <v>1902</v>
      </c>
      <c r="F1340" s="138"/>
      <c r="G1340" s="120" t="s">
        <v>61</v>
      </c>
      <c r="H1340" s="119">
        <v>12.323600000000001</v>
      </c>
      <c r="I1340" s="118">
        <v>21.76</v>
      </c>
      <c r="J1340" s="118">
        <v>268.16000000000003</v>
      </c>
    </row>
    <row r="1341" spans="1:10" ht="24" customHeight="1" x14ac:dyDescent="0.2">
      <c r="A1341" s="113" t="s">
        <v>1859</v>
      </c>
      <c r="B1341" s="114" t="s">
        <v>2482</v>
      </c>
      <c r="C1341" s="113" t="s">
        <v>25</v>
      </c>
      <c r="D1341" s="113" t="s">
        <v>2481</v>
      </c>
      <c r="E1341" s="139" t="s">
        <v>1369</v>
      </c>
      <c r="F1341" s="139"/>
      <c r="G1341" s="112" t="s">
        <v>236</v>
      </c>
      <c r="H1341" s="111">
        <v>1</v>
      </c>
      <c r="I1341" s="110">
        <v>521.79999999999995</v>
      </c>
      <c r="J1341" s="110">
        <v>521.79999999999995</v>
      </c>
    </row>
    <row r="1342" spans="1:10" x14ac:dyDescent="0.2">
      <c r="A1342" s="109"/>
      <c r="B1342" s="109"/>
      <c r="C1342" s="109"/>
      <c r="D1342" s="109"/>
      <c r="E1342" s="109" t="s">
        <v>1858</v>
      </c>
      <c r="F1342" s="108">
        <v>329.16</v>
      </c>
      <c r="G1342" s="109" t="s">
        <v>1857</v>
      </c>
      <c r="H1342" s="108">
        <v>0.01</v>
      </c>
      <c r="I1342" s="109" t="s">
        <v>1856</v>
      </c>
      <c r="J1342" s="108">
        <v>329.17</v>
      </c>
    </row>
    <row r="1343" spans="1:10" ht="13.9" customHeight="1" x14ac:dyDescent="0.2">
      <c r="A1343" s="109"/>
      <c r="B1343" s="109"/>
      <c r="C1343" s="109"/>
      <c r="D1343" s="109"/>
      <c r="E1343" s="109" t="s">
        <v>1855</v>
      </c>
      <c r="F1343" s="108">
        <v>262.444095</v>
      </c>
      <c r="G1343" s="109"/>
      <c r="H1343" s="140" t="s">
        <v>1854</v>
      </c>
      <c r="I1343" s="140"/>
      <c r="J1343" s="108">
        <v>1250.93</v>
      </c>
    </row>
    <row r="1344" spans="1:10" ht="30" customHeight="1" thickBot="1" x14ac:dyDescent="0.25">
      <c r="A1344" s="100"/>
      <c r="B1344" s="100"/>
      <c r="C1344" s="100"/>
      <c r="D1344" s="100"/>
      <c r="E1344" s="100"/>
      <c r="F1344" s="100"/>
      <c r="G1344" s="100" t="s">
        <v>1853</v>
      </c>
      <c r="H1344" s="107">
        <v>1</v>
      </c>
      <c r="I1344" s="100" t="s">
        <v>1852</v>
      </c>
      <c r="J1344" s="102">
        <v>1250.93</v>
      </c>
    </row>
    <row r="1345" spans="1:10" ht="1.1499999999999999" customHeight="1" thickTop="1" x14ac:dyDescent="0.2">
      <c r="A1345" s="106"/>
      <c r="B1345" s="106"/>
      <c r="C1345" s="106"/>
      <c r="D1345" s="106"/>
      <c r="E1345" s="106"/>
      <c r="F1345" s="106"/>
      <c r="G1345" s="106"/>
      <c r="H1345" s="106"/>
      <c r="I1345" s="106"/>
      <c r="J1345" s="106"/>
    </row>
    <row r="1346" spans="1:10" ht="18" customHeight="1" x14ac:dyDescent="0.2">
      <c r="A1346" s="117" t="s">
        <v>1698</v>
      </c>
      <c r="B1346" s="126" t="s">
        <v>5</v>
      </c>
      <c r="C1346" s="117" t="s">
        <v>6</v>
      </c>
      <c r="D1346" s="117" t="s">
        <v>7</v>
      </c>
      <c r="E1346" s="136" t="s">
        <v>1113</v>
      </c>
      <c r="F1346" s="136"/>
      <c r="G1346" s="7" t="s">
        <v>8</v>
      </c>
      <c r="H1346" s="126" t="s">
        <v>9</v>
      </c>
      <c r="I1346" s="126" t="s">
        <v>10</v>
      </c>
      <c r="J1346" s="126" t="s">
        <v>12</v>
      </c>
    </row>
    <row r="1347" spans="1:10" ht="24" customHeight="1" x14ac:dyDescent="0.2">
      <c r="A1347" s="116" t="s">
        <v>1861</v>
      </c>
      <c r="B1347" s="1" t="s">
        <v>1699</v>
      </c>
      <c r="C1347" s="116" t="s">
        <v>244</v>
      </c>
      <c r="D1347" s="116" t="s">
        <v>1700</v>
      </c>
      <c r="E1347" s="137" t="s">
        <v>1667</v>
      </c>
      <c r="F1347" s="137"/>
      <c r="G1347" s="2" t="s">
        <v>246</v>
      </c>
      <c r="H1347" s="115">
        <v>1</v>
      </c>
      <c r="I1347" s="61">
        <v>520</v>
      </c>
      <c r="J1347" s="61">
        <v>520</v>
      </c>
    </row>
    <row r="1348" spans="1:10" ht="24" customHeight="1" x14ac:dyDescent="0.2">
      <c r="A1348" s="113" t="s">
        <v>1859</v>
      </c>
      <c r="B1348" s="114" t="s">
        <v>2480</v>
      </c>
      <c r="C1348" s="113" t="s">
        <v>244</v>
      </c>
      <c r="D1348" s="113" t="s">
        <v>2479</v>
      </c>
      <c r="E1348" s="139" t="s">
        <v>1369</v>
      </c>
      <c r="F1348" s="139"/>
      <c r="G1348" s="112" t="s">
        <v>37</v>
      </c>
      <c r="H1348" s="111">
        <v>1</v>
      </c>
      <c r="I1348" s="110">
        <v>520</v>
      </c>
      <c r="J1348" s="110">
        <v>520</v>
      </c>
    </row>
    <row r="1349" spans="1:10" x14ac:dyDescent="0.2">
      <c r="A1349" s="109"/>
      <c r="B1349" s="109"/>
      <c r="C1349" s="109"/>
      <c r="D1349" s="109"/>
      <c r="E1349" s="109" t="s">
        <v>1858</v>
      </c>
      <c r="F1349" s="108">
        <v>0</v>
      </c>
      <c r="G1349" s="109" t="s">
        <v>1857</v>
      </c>
      <c r="H1349" s="108">
        <v>0</v>
      </c>
      <c r="I1349" s="109" t="s">
        <v>1856</v>
      </c>
      <c r="J1349" s="108">
        <v>0</v>
      </c>
    </row>
    <row r="1350" spans="1:10" ht="13.9" customHeight="1" x14ac:dyDescent="0.2">
      <c r="A1350" s="109"/>
      <c r="B1350" s="109"/>
      <c r="C1350" s="109"/>
      <c r="D1350" s="109"/>
      <c r="E1350" s="109" t="s">
        <v>1855</v>
      </c>
      <c r="F1350" s="108">
        <v>138.06</v>
      </c>
      <c r="G1350" s="109"/>
      <c r="H1350" s="140" t="s">
        <v>1854</v>
      </c>
      <c r="I1350" s="140"/>
      <c r="J1350" s="108">
        <v>658.06</v>
      </c>
    </row>
    <row r="1351" spans="1:10" ht="30" customHeight="1" thickBot="1" x14ac:dyDescent="0.25">
      <c r="A1351" s="100"/>
      <c r="B1351" s="100"/>
      <c r="C1351" s="100"/>
      <c r="D1351" s="100"/>
      <c r="E1351" s="100"/>
      <c r="F1351" s="100"/>
      <c r="G1351" s="100" t="s">
        <v>1853</v>
      </c>
      <c r="H1351" s="107">
        <v>2</v>
      </c>
      <c r="I1351" s="100" t="s">
        <v>1852</v>
      </c>
      <c r="J1351" s="102">
        <v>1316.12</v>
      </c>
    </row>
    <row r="1352" spans="1:10" ht="1.1499999999999999" customHeight="1" thickTop="1" x14ac:dyDescent="0.2">
      <c r="A1352" s="106"/>
      <c r="B1352" s="106"/>
      <c r="C1352" s="106"/>
      <c r="D1352" s="106"/>
      <c r="E1352" s="106"/>
      <c r="F1352" s="106"/>
      <c r="G1352" s="106"/>
      <c r="H1352" s="106"/>
      <c r="I1352" s="106"/>
      <c r="J1352" s="106"/>
    </row>
    <row r="1353" spans="1:10" ht="18" customHeight="1" x14ac:dyDescent="0.2">
      <c r="A1353" s="117" t="s">
        <v>1701</v>
      </c>
      <c r="B1353" s="126" t="s">
        <v>5</v>
      </c>
      <c r="C1353" s="117" t="s">
        <v>6</v>
      </c>
      <c r="D1353" s="117" t="s">
        <v>7</v>
      </c>
      <c r="E1353" s="136" t="s">
        <v>1113</v>
      </c>
      <c r="F1353" s="136"/>
      <c r="G1353" s="7" t="s">
        <v>8</v>
      </c>
      <c r="H1353" s="126" t="s">
        <v>9</v>
      </c>
      <c r="I1353" s="126" t="s">
        <v>10</v>
      </c>
      <c r="J1353" s="126" t="s">
        <v>12</v>
      </c>
    </row>
    <row r="1354" spans="1:10" ht="24" customHeight="1" x14ac:dyDescent="0.2">
      <c r="A1354" s="116" t="s">
        <v>1861</v>
      </c>
      <c r="B1354" s="1" t="s">
        <v>1702</v>
      </c>
      <c r="C1354" s="116" t="s">
        <v>20</v>
      </c>
      <c r="D1354" s="116" t="s">
        <v>1703</v>
      </c>
      <c r="E1354" s="137">
        <v>7</v>
      </c>
      <c r="F1354" s="137"/>
      <c r="G1354" s="2" t="s">
        <v>246</v>
      </c>
      <c r="H1354" s="115">
        <v>1</v>
      </c>
      <c r="I1354" s="61">
        <v>22.73</v>
      </c>
      <c r="J1354" s="61">
        <v>22.73</v>
      </c>
    </row>
    <row r="1355" spans="1:10" ht="24" customHeight="1" x14ac:dyDescent="0.2">
      <c r="A1355" s="113" t="s">
        <v>1859</v>
      </c>
      <c r="B1355" s="114" t="s">
        <v>2478</v>
      </c>
      <c r="C1355" s="113" t="s">
        <v>20</v>
      </c>
      <c r="D1355" s="113" t="s">
        <v>2477</v>
      </c>
      <c r="E1355" s="139" t="s">
        <v>1369</v>
      </c>
      <c r="F1355" s="139"/>
      <c r="G1355" s="112" t="s">
        <v>246</v>
      </c>
      <c r="H1355" s="111">
        <v>1</v>
      </c>
      <c r="I1355" s="110">
        <v>19.27</v>
      </c>
      <c r="J1355" s="110">
        <v>19.27</v>
      </c>
    </row>
    <row r="1356" spans="1:10" ht="24" customHeight="1" x14ac:dyDescent="0.2">
      <c r="A1356" s="113" t="s">
        <v>1859</v>
      </c>
      <c r="B1356" s="114" t="s">
        <v>1951</v>
      </c>
      <c r="C1356" s="113" t="s">
        <v>20</v>
      </c>
      <c r="D1356" s="113" t="s">
        <v>1950</v>
      </c>
      <c r="E1356" s="139" t="s">
        <v>1860</v>
      </c>
      <c r="F1356" s="139"/>
      <c r="G1356" s="112" t="s">
        <v>1864</v>
      </c>
      <c r="H1356" s="111">
        <v>0.13</v>
      </c>
      <c r="I1356" s="110">
        <v>10.62</v>
      </c>
      <c r="J1356" s="110">
        <v>1.38</v>
      </c>
    </row>
    <row r="1357" spans="1:10" ht="24" customHeight="1" x14ac:dyDescent="0.2">
      <c r="A1357" s="113" t="s">
        <v>1859</v>
      </c>
      <c r="B1357" s="114" t="s">
        <v>2442</v>
      </c>
      <c r="C1357" s="113" t="s">
        <v>20</v>
      </c>
      <c r="D1357" s="113" t="s">
        <v>2441</v>
      </c>
      <c r="E1357" s="139" t="s">
        <v>1860</v>
      </c>
      <c r="F1357" s="139"/>
      <c r="G1357" s="112" t="s">
        <v>1864</v>
      </c>
      <c r="H1357" s="111">
        <v>0.13</v>
      </c>
      <c r="I1357" s="110">
        <v>15.97</v>
      </c>
      <c r="J1357" s="110">
        <v>2.08</v>
      </c>
    </row>
    <row r="1358" spans="1:10" x14ac:dyDescent="0.2">
      <c r="A1358" s="109"/>
      <c r="B1358" s="109"/>
      <c r="C1358" s="109"/>
      <c r="D1358" s="109"/>
      <c r="E1358" s="109" t="s">
        <v>1858</v>
      </c>
      <c r="F1358" s="108">
        <v>3.46</v>
      </c>
      <c r="G1358" s="109" t="s">
        <v>1857</v>
      </c>
      <c r="H1358" s="108">
        <v>0</v>
      </c>
      <c r="I1358" s="109" t="s">
        <v>1856</v>
      </c>
      <c r="J1358" s="108">
        <v>3.46</v>
      </c>
    </row>
    <row r="1359" spans="1:10" ht="13.9" customHeight="1" x14ac:dyDescent="0.2">
      <c r="A1359" s="109"/>
      <c r="B1359" s="109"/>
      <c r="C1359" s="109"/>
      <c r="D1359" s="109"/>
      <c r="E1359" s="109" t="s">
        <v>1855</v>
      </c>
      <c r="F1359" s="108">
        <v>6.034815</v>
      </c>
      <c r="G1359" s="109"/>
      <c r="H1359" s="140" t="s">
        <v>1854</v>
      </c>
      <c r="I1359" s="140"/>
      <c r="J1359" s="108">
        <v>28.76</v>
      </c>
    </row>
    <row r="1360" spans="1:10" ht="30" customHeight="1" thickBot="1" x14ac:dyDescent="0.25">
      <c r="A1360" s="100"/>
      <c r="B1360" s="100"/>
      <c r="C1360" s="100"/>
      <c r="D1360" s="100"/>
      <c r="E1360" s="100"/>
      <c r="F1360" s="100"/>
      <c r="G1360" s="100" t="s">
        <v>1853</v>
      </c>
      <c r="H1360" s="107">
        <v>103</v>
      </c>
      <c r="I1360" s="100" t="s">
        <v>1852</v>
      </c>
      <c r="J1360" s="102">
        <v>2962.28</v>
      </c>
    </row>
    <row r="1361" spans="1:10" ht="1.1499999999999999" customHeight="1" thickTop="1" x14ac:dyDescent="0.2">
      <c r="A1361" s="106"/>
      <c r="B1361" s="106"/>
      <c r="C1361" s="106"/>
      <c r="D1361" s="106"/>
      <c r="E1361" s="106"/>
      <c r="F1361" s="106"/>
      <c r="G1361" s="106"/>
      <c r="H1361" s="106"/>
      <c r="I1361" s="106"/>
      <c r="J1361" s="106"/>
    </row>
    <row r="1362" spans="1:10" ht="18" customHeight="1" x14ac:dyDescent="0.2">
      <c r="A1362" s="117" t="s">
        <v>1704</v>
      </c>
      <c r="B1362" s="126" t="s">
        <v>5</v>
      </c>
      <c r="C1362" s="117" t="s">
        <v>6</v>
      </c>
      <c r="D1362" s="117" t="s">
        <v>7</v>
      </c>
      <c r="E1362" s="136" t="s">
        <v>1113</v>
      </c>
      <c r="F1362" s="136"/>
      <c r="G1362" s="7" t="s">
        <v>8</v>
      </c>
      <c r="H1362" s="126" t="s">
        <v>9</v>
      </c>
      <c r="I1362" s="126" t="s">
        <v>10</v>
      </c>
      <c r="J1362" s="126" t="s">
        <v>12</v>
      </c>
    </row>
    <row r="1363" spans="1:10" ht="24" customHeight="1" x14ac:dyDescent="0.2">
      <c r="A1363" s="116" t="s">
        <v>1861</v>
      </c>
      <c r="B1363" s="1" t="s">
        <v>1705</v>
      </c>
      <c r="C1363" s="116" t="s">
        <v>20</v>
      </c>
      <c r="D1363" s="116" t="s">
        <v>1706</v>
      </c>
      <c r="E1363" s="137">
        <v>7</v>
      </c>
      <c r="F1363" s="137"/>
      <c r="G1363" s="2" t="s">
        <v>37</v>
      </c>
      <c r="H1363" s="115">
        <v>1</v>
      </c>
      <c r="I1363" s="61">
        <v>26.68</v>
      </c>
      <c r="J1363" s="61">
        <v>26.68</v>
      </c>
    </row>
    <row r="1364" spans="1:10" ht="24" customHeight="1" x14ac:dyDescent="0.2">
      <c r="A1364" s="113" t="s">
        <v>1859</v>
      </c>
      <c r="B1364" s="114" t="s">
        <v>2476</v>
      </c>
      <c r="C1364" s="113" t="s">
        <v>20</v>
      </c>
      <c r="D1364" s="113" t="s">
        <v>1706</v>
      </c>
      <c r="E1364" s="139" t="s">
        <v>1369</v>
      </c>
      <c r="F1364" s="139"/>
      <c r="G1364" s="112" t="s">
        <v>246</v>
      </c>
      <c r="H1364" s="111">
        <v>1</v>
      </c>
      <c r="I1364" s="110">
        <v>22.69</v>
      </c>
      <c r="J1364" s="110">
        <v>22.69</v>
      </c>
    </row>
    <row r="1365" spans="1:10" ht="24" customHeight="1" x14ac:dyDescent="0.2">
      <c r="A1365" s="113" t="s">
        <v>1859</v>
      </c>
      <c r="B1365" s="114" t="s">
        <v>1951</v>
      </c>
      <c r="C1365" s="113" t="s">
        <v>20</v>
      </c>
      <c r="D1365" s="113" t="s">
        <v>1950</v>
      </c>
      <c r="E1365" s="139" t="s">
        <v>1860</v>
      </c>
      <c r="F1365" s="139"/>
      <c r="G1365" s="112" t="s">
        <v>1864</v>
      </c>
      <c r="H1365" s="111">
        <v>0.15</v>
      </c>
      <c r="I1365" s="110">
        <v>10.62</v>
      </c>
      <c r="J1365" s="110">
        <v>1.59</v>
      </c>
    </row>
    <row r="1366" spans="1:10" ht="24" customHeight="1" x14ac:dyDescent="0.2">
      <c r="A1366" s="113" t="s">
        <v>1859</v>
      </c>
      <c r="B1366" s="114" t="s">
        <v>2442</v>
      </c>
      <c r="C1366" s="113" t="s">
        <v>20</v>
      </c>
      <c r="D1366" s="113" t="s">
        <v>2441</v>
      </c>
      <c r="E1366" s="139" t="s">
        <v>1860</v>
      </c>
      <c r="F1366" s="139"/>
      <c r="G1366" s="112" t="s">
        <v>1864</v>
      </c>
      <c r="H1366" s="111">
        <v>0.15</v>
      </c>
      <c r="I1366" s="110">
        <v>15.97</v>
      </c>
      <c r="J1366" s="110">
        <v>2.4</v>
      </c>
    </row>
    <row r="1367" spans="1:10" x14ac:dyDescent="0.2">
      <c r="A1367" s="109"/>
      <c r="B1367" s="109"/>
      <c r="C1367" s="109"/>
      <c r="D1367" s="109"/>
      <c r="E1367" s="109" t="s">
        <v>1858</v>
      </c>
      <c r="F1367" s="108">
        <v>3.99</v>
      </c>
      <c r="G1367" s="109" t="s">
        <v>1857</v>
      </c>
      <c r="H1367" s="108">
        <v>0</v>
      </c>
      <c r="I1367" s="109" t="s">
        <v>1856</v>
      </c>
      <c r="J1367" s="108">
        <v>3.99</v>
      </c>
    </row>
    <row r="1368" spans="1:10" ht="13.9" customHeight="1" x14ac:dyDescent="0.2">
      <c r="A1368" s="109"/>
      <c r="B1368" s="109"/>
      <c r="C1368" s="109"/>
      <c r="D1368" s="109"/>
      <c r="E1368" s="109" t="s">
        <v>1855</v>
      </c>
      <c r="F1368" s="108">
        <v>7.0835400000000002</v>
      </c>
      <c r="G1368" s="109"/>
      <c r="H1368" s="140" t="s">
        <v>1854</v>
      </c>
      <c r="I1368" s="140"/>
      <c r="J1368" s="108">
        <v>33.76</v>
      </c>
    </row>
    <row r="1369" spans="1:10" ht="30" customHeight="1" thickBot="1" x14ac:dyDescent="0.25">
      <c r="A1369" s="100"/>
      <c r="B1369" s="100"/>
      <c r="C1369" s="100"/>
      <c r="D1369" s="100"/>
      <c r="E1369" s="100"/>
      <c r="F1369" s="100"/>
      <c r="G1369" s="100" t="s">
        <v>1853</v>
      </c>
      <c r="H1369" s="107">
        <v>40</v>
      </c>
      <c r="I1369" s="100" t="s">
        <v>1852</v>
      </c>
      <c r="J1369" s="102">
        <v>1350.4</v>
      </c>
    </row>
    <row r="1370" spans="1:10" ht="1.1499999999999999" customHeight="1" thickTop="1" x14ac:dyDescent="0.2">
      <c r="A1370" s="106"/>
      <c r="B1370" s="106"/>
      <c r="C1370" s="106"/>
      <c r="D1370" s="106"/>
      <c r="E1370" s="106"/>
      <c r="F1370" s="106"/>
      <c r="G1370" s="106"/>
      <c r="H1370" s="106"/>
      <c r="I1370" s="106"/>
      <c r="J1370" s="106"/>
    </row>
    <row r="1371" spans="1:10" ht="24" customHeight="1" x14ac:dyDescent="0.2">
      <c r="A1371" s="123" t="s">
        <v>329</v>
      </c>
      <c r="B1371" s="123"/>
      <c r="C1371" s="123"/>
      <c r="D1371" s="123" t="s">
        <v>330</v>
      </c>
      <c r="E1371" s="123"/>
      <c r="F1371" s="142"/>
      <c r="G1371" s="142"/>
      <c r="H1371" s="3"/>
      <c r="I1371" s="123"/>
      <c r="J1371" s="63">
        <v>114853.63</v>
      </c>
    </row>
    <row r="1372" spans="1:10" ht="24" customHeight="1" x14ac:dyDescent="0.2">
      <c r="A1372" s="123" t="s">
        <v>331</v>
      </c>
      <c r="B1372" s="123"/>
      <c r="C1372" s="123"/>
      <c r="D1372" s="123" t="s">
        <v>332</v>
      </c>
      <c r="E1372" s="123"/>
      <c r="F1372" s="142"/>
      <c r="G1372" s="142"/>
      <c r="H1372" s="3"/>
      <c r="I1372" s="123"/>
      <c r="J1372" s="63">
        <v>27901.41</v>
      </c>
    </row>
    <row r="1373" spans="1:10" ht="18" customHeight="1" x14ac:dyDescent="0.2">
      <c r="A1373" s="117" t="s">
        <v>333</v>
      </c>
      <c r="B1373" s="126" t="s">
        <v>5</v>
      </c>
      <c r="C1373" s="117" t="s">
        <v>6</v>
      </c>
      <c r="D1373" s="117" t="s">
        <v>7</v>
      </c>
      <c r="E1373" s="136" t="s">
        <v>1113</v>
      </c>
      <c r="F1373" s="136"/>
      <c r="G1373" s="7" t="s">
        <v>8</v>
      </c>
      <c r="H1373" s="126" t="s">
        <v>9</v>
      </c>
      <c r="I1373" s="126" t="s">
        <v>10</v>
      </c>
      <c r="J1373" s="126" t="s">
        <v>12</v>
      </c>
    </row>
    <row r="1374" spans="1:10" ht="24" customHeight="1" x14ac:dyDescent="0.2">
      <c r="A1374" s="116" t="s">
        <v>1861</v>
      </c>
      <c r="B1374" s="1" t="s">
        <v>334</v>
      </c>
      <c r="C1374" s="116" t="s">
        <v>20</v>
      </c>
      <c r="D1374" s="116" t="s">
        <v>335</v>
      </c>
      <c r="E1374" s="137">
        <v>8</v>
      </c>
      <c r="F1374" s="137"/>
      <c r="G1374" s="2" t="s">
        <v>37</v>
      </c>
      <c r="H1374" s="115">
        <v>1</v>
      </c>
      <c r="I1374" s="61">
        <v>106.37</v>
      </c>
      <c r="J1374" s="61">
        <v>106.37</v>
      </c>
    </row>
    <row r="1375" spans="1:10" ht="24" customHeight="1" x14ac:dyDescent="0.2">
      <c r="A1375" s="113" t="s">
        <v>1859</v>
      </c>
      <c r="B1375" s="114" t="s">
        <v>1951</v>
      </c>
      <c r="C1375" s="113" t="s">
        <v>20</v>
      </c>
      <c r="D1375" s="113" t="s">
        <v>1950</v>
      </c>
      <c r="E1375" s="139" t="s">
        <v>1860</v>
      </c>
      <c r="F1375" s="139"/>
      <c r="G1375" s="112" t="s">
        <v>1864</v>
      </c>
      <c r="H1375" s="111">
        <v>0.39</v>
      </c>
      <c r="I1375" s="110">
        <v>10.62</v>
      </c>
      <c r="J1375" s="110">
        <v>4.1399999999999997</v>
      </c>
    </row>
    <row r="1376" spans="1:10" ht="24" customHeight="1" x14ac:dyDescent="0.2">
      <c r="A1376" s="113" t="s">
        <v>1859</v>
      </c>
      <c r="B1376" s="114" t="s">
        <v>1981</v>
      </c>
      <c r="C1376" s="113" t="s">
        <v>20</v>
      </c>
      <c r="D1376" s="113" t="s">
        <v>1980</v>
      </c>
      <c r="E1376" s="139" t="s">
        <v>1860</v>
      </c>
      <c r="F1376" s="139"/>
      <c r="G1376" s="112" t="s">
        <v>1864</v>
      </c>
      <c r="H1376" s="111">
        <v>0.39</v>
      </c>
      <c r="I1376" s="110">
        <v>15.97</v>
      </c>
      <c r="J1376" s="110">
        <v>6.23</v>
      </c>
    </row>
    <row r="1377" spans="1:10" ht="24" customHeight="1" x14ac:dyDescent="0.2">
      <c r="A1377" s="113" t="s">
        <v>1859</v>
      </c>
      <c r="B1377" s="114" t="s">
        <v>2475</v>
      </c>
      <c r="C1377" s="113" t="s">
        <v>20</v>
      </c>
      <c r="D1377" s="113" t="s">
        <v>2474</v>
      </c>
      <c r="E1377" s="139" t="s">
        <v>1369</v>
      </c>
      <c r="F1377" s="139"/>
      <c r="G1377" s="112" t="s">
        <v>246</v>
      </c>
      <c r="H1377" s="111">
        <v>1</v>
      </c>
      <c r="I1377" s="110">
        <v>96</v>
      </c>
      <c r="J1377" s="110">
        <v>96</v>
      </c>
    </row>
    <row r="1378" spans="1:10" x14ac:dyDescent="0.2">
      <c r="A1378" s="109"/>
      <c r="B1378" s="109"/>
      <c r="C1378" s="109"/>
      <c r="D1378" s="109"/>
      <c r="E1378" s="109" t="s">
        <v>1858</v>
      </c>
      <c r="F1378" s="108">
        <v>10.37</v>
      </c>
      <c r="G1378" s="109" t="s">
        <v>1857</v>
      </c>
      <c r="H1378" s="108">
        <v>0</v>
      </c>
      <c r="I1378" s="109" t="s">
        <v>1856</v>
      </c>
      <c r="J1378" s="108">
        <v>10.37</v>
      </c>
    </row>
    <row r="1379" spans="1:10" ht="13.9" customHeight="1" x14ac:dyDescent="0.2">
      <c r="A1379" s="109"/>
      <c r="B1379" s="109"/>
      <c r="C1379" s="109"/>
      <c r="D1379" s="109"/>
      <c r="E1379" s="109" t="s">
        <v>1855</v>
      </c>
      <c r="F1379" s="108">
        <v>28.241235</v>
      </c>
      <c r="G1379" s="109"/>
      <c r="H1379" s="140" t="s">
        <v>1854</v>
      </c>
      <c r="I1379" s="140"/>
      <c r="J1379" s="108">
        <v>134.61000000000001</v>
      </c>
    </row>
    <row r="1380" spans="1:10" ht="30" customHeight="1" thickBot="1" x14ac:dyDescent="0.25">
      <c r="A1380" s="100"/>
      <c r="B1380" s="100"/>
      <c r="C1380" s="100"/>
      <c r="D1380" s="100"/>
      <c r="E1380" s="100"/>
      <c r="F1380" s="100"/>
      <c r="G1380" s="100" t="s">
        <v>1853</v>
      </c>
      <c r="H1380" s="107">
        <v>12</v>
      </c>
      <c r="I1380" s="100" t="s">
        <v>1852</v>
      </c>
      <c r="J1380" s="102">
        <v>1615.32</v>
      </c>
    </row>
    <row r="1381" spans="1:10" ht="1.1499999999999999" customHeight="1" thickTop="1" x14ac:dyDescent="0.2">
      <c r="A1381" s="106"/>
      <c r="B1381" s="106"/>
      <c r="C1381" s="106"/>
      <c r="D1381" s="106"/>
      <c r="E1381" s="106"/>
      <c r="F1381" s="106"/>
      <c r="G1381" s="106"/>
      <c r="H1381" s="106"/>
      <c r="I1381" s="106"/>
      <c r="J1381" s="106"/>
    </row>
    <row r="1382" spans="1:10" ht="18" customHeight="1" x14ac:dyDescent="0.2">
      <c r="A1382" s="117" t="s">
        <v>336</v>
      </c>
      <c r="B1382" s="126" t="s">
        <v>5</v>
      </c>
      <c r="C1382" s="117" t="s">
        <v>6</v>
      </c>
      <c r="D1382" s="117" t="s">
        <v>7</v>
      </c>
      <c r="E1382" s="136" t="s">
        <v>1113</v>
      </c>
      <c r="F1382" s="136"/>
      <c r="G1382" s="7" t="s">
        <v>8</v>
      </c>
      <c r="H1382" s="126" t="s">
        <v>9</v>
      </c>
      <c r="I1382" s="126" t="s">
        <v>10</v>
      </c>
      <c r="J1382" s="126" t="s">
        <v>12</v>
      </c>
    </row>
    <row r="1383" spans="1:10" ht="24" customHeight="1" x14ac:dyDescent="0.2">
      <c r="A1383" s="116" t="s">
        <v>1861</v>
      </c>
      <c r="B1383" s="1" t="s">
        <v>337</v>
      </c>
      <c r="C1383" s="116" t="s">
        <v>20</v>
      </c>
      <c r="D1383" s="116" t="s">
        <v>338</v>
      </c>
      <c r="E1383" s="137">
        <v>8</v>
      </c>
      <c r="F1383" s="137"/>
      <c r="G1383" s="2" t="s">
        <v>37</v>
      </c>
      <c r="H1383" s="115">
        <v>1</v>
      </c>
      <c r="I1383" s="61">
        <v>270.89</v>
      </c>
      <c r="J1383" s="61">
        <v>270.89</v>
      </c>
    </row>
    <row r="1384" spans="1:10" ht="24" customHeight="1" x14ac:dyDescent="0.2">
      <c r="A1384" s="113" t="s">
        <v>1859</v>
      </c>
      <c r="B1384" s="114" t="s">
        <v>2473</v>
      </c>
      <c r="C1384" s="113" t="s">
        <v>20</v>
      </c>
      <c r="D1384" s="113" t="s">
        <v>338</v>
      </c>
      <c r="E1384" s="139" t="s">
        <v>1369</v>
      </c>
      <c r="F1384" s="139"/>
      <c r="G1384" s="112" t="s">
        <v>246</v>
      </c>
      <c r="H1384" s="111">
        <v>1</v>
      </c>
      <c r="I1384" s="110">
        <v>260.52</v>
      </c>
      <c r="J1384" s="110">
        <v>260.52</v>
      </c>
    </row>
    <row r="1385" spans="1:10" ht="24" customHeight="1" x14ac:dyDescent="0.2">
      <c r="A1385" s="113" t="s">
        <v>1859</v>
      </c>
      <c r="B1385" s="114" t="s">
        <v>1981</v>
      </c>
      <c r="C1385" s="113" t="s">
        <v>20</v>
      </c>
      <c r="D1385" s="113" t="s">
        <v>1980</v>
      </c>
      <c r="E1385" s="139" t="s">
        <v>1860</v>
      </c>
      <c r="F1385" s="139"/>
      <c r="G1385" s="112" t="s">
        <v>1864</v>
      </c>
      <c r="H1385" s="111">
        <v>0.39</v>
      </c>
      <c r="I1385" s="110">
        <v>15.97</v>
      </c>
      <c r="J1385" s="110">
        <v>6.23</v>
      </c>
    </row>
    <row r="1386" spans="1:10" ht="24" customHeight="1" x14ac:dyDescent="0.2">
      <c r="A1386" s="113" t="s">
        <v>1859</v>
      </c>
      <c r="B1386" s="114" t="s">
        <v>1951</v>
      </c>
      <c r="C1386" s="113" t="s">
        <v>20</v>
      </c>
      <c r="D1386" s="113" t="s">
        <v>1950</v>
      </c>
      <c r="E1386" s="139" t="s">
        <v>1860</v>
      </c>
      <c r="F1386" s="139"/>
      <c r="G1386" s="112" t="s">
        <v>1864</v>
      </c>
      <c r="H1386" s="111">
        <v>0.39</v>
      </c>
      <c r="I1386" s="110">
        <v>10.62</v>
      </c>
      <c r="J1386" s="110">
        <v>4.1399999999999997</v>
      </c>
    </row>
    <row r="1387" spans="1:10" x14ac:dyDescent="0.2">
      <c r="A1387" s="109"/>
      <c r="B1387" s="109"/>
      <c r="C1387" s="109"/>
      <c r="D1387" s="109"/>
      <c r="E1387" s="109" t="s">
        <v>1858</v>
      </c>
      <c r="F1387" s="108">
        <v>10.37</v>
      </c>
      <c r="G1387" s="109" t="s">
        <v>1857</v>
      </c>
      <c r="H1387" s="108">
        <v>0</v>
      </c>
      <c r="I1387" s="109" t="s">
        <v>1856</v>
      </c>
      <c r="J1387" s="108">
        <v>10.37</v>
      </c>
    </row>
    <row r="1388" spans="1:10" ht="13.9" customHeight="1" x14ac:dyDescent="0.2">
      <c r="A1388" s="109"/>
      <c r="B1388" s="109"/>
      <c r="C1388" s="109"/>
      <c r="D1388" s="109"/>
      <c r="E1388" s="109" t="s">
        <v>1855</v>
      </c>
      <c r="F1388" s="108">
        <v>71.921295000000001</v>
      </c>
      <c r="G1388" s="109"/>
      <c r="H1388" s="140" t="s">
        <v>1854</v>
      </c>
      <c r="I1388" s="140"/>
      <c r="J1388" s="108">
        <v>342.81</v>
      </c>
    </row>
    <row r="1389" spans="1:10" ht="30" customHeight="1" thickBot="1" x14ac:dyDescent="0.25">
      <c r="A1389" s="100"/>
      <c r="B1389" s="100"/>
      <c r="C1389" s="100"/>
      <c r="D1389" s="100"/>
      <c r="E1389" s="100"/>
      <c r="F1389" s="100"/>
      <c r="G1389" s="100" t="s">
        <v>1853</v>
      </c>
      <c r="H1389" s="107">
        <v>3</v>
      </c>
      <c r="I1389" s="100" t="s">
        <v>1852</v>
      </c>
      <c r="J1389" s="102">
        <v>1028.43</v>
      </c>
    </row>
    <row r="1390" spans="1:10" ht="1.1499999999999999" customHeight="1" thickTop="1" x14ac:dyDescent="0.2">
      <c r="A1390" s="106"/>
      <c r="B1390" s="106"/>
      <c r="C1390" s="106"/>
      <c r="D1390" s="106"/>
      <c r="E1390" s="106"/>
      <c r="F1390" s="106"/>
      <c r="G1390" s="106"/>
      <c r="H1390" s="106"/>
      <c r="I1390" s="106"/>
      <c r="J1390" s="106"/>
    </row>
    <row r="1391" spans="1:10" ht="18" customHeight="1" x14ac:dyDescent="0.2">
      <c r="A1391" s="117" t="s">
        <v>339</v>
      </c>
      <c r="B1391" s="126" t="s">
        <v>5</v>
      </c>
      <c r="C1391" s="117" t="s">
        <v>6</v>
      </c>
      <c r="D1391" s="117" t="s">
        <v>7</v>
      </c>
      <c r="E1391" s="136" t="s">
        <v>1113</v>
      </c>
      <c r="F1391" s="136"/>
      <c r="G1391" s="7" t="s">
        <v>8</v>
      </c>
      <c r="H1391" s="126" t="s">
        <v>9</v>
      </c>
      <c r="I1391" s="126" t="s">
        <v>10</v>
      </c>
      <c r="J1391" s="126" t="s">
        <v>12</v>
      </c>
    </row>
    <row r="1392" spans="1:10" ht="24" customHeight="1" x14ac:dyDescent="0.2">
      <c r="A1392" s="116" t="s">
        <v>1861</v>
      </c>
      <c r="B1392" s="1" t="s">
        <v>340</v>
      </c>
      <c r="C1392" s="116" t="s">
        <v>249</v>
      </c>
      <c r="D1392" s="116" t="s">
        <v>341</v>
      </c>
      <c r="E1392" s="137">
        <v>190</v>
      </c>
      <c r="F1392" s="137"/>
      <c r="G1392" s="2" t="s">
        <v>236</v>
      </c>
      <c r="H1392" s="115">
        <v>1</v>
      </c>
      <c r="I1392" s="61">
        <v>888.23</v>
      </c>
      <c r="J1392" s="61">
        <v>888.23</v>
      </c>
    </row>
    <row r="1393" spans="1:10" ht="24" customHeight="1" x14ac:dyDescent="0.2">
      <c r="A1393" s="121" t="s">
        <v>1888</v>
      </c>
      <c r="B1393" s="122" t="s">
        <v>2386</v>
      </c>
      <c r="C1393" s="121" t="s">
        <v>25</v>
      </c>
      <c r="D1393" s="121" t="s">
        <v>2385</v>
      </c>
      <c r="E1393" s="138" t="s">
        <v>1902</v>
      </c>
      <c r="F1393" s="138"/>
      <c r="G1393" s="120" t="s">
        <v>61</v>
      </c>
      <c r="H1393" s="119">
        <v>2.5449999999999999</v>
      </c>
      <c r="I1393" s="118">
        <v>20.93</v>
      </c>
      <c r="J1393" s="118">
        <v>53.27</v>
      </c>
    </row>
    <row r="1394" spans="1:10" ht="24" customHeight="1" x14ac:dyDescent="0.2">
      <c r="A1394" s="121" t="s">
        <v>1888</v>
      </c>
      <c r="B1394" s="122" t="s">
        <v>2384</v>
      </c>
      <c r="C1394" s="121" t="s">
        <v>25</v>
      </c>
      <c r="D1394" s="121" t="s">
        <v>2383</v>
      </c>
      <c r="E1394" s="138" t="s">
        <v>1902</v>
      </c>
      <c r="F1394" s="138"/>
      <c r="G1394" s="120" t="s">
        <v>61</v>
      </c>
      <c r="H1394" s="119">
        <v>2.5449999999999999</v>
      </c>
      <c r="I1394" s="118">
        <v>15.36</v>
      </c>
      <c r="J1394" s="118">
        <v>39.090000000000003</v>
      </c>
    </row>
    <row r="1395" spans="1:10" ht="24" customHeight="1" x14ac:dyDescent="0.2">
      <c r="A1395" s="113" t="s">
        <v>1859</v>
      </c>
      <c r="B1395" s="114" t="s">
        <v>2267</v>
      </c>
      <c r="C1395" s="113" t="s">
        <v>249</v>
      </c>
      <c r="D1395" s="113" t="s">
        <v>2266</v>
      </c>
      <c r="E1395" s="139" t="s">
        <v>1369</v>
      </c>
      <c r="F1395" s="139"/>
      <c r="G1395" s="112" t="s">
        <v>49</v>
      </c>
      <c r="H1395" s="111">
        <v>1E-3</v>
      </c>
      <c r="I1395" s="110">
        <v>131.63999999999999</v>
      </c>
      <c r="J1395" s="110">
        <v>0.13</v>
      </c>
    </row>
    <row r="1396" spans="1:10" ht="24" customHeight="1" x14ac:dyDescent="0.2">
      <c r="A1396" s="113" t="s">
        <v>1859</v>
      </c>
      <c r="B1396" s="114" t="s">
        <v>2265</v>
      </c>
      <c r="C1396" s="113" t="s">
        <v>249</v>
      </c>
      <c r="D1396" s="113" t="s">
        <v>2264</v>
      </c>
      <c r="E1396" s="139" t="s">
        <v>1369</v>
      </c>
      <c r="F1396" s="139"/>
      <c r="G1396" s="112" t="s">
        <v>1303</v>
      </c>
      <c r="H1396" s="111">
        <v>3</v>
      </c>
      <c r="I1396" s="110">
        <v>0.59</v>
      </c>
      <c r="J1396" s="110">
        <v>1.77</v>
      </c>
    </row>
    <row r="1397" spans="1:10" ht="24" customHeight="1" x14ac:dyDescent="0.2">
      <c r="A1397" s="113" t="s">
        <v>1859</v>
      </c>
      <c r="B1397" s="114" t="s">
        <v>2472</v>
      </c>
      <c r="C1397" s="113" t="s">
        <v>249</v>
      </c>
      <c r="D1397" s="113" t="s">
        <v>2471</v>
      </c>
      <c r="E1397" s="139" t="s">
        <v>1369</v>
      </c>
      <c r="F1397" s="139"/>
      <c r="G1397" s="112" t="s">
        <v>1303</v>
      </c>
      <c r="H1397" s="111">
        <v>0.7</v>
      </c>
      <c r="I1397" s="110">
        <v>1.85</v>
      </c>
      <c r="J1397" s="110">
        <v>1.3</v>
      </c>
    </row>
    <row r="1398" spans="1:10" ht="24" customHeight="1" x14ac:dyDescent="0.2">
      <c r="A1398" s="113" t="s">
        <v>1859</v>
      </c>
      <c r="B1398" s="114" t="s">
        <v>2470</v>
      </c>
      <c r="C1398" s="113" t="s">
        <v>249</v>
      </c>
      <c r="D1398" s="113" t="s">
        <v>2469</v>
      </c>
      <c r="E1398" s="139" t="s">
        <v>1369</v>
      </c>
      <c r="F1398" s="139"/>
      <c r="G1398" s="112" t="s">
        <v>236</v>
      </c>
      <c r="H1398" s="111">
        <v>1</v>
      </c>
      <c r="I1398" s="110">
        <v>737.73</v>
      </c>
      <c r="J1398" s="110">
        <v>737.73</v>
      </c>
    </row>
    <row r="1399" spans="1:10" ht="24" customHeight="1" x14ac:dyDescent="0.2">
      <c r="A1399" s="113" t="s">
        <v>1859</v>
      </c>
      <c r="B1399" s="114" t="s">
        <v>2468</v>
      </c>
      <c r="C1399" s="113" t="s">
        <v>249</v>
      </c>
      <c r="D1399" s="113" t="s">
        <v>2467</v>
      </c>
      <c r="E1399" s="139" t="s">
        <v>1369</v>
      </c>
      <c r="F1399" s="139"/>
      <c r="G1399" s="112" t="s">
        <v>92</v>
      </c>
      <c r="H1399" s="111">
        <v>0.7</v>
      </c>
      <c r="I1399" s="110">
        <v>0.34</v>
      </c>
      <c r="J1399" s="110">
        <v>0.24</v>
      </c>
    </row>
    <row r="1400" spans="1:10" ht="24" customHeight="1" x14ac:dyDescent="0.2">
      <c r="A1400" s="113" t="s">
        <v>1859</v>
      </c>
      <c r="B1400" s="114" t="s">
        <v>2466</v>
      </c>
      <c r="C1400" s="113" t="s">
        <v>249</v>
      </c>
      <c r="D1400" s="113" t="s">
        <v>2465</v>
      </c>
      <c r="E1400" s="139" t="s">
        <v>1369</v>
      </c>
      <c r="F1400" s="139"/>
      <c r="G1400" s="112" t="s">
        <v>236</v>
      </c>
      <c r="H1400" s="111">
        <v>2</v>
      </c>
      <c r="I1400" s="110">
        <v>19.899999999999999</v>
      </c>
      <c r="J1400" s="110">
        <v>39.799999999999997</v>
      </c>
    </row>
    <row r="1401" spans="1:10" ht="24" customHeight="1" x14ac:dyDescent="0.2">
      <c r="A1401" s="113" t="s">
        <v>1859</v>
      </c>
      <c r="B1401" s="114" t="s">
        <v>2464</v>
      </c>
      <c r="C1401" s="113" t="s">
        <v>249</v>
      </c>
      <c r="D1401" s="113" t="s">
        <v>2463</v>
      </c>
      <c r="E1401" s="139" t="s">
        <v>1369</v>
      </c>
      <c r="F1401" s="139"/>
      <c r="G1401" s="112" t="s">
        <v>236</v>
      </c>
      <c r="H1401" s="111">
        <v>1</v>
      </c>
      <c r="I1401" s="110">
        <v>14.9</v>
      </c>
      <c r="J1401" s="110">
        <v>14.9</v>
      </c>
    </row>
    <row r="1402" spans="1:10" x14ac:dyDescent="0.2">
      <c r="A1402" s="109"/>
      <c r="B1402" s="109"/>
      <c r="C1402" s="109"/>
      <c r="D1402" s="109"/>
      <c r="E1402" s="109" t="s">
        <v>1858</v>
      </c>
      <c r="F1402" s="108">
        <v>66.959999999999994</v>
      </c>
      <c r="G1402" s="109" t="s">
        <v>1857</v>
      </c>
      <c r="H1402" s="108">
        <v>0</v>
      </c>
      <c r="I1402" s="109" t="s">
        <v>1856</v>
      </c>
      <c r="J1402" s="108">
        <v>66.959999999999994</v>
      </c>
    </row>
    <row r="1403" spans="1:10" ht="13.9" customHeight="1" x14ac:dyDescent="0.2">
      <c r="A1403" s="109"/>
      <c r="B1403" s="109"/>
      <c r="C1403" s="109"/>
      <c r="D1403" s="109"/>
      <c r="E1403" s="109" t="s">
        <v>1855</v>
      </c>
      <c r="F1403" s="108">
        <v>235.825065</v>
      </c>
      <c r="G1403" s="109"/>
      <c r="H1403" s="140" t="s">
        <v>1854</v>
      </c>
      <c r="I1403" s="140"/>
      <c r="J1403" s="108">
        <v>1124.06</v>
      </c>
    </row>
    <row r="1404" spans="1:10" ht="30" customHeight="1" thickBot="1" x14ac:dyDescent="0.25">
      <c r="A1404" s="100"/>
      <c r="B1404" s="100"/>
      <c r="C1404" s="100"/>
      <c r="D1404" s="100"/>
      <c r="E1404" s="100"/>
      <c r="F1404" s="100"/>
      <c r="G1404" s="100" t="s">
        <v>1853</v>
      </c>
      <c r="H1404" s="107">
        <v>4</v>
      </c>
      <c r="I1404" s="100" t="s">
        <v>1852</v>
      </c>
      <c r="J1404" s="102">
        <v>4496.24</v>
      </c>
    </row>
    <row r="1405" spans="1:10" ht="1.1499999999999999" customHeight="1" thickTop="1" x14ac:dyDescent="0.2">
      <c r="A1405" s="106"/>
      <c r="B1405" s="106"/>
      <c r="C1405" s="106"/>
      <c r="D1405" s="106"/>
      <c r="E1405" s="106"/>
      <c r="F1405" s="106"/>
      <c r="G1405" s="106"/>
      <c r="H1405" s="106"/>
      <c r="I1405" s="106"/>
      <c r="J1405" s="106"/>
    </row>
    <row r="1406" spans="1:10" ht="18" customHeight="1" x14ac:dyDescent="0.2">
      <c r="A1406" s="117" t="s">
        <v>342</v>
      </c>
      <c r="B1406" s="126" t="s">
        <v>5</v>
      </c>
      <c r="C1406" s="117" t="s">
        <v>6</v>
      </c>
      <c r="D1406" s="117" t="s">
        <v>7</v>
      </c>
      <c r="E1406" s="136" t="s">
        <v>1113</v>
      </c>
      <c r="F1406" s="136"/>
      <c r="G1406" s="7" t="s">
        <v>8</v>
      </c>
      <c r="H1406" s="126" t="s">
        <v>9</v>
      </c>
      <c r="I1406" s="126" t="s">
        <v>10</v>
      </c>
      <c r="J1406" s="126" t="s">
        <v>12</v>
      </c>
    </row>
    <row r="1407" spans="1:10" ht="24" customHeight="1" x14ac:dyDescent="0.2">
      <c r="A1407" s="116" t="s">
        <v>1861</v>
      </c>
      <c r="B1407" s="1" t="s">
        <v>343</v>
      </c>
      <c r="C1407" s="116" t="s">
        <v>20</v>
      </c>
      <c r="D1407" s="116" t="s">
        <v>344</v>
      </c>
      <c r="E1407" s="137">
        <v>8</v>
      </c>
      <c r="F1407" s="137"/>
      <c r="G1407" s="2" t="s">
        <v>246</v>
      </c>
      <c r="H1407" s="115">
        <v>1</v>
      </c>
      <c r="I1407" s="61">
        <v>887.91</v>
      </c>
      <c r="J1407" s="61">
        <v>887.91</v>
      </c>
    </row>
    <row r="1408" spans="1:10" ht="24" customHeight="1" x14ac:dyDescent="0.2">
      <c r="A1408" s="113" t="s">
        <v>1859</v>
      </c>
      <c r="B1408" s="114" t="s">
        <v>1983</v>
      </c>
      <c r="C1408" s="113" t="s">
        <v>20</v>
      </c>
      <c r="D1408" s="113" t="s">
        <v>1982</v>
      </c>
      <c r="E1408" s="139" t="s">
        <v>1369</v>
      </c>
      <c r="F1408" s="139"/>
      <c r="G1408" s="112" t="s">
        <v>213</v>
      </c>
      <c r="H1408" s="111">
        <v>0.56000000000000005</v>
      </c>
      <c r="I1408" s="110">
        <v>0.37</v>
      </c>
      <c r="J1408" s="110">
        <v>0.21</v>
      </c>
    </row>
    <row r="1409" spans="1:10" ht="24" customHeight="1" x14ac:dyDescent="0.2">
      <c r="A1409" s="113" t="s">
        <v>1859</v>
      </c>
      <c r="B1409" s="114" t="s">
        <v>2426</v>
      </c>
      <c r="C1409" s="113" t="s">
        <v>20</v>
      </c>
      <c r="D1409" s="113" t="s">
        <v>2425</v>
      </c>
      <c r="E1409" s="139" t="s">
        <v>1369</v>
      </c>
      <c r="F1409" s="139"/>
      <c r="G1409" s="112" t="s">
        <v>246</v>
      </c>
      <c r="H1409" s="111">
        <v>1</v>
      </c>
      <c r="I1409" s="110">
        <v>28.88</v>
      </c>
      <c r="J1409" s="110">
        <v>28.88</v>
      </c>
    </row>
    <row r="1410" spans="1:10" ht="24" customHeight="1" x14ac:dyDescent="0.2">
      <c r="A1410" s="113" t="s">
        <v>1859</v>
      </c>
      <c r="B1410" s="114" t="s">
        <v>2458</v>
      </c>
      <c r="C1410" s="113" t="s">
        <v>20</v>
      </c>
      <c r="D1410" s="113" t="s">
        <v>2457</v>
      </c>
      <c r="E1410" s="139" t="s">
        <v>1369</v>
      </c>
      <c r="F1410" s="139"/>
      <c r="G1410" s="112" t="s">
        <v>246</v>
      </c>
      <c r="H1410" s="111">
        <v>1</v>
      </c>
      <c r="I1410" s="110">
        <v>9.31</v>
      </c>
      <c r="J1410" s="110">
        <v>9.31</v>
      </c>
    </row>
    <row r="1411" spans="1:10" ht="24" customHeight="1" x14ac:dyDescent="0.2">
      <c r="A1411" s="113" t="s">
        <v>1859</v>
      </c>
      <c r="B1411" s="114" t="s">
        <v>2460</v>
      </c>
      <c r="C1411" s="113" t="s">
        <v>20</v>
      </c>
      <c r="D1411" s="113" t="s">
        <v>2459</v>
      </c>
      <c r="E1411" s="139" t="s">
        <v>1369</v>
      </c>
      <c r="F1411" s="139"/>
      <c r="G1411" s="112" t="s">
        <v>246</v>
      </c>
      <c r="H1411" s="111">
        <v>2</v>
      </c>
      <c r="I1411" s="110">
        <v>5.0599999999999996</v>
      </c>
      <c r="J1411" s="110">
        <v>10.119999999999999</v>
      </c>
    </row>
    <row r="1412" spans="1:10" ht="24" customHeight="1" x14ac:dyDescent="0.2">
      <c r="A1412" s="113" t="s">
        <v>1859</v>
      </c>
      <c r="B1412" s="114" t="s">
        <v>1981</v>
      </c>
      <c r="C1412" s="113" t="s">
        <v>20</v>
      </c>
      <c r="D1412" s="113" t="s">
        <v>1980</v>
      </c>
      <c r="E1412" s="139" t="s">
        <v>1860</v>
      </c>
      <c r="F1412" s="139"/>
      <c r="G1412" s="112" t="s">
        <v>1864</v>
      </c>
      <c r="H1412" s="111">
        <v>2.4</v>
      </c>
      <c r="I1412" s="110">
        <v>15.97</v>
      </c>
      <c r="J1412" s="110">
        <v>38.33</v>
      </c>
    </row>
    <row r="1413" spans="1:10" ht="24" customHeight="1" x14ac:dyDescent="0.2">
      <c r="A1413" s="113" t="s">
        <v>1859</v>
      </c>
      <c r="B1413" s="114" t="s">
        <v>2462</v>
      </c>
      <c r="C1413" s="113" t="s">
        <v>20</v>
      </c>
      <c r="D1413" s="113" t="s">
        <v>2461</v>
      </c>
      <c r="E1413" s="139" t="s">
        <v>1369</v>
      </c>
      <c r="F1413" s="139"/>
      <c r="G1413" s="112" t="s">
        <v>246</v>
      </c>
      <c r="H1413" s="111">
        <v>1</v>
      </c>
      <c r="I1413" s="110">
        <v>775.57</v>
      </c>
      <c r="J1413" s="110">
        <v>775.57</v>
      </c>
    </row>
    <row r="1414" spans="1:10" ht="24" customHeight="1" x14ac:dyDescent="0.2">
      <c r="A1414" s="113" t="s">
        <v>1859</v>
      </c>
      <c r="B1414" s="114" t="s">
        <v>1951</v>
      </c>
      <c r="C1414" s="113" t="s">
        <v>20</v>
      </c>
      <c r="D1414" s="113" t="s">
        <v>1950</v>
      </c>
      <c r="E1414" s="139" t="s">
        <v>1860</v>
      </c>
      <c r="F1414" s="139"/>
      <c r="G1414" s="112" t="s">
        <v>1864</v>
      </c>
      <c r="H1414" s="111">
        <v>2.4</v>
      </c>
      <c r="I1414" s="110">
        <v>10.62</v>
      </c>
      <c r="J1414" s="110">
        <v>25.49</v>
      </c>
    </row>
    <row r="1415" spans="1:10" x14ac:dyDescent="0.2">
      <c r="A1415" s="109"/>
      <c r="B1415" s="109"/>
      <c r="C1415" s="109"/>
      <c r="D1415" s="109"/>
      <c r="E1415" s="109" t="s">
        <v>1858</v>
      </c>
      <c r="F1415" s="108">
        <v>63.82</v>
      </c>
      <c r="G1415" s="109" t="s">
        <v>1857</v>
      </c>
      <c r="H1415" s="108">
        <v>0</v>
      </c>
      <c r="I1415" s="109" t="s">
        <v>1856</v>
      </c>
      <c r="J1415" s="108">
        <v>63.82</v>
      </c>
    </row>
    <row r="1416" spans="1:10" ht="13.9" customHeight="1" x14ac:dyDescent="0.2">
      <c r="A1416" s="109"/>
      <c r="B1416" s="109"/>
      <c r="C1416" s="109"/>
      <c r="D1416" s="109"/>
      <c r="E1416" s="109" t="s">
        <v>1855</v>
      </c>
      <c r="F1416" s="108">
        <v>235.740105</v>
      </c>
      <c r="G1416" s="109"/>
      <c r="H1416" s="140" t="s">
        <v>1854</v>
      </c>
      <c r="I1416" s="140"/>
      <c r="J1416" s="108">
        <v>1123.6500000000001</v>
      </c>
    </row>
    <row r="1417" spans="1:10" ht="30" customHeight="1" thickBot="1" x14ac:dyDescent="0.25">
      <c r="A1417" s="100"/>
      <c r="B1417" s="100"/>
      <c r="C1417" s="100"/>
      <c r="D1417" s="100"/>
      <c r="E1417" s="100"/>
      <c r="F1417" s="100"/>
      <c r="G1417" s="100" t="s">
        <v>1853</v>
      </c>
      <c r="H1417" s="107">
        <v>6</v>
      </c>
      <c r="I1417" s="100" t="s">
        <v>1852</v>
      </c>
      <c r="J1417" s="102">
        <v>6741.9</v>
      </c>
    </row>
    <row r="1418" spans="1:10" ht="1.1499999999999999" customHeight="1" thickTop="1" x14ac:dyDescent="0.2">
      <c r="A1418" s="106"/>
      <c r="B1418" s="106"/>
      <c r="C1418" s="106"/>
      <c r="D1418" s="106"/>
      <c r="E1418" s="106"/>
      <c r="F1418" s="106"/>
      <c r="G1418" s="106"/>
      <c r="H1418" s="106"/>
      <c r="I1418" s="106"/>
      <c r="J1418" s="106"/>
    </row>
    <row r="1419" spans="1:10" ht="18" customHeight="1" x14ac:dyDescent="0.2">
      <c r="A1419" s="117" t="s">
        <v>345</v>
      </c>
      <c r="B1419" s="126" t="s">
        <v>5</v>
      </c>
      <c r="C1419" s="117" t="s">
        <v>6</v>
      </c>
      <c r="D1419" s="117" t="s">
        <v>7</v>
      </c>
      <c r="E1419" s="136" t="s">
        <v>1113</v>
      </c>
      <c r="F1419" s="136"/>
      <c r="G1419" s="7" t="s">
        <v>8</v>
      </c>
      <c r="H1419" s="126" t="s">
        <v>9</v>
      </c>
      <c r="I1419" s="126" t="s">
        <v>10</v>
      </c>
      <c r="J1419" s="126" t="s">
        <v>12</v>
      </c>
    </row>
    <row r="1420" spans="1:10" ht="24" customHeight="1" x14ac:dyDescent="0.2">
      <c r="A1420" s="116" t="s">
        <v>1861</v>
      </c>
      <c r="B1420" s="1" t="s">
        <v>346</v>
      </c>
      <c r="C1420" s="116" t="s">
        <v>20</v>
      </c>
      <c r="D1420" s="116" t="s">
        <v>347</v>
      </c>
      <c r="E1420" s="137">
        <v>8</v>
      </c>
      <c r="F1420" s="137"/>
      <c r="G1420" s="2" t="s">
        <v>37</v>
      </c>
      <c r="H1420" s="115">
        <v>1</v>
      </c>
      <c r="I1420" s="61">
        <v>531.91999999999996</v>
      </c>
      <c r="J1420" s="61">
        <v>531.91999999999996</v>
      </c>
    </row>
    <row r="1421" spans="1:10" ht="24" customHeight="1" x14ac:dyDescent="0.2">
      <c r="A1421" s="113" t="s">
        <v>1859</v>
      </c>
      <c r="B1421" s="114" t="s">
        <v>1983</v>
      </c>
      <c r="C1421" s="113" t="s">
        <v>20</v>
      </c>
      <c r="D1421" s="113" t="s">
        <v>1982</v>
      </c>
      <c r="E1421" s="139" t="s">
        <v>1369</v>
      </c>
      <c r="F1421" s="139"/>
      <c r="G1421" s="112" t="s">
        <v>213</v>
      </c>
      <c r="H1421" s="111">
        <v>0.56000000000000005</v>
      </c>
      <c r="I1421" s="110">
        <v>0.37</v>
      </c>
      <c r="J1421" s="110">
        <v>0.21</v>
      </c>
    </row>
    <row r="1422" spans="1:10" ht="24" customHeight="1" x14ac:dyDescent="0.2">
      <c r="A1422" s="113" t="s">
        <v>1859</v>
      </c>
      <c r="B1422" s="114" t="s">
        <v>1951</v>
      </c>
      <c r="C1422" s="113" t="s">
        <v>20</v>
      </c>
      <c r="D1422" s="113" t="s">
        <v>1950</v>
      </c>
      <c r="E1422" s="139" t="s">
        <v>1860</v>
      </c>
      <c r="F1422" s="139"/>
      <c r="G1422" s="112" t="s">
        <v>1864</v>
      </c>
      <c r="H1422" s="111">
        <v>2.4</v>
      </c>
      <c r="I1422" s="110">
        <v>10.62</v>
      </c>
      <c r="J1422" s="110">
        <v>25.49</v>
      </c>
    </row>
    <row r="1423" spans="1:10" ht="24" customHeight="1" x14ac:dyDescent="0.2">
      <c r="A1423" s="113" t="s">
        <v>1859</v>
      </c>
      <c r="B1423" s="114" t="s">
        <v>1981</v>
      </c>
      <c r="C1423" s="113" t="s">
        <v>20</v>
      </c>
      <c r="D1423" s="113" t="s">
        <v>1980</v>
      </c>
      <c r="E1423" s="139" t="s">
        <v>1860</v>
      </c>
      <c r="F1423" s="139"/>
      <c r="G1423" s="112" t="s">
        <v>1864</v>
      </c>
      <c r="H1423" s="111">
        <v>2.4</v>
      </c>
      <c r="I1423" s="110">
        <v>15.97</v>
      </c>
      <c r="J1423" s="110">
        <v>38.33</v>
      </c>
    </row>
    <row r="1424" spans="1:10" ht="24" customHeight="1" x14ac:dyDescent="0.2">
      <c r="A1424" s="113" t="s">
        <v>1859</v>
      </c>
      <c r="B1424" s="114" t="s">
        <v>2460</v>
      </c>
      <c r="C1424" s="113" t="s">
        <v>20</v>
      </c>
      <c r="D1424" s="113" t="s">
        <v>2459</v>
      </c>
      <c r="E1424" s="139" t="s">
        <v>1369</v>
      </c>
      <c r="F1424" s="139"/>
      <c r="G1424" s="112" t="s">
        <v>246</v>
      </c>
      <c r="H1424" s="111">
        <v>2</v>
      </c>
      <c r="I1424" s="110">
        <v>5.0599999999999996</v>
      </c>
      <c r="J1424" s="110">
        <v>10.119999999999999</v>
      </c>
    </row>
    <row r="1425" spans="1:10" ht="24" customHeight="1" x14ac:dyDescent="0.2">
      <c r="A1425" s="113" t="s">
        <v>1859</v>
      </c>
      <c r="B1425" s="114" t="s">
        <v>2458</v>
      </c>
      <c r="C1425" s="113" t="s">
        <v>20</v>
      </c>
      <c r="D1425" s="113" t="s">
        <v>2457</v>
      </c>
      <c r="E1425" s="139" t="s">
        <v>1369</v>
      </c>
      <c r="F1425" s="139"/>
      <c r="G1425" s="112" t="s">
        <v>246</v>
      </c>
      <c r="H1425" s="111">
        <v>1</v>
      </c>
      <c r="I1425" s="110">
        <v>9.31</v>
      </c>
      <c r="J1425" s="110">
        <v>9.31</v>
      </c>
    </row>
    <row r="1426" spans="1:10" ht="24" customHeight="1" x14ac:dyDescent="0.2">
      <c r="A1426" s="113" t="s">
        <v>1859</v>
      </c>
      <c r="B1426" s="114" t="s">
        <v>2456</v>
      </c>
      <c r="C1426" s="113" t="s">
        <v>20</v>
      </c>
      <c r="D1426" s="113" t="s">
        <v>2455</v>
      </c>
      <c r="E1426" s="139" t="s">
        <v>1369</v>
      </c>
      <c r="F1426" s="139"/>
      <c r="G1426" s="112" t="s">
        <v>246</v>
      </c>
      <c r="H1426" s="111">
        <v>1</v>
      </c>
      <c r="I1426" s="110">
        <v>419.58</v>
      </c>
      <c r="J1426" s="110">
        <v>419.58</v>
      </c>
    </row>
    <row r="1427" spans="1:10" ht="24" customHeight="1" x14ac:dyDescent="0.2">
      <c r="A1427" s="113" t="s">
        <v>1859</v>
      </c>
      <c r="B1427" s="114" t="s">
        <v>2426</v>
      </c>
      <c r="C1427" s="113" t="s">
        <v>20</v>
      </c>
      <c r="D1427" s="113" t="s">
        <v>2425</v>
      </c>
      <c r="E1427" s="139" t="s">
        <v>1369</v>
      </c>
      <c r="F1427" s="139"/>
      <c r="G1427" s="112" t="s">
        <v>246</v>
      </c>
      <c r="H1427" s="111">
        <v>1</v>
      </c>
      <c r="I1427" s="110">
        <v>28.88</v>
      </c>
      <c r="J1427" s="110">
        <v>28.88</v>
      </c>
    </row>
    <row r="1428" spans="1:10" x14ac:dyDescent="0.2">
      <c r="A1428" s="109"/>
      <c r="B1428" s="109"/>
      <c r="C1428" s="109"/>
      <c r="D1428" s="109"/>
      <c r="E1428" s="109" t="s">
        <v>1858</v>
      </c>
      <c r="F1428" s="108">
        <v>63.82</v>
      </c>
      <c r="G1428" s="109" t="s">
        <v>1857</v>
      </c>
      <c r="H1428" s="108">
        <v>0</v>
      </c>
      <c r="I1428" s="109" t="s">
        <v>1856</v>
      </c>
      <c r="J1428" s="108">
        <v>63.82</v>
      </c>
    </row>
    <row r="1429" spans="1:10" ht="13.9" customHeight="1" x14ac:dyDescent="0.2">
      <c r="A1429" s="109"/>
      <c r="B1429" s="109"/>
      <c r="C1429" s="109"/>
      <c r="D1429" s="109"/>
      <c r="E1429" s="109" t="s">
        <v>1855</v>
      </c>
      <c r="F1429" s="108">
        <v>141.22476</v>
      </c>
      <c r="G1429" s="109"/>
      <c r="H1429" s="140" t="s">
        <v>1854</v>
      </c>
      <c r="I1429" s="140"/>
      <c r="J1429" s="108">
        <v>673.14</v>
      </c>
    </row>
    <row r="1430" spans="1:10" ht="30" customHeight="1" thickBot="1" x14ac:dyDescent="0.25">
      <c r="A1430" s="100"/>
      <c r="B1430" s="100"/>
      <c r="C1430" s="100"/>
      <c r="D1430" s="100"/>
      <c r="E1430" s="100"/>
      <c r="F1430" s="100"/>
      <c r="G1430" s="100" t="s">
        <v>1853</v>
      </c>
      <c r="H1430" s="107">
        <v>4</v>
      </c>
      <c r="I1430" s="100" t="s">
        <v>1852</v>
      </c>
      <c r="J1430" s="102">
        <v>2692.56</v>
      </c>
    </row>
    <row r="1431" spans="1:10" ht="1.1499999999999999" customHeight="1" thickTop="1" x14ac:dyDescent="0.2">
      <c r="A1431" s="106"/>
      <c r="B1431" s="106"/>
      <c r="C1431" s="106"/>
      <c r="D1431" s="106"/>
      <c r="E1431" s="106"/>
      <c r="F1431" s="106"/>
      <c r="G1431" s="106"/>
      <c r="H1431" s="106"/>
      <c r="I1431" s="106"/>
      <c r="J1431" s="106"/>
    </row>
    <row r="1432" spans="1:10" ht="18" customHeight="1" x14ac:dyDescent="0.2">
      <c r="A1432" s="117" t="s">
        <v>348</v>
      </c>
      <c r="B1432" s="126" t="s">
        <v>5</v>
      </c>
      <c r="C1432" s="117" t="s">
        <v>6</v>
      </c>
      <c r="D1432" s="117" t="s">
        <v>7</v>
      </c>
      <c r="E1432" s="136" t="s">
        <v>1113</v>
      </c>
      <c r="F1432" s="136"/>
      <c r="G1432" s="7" t="s">
        <v>8</v>
      </c>
      <c r="H1432" s="126" t="s">
        <v>9</v>
      </c>
      <c r="I1432" s="126" t="s">
        <v>10</v>
      </c>
      <c r="J1432" s="126" t="s">
        <v>12</v>
      </c>
    </row>
    <row r="1433" spans="1:10" ht="24" customHeight="1" x14ac:dyDescent="0.2">
      <c r="A1433" s="116" t="s">
        <v>1861</v>
      </c>
      <c r="B1433" s="1" t="s">
        <v>349</v>
      </c>
      <c r="C1433" s="116" t="s">
        <v>20</v>
      </c>
      <c r="D1433" s="116" t="s">
        <v>350</v>
      </c>
      <c r="E1433" s="137">
        <v>8</v>
      </c>
      <c r="F1433" s="137"/>
      <c r="G1433" s="2" t="s">
        <v>37</v>
      </c>
      <c r="H1433" s="115">
        <v>1</v>
      </c>
      <c r="I1433" s="61">
        <v>115.75</v>
      </c>
      <c r="J1433" s="61">
        <v>115.75</v>
      </c>
    </row>
    <row r="1434" spans="1:10" ht="36" customHeight="1" x14ac:dyDescent="0.2">
      <c r="A1434" s="113" t="s">
        <v>1859</v>
      </c>
      <c r="B1434" s="114" t="s">
        <v>2454</v>
      </c>
      <c r="C1434" s="113" t="s">
        <v>20</v>
      </c>
      <c r="D1434" s="113" t="s">
        <v>2453</v>
      </c>
      <c r="E1434" s="139" t="s">
        <v>1369</v>
      </c>
      <c r="F1434" s="139"/>
      <c r="G1434" s="112" t="s">
        <v>246</v>
      </c>
      <c r="H1434" s="111">
        <v>1</v>
      </c>
      <c r="I1434" s="110">
        <v>111.76</v>
      </c>
      <c r="J1434" s="110">
        <v>111.76</v>
      </c>
    </row>
    <row r="1435" spans="1:10" ht="24" customHeight="1" x14ac:dyDescent="0.2">
      <c r="A1435" s="113" t="s">
        <v>1859</v>
      </c>
      <c r="B1435" s="114" t="s">
        <v>1981</v>
      </c>
      <c r="C1435" s="113" t="s">
        <v>20</v>
      </c>
      <c r="D1435" s="113" t="s">
        <v>1980</v>
      </c>
      <c r="E1435" s="139" t="s">
        <v>1860</v>
      </c>
      <c r="F1435" s="139"/>
      <c r="G1435" s="112" t="s">
        <v>1864</v>
      </c>
      <c r="H1435" s="111">
        <v>0.15</v>
      </c>
      <c r="I1435" s="110">
        <v>15.97</v>
      </c>
      <c r="J1435" s="110">
        <v>2.4</v>
      </c>
    </row>
    <row r="1436" spans="1:10" ht="24" customHeight="1" x14ac:dyDescent="0.2">
      <c r="A1436" s="113" t="s">
        <v>1859</v>
      </c>
      <c r="B1436" s="114" t="s">
        <v>1951</v>
      </c>
      <c r="C1436" s="113" t="s">
        <v>20</v>
      </c>
      <c r="D1436" s="113" t="s">
        <v>1950</v>
      </c>
      <c r="E1436" s="139" t="s">
        <v>1860</v>
      </c>
      <c r="F1436" s="139"/>
      <c r="G1436" s="112" t="s">
        <v>1864</v>
      </c>
      <c r="H1436" s="111">
        <v>0.15</v>
      </c>
      <c r="I1436" s="110">
        <v>10.62</v>
      </c>
      <c r="J1436" s="110">
        <v>1.59</v>
      </c>
    </row>
    <row r="1437" spans="1:10" x14ac:dyDescent="0.2">
      <c r="A1437" s="109"/>
      <c r="B1437" s="109"/>
      <c r="C1437" s="109"/>
      <c r="D1437" s="109"/>
      <c r="E1437" s="109" t="s">
        <v>1858</v>
      </c>
      <c r="F1437" s="108">
        <v>3.99</v>
      </c>
      <c r="G1437" s="109" t="s">
        <v>1857</v>
      </c>
      <c r="H1437" s="108">
        <v>0</v>
      </c>
      <c r="I1437" s="109" t="s">
        <v>1856</v>
      </c>
      <c r="J1437" s="108">
        <v>3.99</v>
      </c>
    </row>
    <row r="1438" spans="1:10" ht="13.9" customHeight="1" x14ac:dyDescent="0.2">
      <c r="A1438" s="109"/>
      <c r="B1438" s="109"/>
      <c r="C1438" s="109"/>
      <c r="D1438" s="109"/>
      <c r="E1438" s="109" t="s">
        <v>1855</v>
      </c>
      <c r="F1438" s="108">
        <v>30.731625000000001</v>
      </c>
      <c r="G1438" s="109"/>
      <c r="H1438" s="140" t="s">
        <v>1854</v>
      </c>
      <c r="I1438" s="140"/>
      <c r="J1438" s="108">
        <v>146.47999999999999</v>
      </c>
    </row>
    <row r="1439" spans="1:10" ht="30" customHeight="1" thickBot="1" x14ac:dyDescent="0.25">
      <c r="A1439" s="100"/>
      <c r="B1439" s="100"/>
      <c r="C1439" s="100"/>
      <c r="D1439" s="100"/>
      <c r="E1439" s="100"/>
      <c r="F1439" s="100"/>
      <c r="G1439" s="100" t="s">
        <v>1853</v>
      </c>
      <c r="H1439" s="107">
        <v>10</v>
      </c>
      <c r="I1439" s="100" t="s">
        <v>1852</v>
      </c>
      <c r="J1439" s="102">
        <v>1464.8</v>
      </c>
    </row>
    <row r="1440" spans="1:10" ht="1.1499999999999999" customHeight="1" thickTop="1" x14ac:dyDescent="0.2">
      <c r="A1440" s="106"/>
      <c r="B1440" s="106"/>
      <c r="C1440" s="106"/>
      <c r="D1440" s="106"/>
      <c r="E1440" s="106"/>
      <c r="F1440" s="106"/>
      <c r="G1440" s="106"/>
      <c r="H1440" s="106"/>
      <c r="I1440" s="106"/>
      <c r="J1440" s="106"/>
    </row>
    <row r="1441" spans="1:10" ht="18" customHeight="1" x14ac:dyDescent="0.2">
      <c r="A1441" s="117" t="s">
        <v>351</v>
      </c>
      <c r="B1441" s="126" t="s">
        <v>5</v>
      </c>
      <c r="C1441" s="117" t="s">
        <v>6</v>
      </c>
      <c r="D1441" s="117" t="s">
        <v>7</v>
      </c>
      <c r="E1441" s="136" t="s">
        <v>1113</v>
      </c>
      <c r="F1441" s="136"/>
      <c r="G1441" s="7" t="s">
        <v>8</v>
      </c>
      <c r="H1441" s="126" t="s">
        <v>9</v>
      </c>
      <c r="I1441" s="126" t="s">
        <v>10</v>
      </c>
      <c r="J1441" s="126" t="s">
        <v>12</v>
      </c>
    </row>
    <row r="1442" spans="1:10" ht="24" customHeight="1" x14ac:dyDescent="0.2">
      <c r="A1442" s="116" t="s">
        <v>1861</v>
      </c>
      <c r="B1442" s="1" t="s">
        <v>352</v>
      </c>
      <c r="C1442" s="116" t="s">
        <v>20</v>
      </c>
      <c r="D1442" s="116" t="s">
        <v>353</v>
      </c>
      <c r="E1442" s="137">
        <v>8</v>
      </c>
      <c r="F1442" s="137"/>
      <c r="G1442" s="2" t="s">
        <v>37</v>
      </c>
      <c r="H1442" s="115">
        <v>1</v>
      </c>
      <c r="I1442" s="61">
        <v>538.88</v>
      </c>
      <c r="J1442" s="61">
        <v>538.88</v>
      </c>
    </row>
    <row r="1443" spans="1:10" ht="24" customHeight="1" x14ac:dyDescent="0.2">
      <c r="A1443" s="113" t="s">
        <v>1859</v>
      </c>
      <c r="B1443" s="114" t="s">
        <v>1983</v>
      </c>
      <c r="C1443" s="113" t="s">
        <v>20</v>
      </c>
      <c r="D1443" s="113" t="s">
        <v>1982</v>
      </c>
      <c r="E1443" s="139" t="s">
        <v>1369</v>
      </c>
      <c r="F1443" s="139"/>
      <c r="G1443" s="112" t="s">
        <v>213</v>
      </c>
      <c r="H1443" s="111">
        <v>0.75</v>
      </c>
      <c r="I1443" s="110">
        <v>0.37</v>
      </c>
      <c r="J1443" s="110">
        <v>0.28000000000000003</v>
      </c>
    </row>
    <row r="1444" spans="1:10" ht="24" customHeight="1" x14ac:dyDescent="0.2">
      <c r="A1444" s="113" t="s">
        <v>1859</v>
      </c>
      <c r="B1444" s="114" t="s">
        <v>1951</v>
      </c>
      <c r="C1444" s="113" t="s">
        <v>20</v>
      </c>
      <c r="D1444" s="113" t="s">
        <v>1950</v>
      </c>
      <c r="E1444" s="139" t="s">
        <v>1860</v>
      </c>
      <c r="F1444" s="139"/>
      <c r="G1444" s="112" t="s">
        <v>1864</v>
      </c>
      <c r="H1444" s="111">
        <v>1.9139999999999999</v>
      </c>
      <c r="I1444" s="110">
        <v>10.62</v>
      </c>
      <c r="J1444" s="110">
        <v>20.329999999999998</v>
      </c>
    </row>
    <row r="1445" spans="1:10" ht="24" customHeight="1" x14ac:dyDescent="0.2">
      <c r="A1445" s="113" t="s">
        <v>1859</v>
      </c>
      <c r="B1445" s="114" t="s">
        <v>1981</v>
      </c>
      <c r="C1445" s="113" t="s">
        <v>20</v>
      </c>
      <c r="D1445" s="113" t="s">
        <v>1980</v>
      </c>
      <c r="E1445" s="139" t="s">
        <v>1860</v>
      </c>
      <c r="F1445" s="139"/>
      <c r="G1445" s="112" t="s">
        <v>1864</v>
      </c>
      <c r="H1445" s="111">
        <v>1.9139999999999999</v>
      </c>
      <c r="I1445" s="110">
        <v>15.97</v>
      </c>
      <c r="J1445" s="110">
        <v>30.57</v>
      </c>
    </row>
    <row r="1446" spans="1:10" ht="24" customHeight="1" x14ac:dyDescent="0.2">
      <c r="A1446" s="113" t="s">
        <v>1859</v>
      </c>
      <c r="B1446" s="114" t="s">
        <v>2452</v>
      </c>
      <c r="C1446" s="113" t="s">
        <v>20</v>
      </c>
      <c r="D1446" s="113" t="s">
        <v>2451</v>
      </c>
      <c r="E1446" s="139" t="s">
        <v>1369</v>
      </c>
      <c r="F1446" s="139"/>
      <c r="G1446" s="112" t="s">
        <v>246</v>
      </c>
      <c r="H1446" s="111">
        <v>1</v>
      </c>
      <c r="I1446" s="110">
        <v>6.59</v>
      </c>
      <c r="J1446" s="110">
        <v>6.59</v>
      </c>
    </row>
    <row r="1447" spans="1:10" ht="24" customHeight="1" x14ac:dyDescent="0.2">
      <c r="A1447" s="113" t="s">
        <v>1859</v>
      </c>
      <c r="B1447" s="114" t="s">
        <v>2450</v>
      </c>
      <c r="C1447" s="113" t="s">
        <v>20</v>
      </c>
      <c r="D1447" s="113" t="s">
        <v>2449</v>
      </c>
      <c r="E1447" s="139" t="s">
        <v>1369</v>
      </c>
      <c r="F1447" s="139"/>
      <c r="G1447" s="112" t="s">
        <v>246</v>
      </c>
      <c r="H1447" s="111">
        <v>1</v>
      </c>
      <c r="I1447" s="110">
        <v>481.11</v>
      </c>
      <c r="J1447" s="110">
        <v>481.11</v>
      </c>
    </row>
    <row r="1448" spans="1:10" x14ac:dyDescent="0.2">
      <c r="A1448" s="109"/>
      <c r="B1448" s="109"/>
      <c r="C1448" s="109"/>
      <c r="D1448" s="109"/>
      <c r="E1448" s="109" t="s">
        <v>1858</v>
      </c>
      <c r="F1448" s="108">
        <v>50.9</v>
      </c>
      <c r="G1448" s="109" t="s">
        <v>1857</v>
      </c>
      <c r="H1448" s="108">
        <v>0</v>
      </c>
      <c r="I1448" s="109" t="s">
        <v>1856</v>
      </c>
      <c r="J1448" s="108">
        <v>50.9</v>
      </c>
    </row>
    <row r="1449" spans="1:10" ht="13.9" customHeight="1" x14ac:dyDescent="0.2">
      <c r="A1449" s="109"/>
      <c r="B1449" s="109"/>
      <c r="C1449" s="109"/>
      <c r="D1449" s="109"/>
      <c r="E1449" s="109" t="s">
        <v>1855</v>
      </c>
      <c r="F1449" s="108">
        <v>143.07264000000001</v>
      </c>
      <c r="G1449" s="109"/>
      <c r="H1449" s="140" t="s">
        <v>1854</v>
      </c>
      <c r="I1449" s="140"/>
      <c r="J1449" s="108">
        <v>681.95</v>
      </c>
    </row>
    <row r="1450" spans="1:10" ht="30" customHeight="1" thickBot="1" x14ac:dyDescent="0.25">
      <c r="A1450" s="100"/>
      <c r="B1450" s="100"/>
      <c r="C1450" s="100"/>
      <c r="D1450" s="100"/>
      <c r="E1450" s="100"/>
      <c r="F1450" s="100"/>
      <c r="G1450" s="100" t="s">
        <v>1853</v>
      </c>
      <c r="H1450" s="107">
        <v>2</v>
      </c>
      <c r="I1450" s="100" t="s">
        <v>1852</v>
      </c>
      <c r="J1450" s="102">
        <v>1363.9</v>
      </c>
    </row>
    <row r="1451" spans="1:10" ht="1.1499999999999999" customHeight="1" thickTop="1" x14ac:dyDescent="0.2">
      <c r="A1451" s="106"/>
      <c r="B1451" s="106"/>
      <c r="C1451" s="106"/>
      <c r="D1451" s="106"/>
      <c r="E1451" s="106"/>
      <c r="F1451" s="106"/>
      <c r="G1451" s="106"/>
      <c r="H1451" s="106"/>
      <c r="I1451" s="106"/>
      <c r="J1451" s="106"/>
    </row>
    <row r="1452" spans="1:10" ht="18" customHeight="1" x14ac:dyDescent="0.2">
      <c r="A1452" s="117" t="s">
        <v>354</v>
      </c>
      <c r="B1452" s="126" t="s">
        <v>5</v>
      </c>
      <c r="C1452" s="117" t="s">
        <v>6</v>
      </c>
      <c r="D1452" s="117" t="s">
        <v>7</v>
      </c>
      <c r="E1452" s="136" t="s">
        <v>1113</v>
      </c>
      <c r="F1452" s="136"/>
      <c r="G1452" s="7" t="s">
        <v>8</v>
      </c>
      <c r="H1452" s="126" t="s">
        <v>9</v>
      </c>
      <c r="I1452" s="126" t="s">
        <v>10</v>
      </c>
      <c r="J1452" s="126" t="s">
        <v>12</v>
      </c>
    </row>
    <row r="1453" spans="1:10" ht="24" customHeight="1" x14ac:dyDescent="0.2">
      <c r="A1453" s="116" t="s">
        <v>1861</v>
      </c>
      <c r="B1453" s="1" t="s">
        <v>355</v>
      </c>
      <c r="C1453" s="116" t="s">
        <v>20</v>
      </c>
      <c r="D1453" s="116" t="s">
        <v>356</v>
      </c>
      <c r="E1453" s="137">
        <v>8</v>
      </c>
      <c r="F1453" s="137"/>
      <c r="G1453" s="2" t="s">
        <v>37</v>
      </c>
      <c r="H1453" s="115">
        <v>1</v>
      </c>
      <c r="I1453" s="61">
        <v>576.96</v>
      </c>
      <c r="J1453" s="61">
        <v>576.96</v>
      </c>
    </row>
    <row r="1454" spans="1:10" ht="24" customHeight="1" x14ac:dyDescent="0.2">
      <c r="A1454" s="113" t="s">
        <v>1859</v>
      </c>
      <c r="B1454" s="114" t="s">
        <v>1899</v>
      </c>
      <c r="C1454" s="113" t="s">
        <v>20</v>
      </c>
      <c r="D1454" s="113" t="s">
        <v>1898</v>
      </c>
      <c r="E1454" s="139" t="s">
        <v>1369</v>
      </c>
      <c r="F1454" s="139"/>
      <c r="G1454" s="112" t="s">
        <v>49</v>
      </c>
      <c r="H1454" s="111">
        <v>0.02</v>
      </c>
      <c r="I1454" s="110">
        <v>162.78</v>
      </c>
      <c r="J1454" s="110">
        <v>3.26</v>
      </c>
    </row>
    <row r="1455" spans="1:10" ht="24" customHeight="1" x14ac:dyDescent="0.2">
      <c r="A1455" s="113" t="s">
        <v>1859</v>
      </c>
      <c r="B1455" s="114" t="s">
        <v>1897</v>
      </c>
      <c r="C1455" s="113" t="s">
        <v>20</v>
      </c>
      <c r="D1455" s="113" t="s">
        <v>1896</v>
      </c>
      <c r="E1455" s="139" t="s">
        <v>1369</v>
      </c>
      <c r="F1455" s="139"/>
      <c r="G1455" s="112" t="s">
        <v>96</v>
      </c>
      <c r="H1455" s="111">
        <v>8.6</v>
      </c>
      <c r="I1455" s="110">
        <v>0.6</v>
      </c>
      <c r="J1455" s="110">
        <v>5.16</v>
      </c>
    </row>
    <row r="1456" spans="1:10" ht="24" customHeight="1" x14ac:dyDescent="0.2">
      <c r="A1456" s="113" t="s">
        <v>1859</v>
      </c>
      <c r="B1456" s="114" t="s">
        <v>2448</v>
      </c>
      <c r="C1456" s="113" t="s">
        <v>20</v>
      </c>
      <c r="D1456" s="113" t="s">
        <v>2447</v>
      </c>
      <c r="E1456" s="139" t="s">
        <v>1369</v>
      </c>
      <c r="F1456" s="139"/>
      <c r="G1456" s="112" t="s">
        <v>246</v>
      </c>
      <c r="H1456" s="111">
        <v>1</v>
      </c>
      <c r="I1456" s="110">
        <v>462.18</v>
      </c>
      <c r="J1456" s="110">
        <v>462.18</v>
      </c>
    </row>
    <row r="1457" spans="1:10" ht="24" customHeight="1" x14ac:dyDescent="0.2">
      <c r="A1457" s="113" t="s">
        <v>1859</v>
      </c>
      <c r="B1457" s="114" t="s">
        <v>1866</v>
      </c>
      <c r="C1457" s="113" t="s">
        <v>20</v>
      </c>
      <c r="D1457" s="113" t="s">
        <v>1865</v>
      </c>
      <c r="E1457" s="139" t="s">
        <v>1860</v>
      </c>
      <c r="F1457" s="139"/>
      <c r="G1457" s="112" t="s">
        <v>1864</v>
      </c>
      <c r="H1457" s="111">
        <v>4</v>
      </c>
      <c r="I1457" s="110">
        <v>15.97</v>
      </c>
      <c r="J1457" s="110">
        <v>63.88</v>
      </c>
    </row>
    <row r="1458" spans="1:10" ht="24" customHeight="1" x14ac:dyDescent="0.2">
      <c r="A1458" s="113" t="s">
        <v>1859</v>
      </c>
      <c r="B1458" s="114" t="s">
        <v>1872</v>
      </c>
      <c r="C1458" s="113" t="s">
        <v>20</v>
      </c>
      <c r="D1458" s="113" t="s">
        <v>1871</v>
      </c>
      <c r="E1458" s="139" t="s">
        <v>1860</v>
      </c>
      <c r="F1458" s="139"/>
      <c r="G1458" s="112" t="s">
        <v>1864</v>
      </c>
      <c r="H1458" s="111">
        <v>4</v>
      </c>
      <c r="I1458" s="110">
        <v>10.62</v>
      </c>
      <c r="J1458" s="110">
        <v>42.48</v>
      </c>
    </row>
    <row r="1459" spans="1:10" x14ac:dyDescent="0.2">
      <c r="A1459" s="109"/>
      <c r="B1459" s="109"/>
      <c r="C1459" s="109"/>
      <c r="D1459" s="109"/>
      <c r="E1459" s="109" t="s">
        <v>1858</v>
      </c>
      <c r="F1459" s="108">
        <v>106.36</v>
      </c>
      <c r="G1459" s="109" t="s">
        <v>1857</v>
      </c>
      <c r="H1459" s="108">
        <v>0</v>
      </c>
      <c r="I1459" s="109" t="s">
        <v>1856</v>
      </c>
      <c r="J1459" s="108">
        <v>106.36</v>
      </c>
    </row>
    <row r="1460" spans="1:10" ht="13.9" customHeight="1" x14ac:dyDescent="0.2">
      <c r="A1460" s="109"/>
      <c r="B1460" s="109"/>
      <c r="C1460" s="109"/>
      <c r="D1460" s="109"/>
      <c r="E1460" s="109" t="s">
        <v>1855</v>
      </c>
      <c r="F1460" s="108">
        <v>153.18288000000001</v>
      </c>
      <c r="G1460" s="109"/>
      <c r="H1460" s="140" t="s">
        <v>1854</v>
      </c>
      <c r="I1460" s="140"/>
      <c r="J1460" s="108">
        <v>730.14</v>
      </c>
    </row>
    <row r="1461" spans="1:10" ht="30" customHeight="1" thickBot="1" x14ac:dyDescent="0.25">
      <c r="A1461" s="100"/>
      <c r="B1461" s="100"/>
      <c r="C1461" s="100"/>
      <c r="D1461" s="100"/>
      <c r="E1461" s="100"/>
      <c r="F1461" s="100"/>
      <c r="G1461" s="100" t="s">
        <v>1853</v>
      </c>
      <c r="H1461" s="107">
        <v>3</v>
      </c>
      <c r="I1461" s="100" t="s">
        <v>1852</v>
      </c>
      <c r="J1461" s="102">
        <v>2190.42</v>
      </c>
    </row>
    <row r="1462" spans="1:10" ht="1.1499999999999999" customHeight="1" thickTop="1" x14ac:dyDescent="0.2">
      <c r="A1462" s="106"/>
      <c r="B1462" s="106"/>
      <c r="C1462" s="106"/>
      <c r="D1462" s="106"/>
      <c r="E1462" s="106"/>
      <c r="F1462" s="106"/>
      <c r="G1462" s="106"/>
      <c r="H1462" s="106"/>
      <c r="I1462" s="106"/>
      <c r="J1462" s="106"/>
    </row>
    <row r="1463" spans="1:10" ht="18" customHeight="1" x14ac:dyDescent="0.2">
      <c r="A1463" s="117" t="s">
        <v>1296</v>
      </c>
      <c r="B1463" s="126" t="s">
        <v>5</v>
      </c>
      <c r="C1463" s="117" t="s">
        <v>6</v>
      </c>
      <c r="D1463" s="117" t="s">
        <v>7</v>
      </c>
      <c r="E1463" s="136" t="s">
        <v>1113</v>
      </c>
      <c r="F1463" s="136"/>
      <c r="G1463" s="7" t="s">
        <v>8</v>
      </c>
      <c r="H1463" s="126" t="s">
        <v>9</v>
      </c>
      <c r="I1463" s="126" t="s">
        <v>10</v>
      </c>
      <c r="J1463" s="126" t="s">
        <v>12</v>
      </c>
    </row>
    <row r="1464" spans="1:10" ht="24" customHeight="1" x14ac:dyDescent="0.2">
      <c r="A1464" s="116" t="s">
        <v>1861</v>
      </c>
      <c r="B1464" s="1" t="s">
        <v>1295</v>
      </c>
      <c r="C1464" s="116" t="s">
        <v>20</v>
      </c>
      <c r="D1464" s="116" t="s">
        <v>1294</v>
      </c>
      <c r="E1464" s="137">
        <v>8</v>
      </c>
      <c r="F1464" s="137"/>
      <c r="G1464" s="2" t="s">
        <v>37</v>
      </c>
      <c r="H1464" s="115">
        <v>1</v>
      </c>
      <c r="I1464" s="61">
        <v>89.37</v>
      </c>
      <c r="J1464" s="61">
        <v>89.37</v>
      </c>
    </row>
    <row r="1465" spans="1:10" ht="24" customHeight="1" x14ac:dyDescent="0.2">
      <c r="A1465" s="113" t="s">
        <v>1859</v>
      </c>
      <c r="B1465" s="114" t="s">
        <v>2446</v>
      </c>
      <c r="C1465" s="113" t="s">
        <v>20</v>
      </c>
      <c r="D1465" s="113" t="s">
        <v>2445</v>
      </c>
      <c r="E1465" s="139" t="s">
        <v>1369</v>
      </c>
      <c r="F1465" s="139"/>
      <c r="G1465" s="112" t="s">
        <v>246</v>
      </c>
      <c r="H1465" s="111">
        <v>1</v>
      </c>
      <c r="I1465" s="110">
        <v>53.78</v>
      </c>
      <c r="J1465" s="110">
        <v>53.78</v>
      </c>
    </row>
    <row r="1466" spans="1:10" ht="24" customHeight="1" x14ac:dyDescent="0.2">
      <c r="A1466" s="113" t="s">
        <v>1859</v>
      </c>
      <c r="B1466" s="114" t="s">
        <v>1983</v>
      </c>
      <c r="C1466" s="113" t="s">
        <v>20</v>
      </c>
      <c r="D1466" s="113" t="s">
        <v>1982</v>
      </c>
      <c r="E1466" s="139" t="s">
        <v>1369</v>
      </c>
      <c r="F1466" s="139"/>
      <c r="G1466" s="112" t="s">
        <v>213</v>
      </c>
      <c r="H1466" s="111">
        <v>0.28000000000000003</v>
      </c>
      <c r="I1466" s="110">
        <v>0.37</v>
      </c>
      <c r="J1466" s="110">
        <v>0.1</v>
      </c>
    </row>
    <row r="1467" spans="1:10" ht="24" customHeight="1" x14ac:dyDescent="0.2">
      <c r="A1467" s="113" t="s">
        <v>1859</v>
      </c>
      <c r="B1467" s="114" t="s">
        <v>2444</v>
      </c>
      <c r="C1467" s="113" t="s">
        <v>20</v>
      </c>
      <c r="D1467" s="113" t="s">
        <v>2443</v>
      </c>
      <c r="E1467" s="139" t="s">
        <v>1369</v>
      </c>
      <c r="F1467" s="139"/>
      <c r="G1467" s="112" t="s">
        <v>246</v>
      </c>
      <c r="H1467" s="111">
        <v>1</v>
      </c>
      <c r="I1467" s="110">
        <v>22.19</v>
      </c>
      <c r="J1467" s="110">
        <v>22.19</v>
      </c>
    </row>
    <row r="1468" spans="1:10" ht="24" customHeight="1" x14ac:dyDescent="0.2">
      <c r="A1468" s="113" t="s">
        <v>1859</v>
      </c>
      <c r="B1468" s="114" t="s">
        <v>1951</v>
      </c>
      <c r="C1468" s="113" t="s">
        <v>20</v>
      </c>
      <c r="D1468" s="113" t="s">
        <v>1950</v>
      </c>
      <c r="E1468" s="139" t="s">
        <v>1860</v>
      </c>
      <c r="F1468" s="139"/>
      <c r="G1468" s="112" t="s">
        <v>1864</v>
      </c>
      <c r="H1468" s="111">
        <v>0.5</v>
      </c>
      <c r="I1468" s="110">
        <v>10.62</v>
      </c>
      <c r="J1468" s="110">
        <v>5.31</v>
      </c>
    </row>
    <row r="1469" spans="1:10" ht="24" customHeight="1" x14ac:dyDescent="0.2">
      <c r="A1469" s="113" t="s">
        <v>1859</v>
      </c>
      <c r="B1469" s="114" t="s">
        <v>2442</v>
      </c>
      <c r="C1469" s="113" t="s">
        <v>20</v>
      </c>
      <c r="D1469" s="113" t="s">
        <v>2441</v>
      </c>
      <c r="E1469" s="139" t="s">
        <v>1860</v>
      </c>
      <c r="F1469" s="139"/>
      <c r="G1469" s="112" t="s">
        <v>1864</v>
      </c>
      <c r="H1469" s="111">
        <v>0.5</v>
      </c>
      <c r="I1469" s="110">
        <v>15.97</v>
      </c>
      <c r="J1469" s="110">
        <v>7.99</v>
      </c>
    </row>
    <row r="1470" spans="1:10" x14ac:dyDescent="0.2">
      <c r="A1470" s="109"/>
      <c r="B1470" s="109"/>
      <c r="C1470" s="109"/>
      <c r="D1470" s="109"/>
      <c r="E1470" s="109" t="s">
        <v>1858</v>
      </c>
      <c r="F1470" s="108">
        <v>13.3</v>
      </c>
      <c r="G1470" s="109" t="s">
        <v>1857</v>
      </c>
      <c r="H1470" s="108">
        <v>0</v>
      </c>
      <c r="I1470" s="109" t="s">
        <v>1856</v>
      </c>
      <c r="J1470" s="108">
        <v>13.3</v>
      </c>
    </row>
    <row r="1471" spans="1:10" ht="13.9" customHeight="1" x14ac:dyDescent="0.2">
      <c r="A1471" s="109"/>
      <c r="B1471" s="109"/>
      <c r="C1471" s="109"/>
      <c r="D1471" s="109"/>
      <c r="E1471" s="109" t="s">
        <v>1855</v>
      </c>
      <c r="F1471" s="108">
        <v>23.727734999999999</v>
      </c>
      <c r="G1471" s="109"/>
      <c r="H1471" s="140" t="s">
        <v>1854</v>
      </c>
      <c r="I1471" s="140"/>
      <c r="J1471" s="108">
        <v>113.1</v>
      </c>
    </row>
    <row r="1472" spans="1:10" ht="30" customHeight="1" thickBot="1" x14ac:dyDescent="0.25">
      <c r="A1472" s="100"/>
      <c r="B1472" s="100"/>
      <c r="C1472" s="100"/>
      <c r="D1472" s="100"/>
      <c r="E1472" s="100"/>
      <c r="F1472" s="100"/>
      <c r="G1472" s="100" t="s">
        <v>1853</v>
      </c>
      <c r="H1472" s="107">
        <v>4</v>
      </c>
      <c r="I1472" s="100" t="s">
        <v>1852</v>
      </c>
      <c r="J1472" s="102">
        <v>452.4</v>
      </c>
    </row>
    <row r="1473" spans="1:10" ht="1.1499999999999999" customHeight="1" thickTop="1" x14ac:dyDescent="0.2">
      <c r="A1473" s="106"/>
      <c r="B1473" s="106"/>
      <c r="C1473" s="106"/>
      <c r="D1473" s="106"/>
      <c r="E1473" s="106"/>
      <c r="F1473" s="106"/>
      <c r="G1473" s="106"/>
      <c r="H1473" s="106"/>
      <c r="I1473" s="106"/>
      <c r="J1473" s="106"/>
    </row>
    <row r="1474" spans="1:10" ht="18" customHeight="1" x14ac:dyDescent="0.2">
      <c r="A1474" s="117" t="s">
        <v>1293</v>
      </c>
      <c r="B1474" s="126" t="s">
        <v>5</v>
      </c>
      <c r="C1474" s="117" t="s">
        <v>6</v>
      </c>
      <c r="D1474" s="117" t="s">
        <v>7</v>
      </c>
      <c r="E1474" s="136" t="s">
        <v>1113</v>
      </c>
      <c r="F1474" s="136"/>
      <c r="G1474" s="7" t="s">
        <v>8</v>
      </c>
      <c r="H1474" s="126" t="s">
        <v>9</v>
      </c>
      <c r="I1474" s="126" t="s">
        <v>10</v>
      </c>
      <c r="J1474" s="126" t="s">
        <v>12</v>
      </c>
    </row>
    <row r="1475" spans="1:10" ht="24" customHeight="1" x14ac:dyDescent="0.2">
      <c r="A1475" s="116" t="s">
        <v>1861</v>
      </c>
      <c r="B1475" s="1" t="s">
        <v>1292</v>
      </c>
      <c r="C1475" s="116" t="s">
        <v>20</v>
      </c>
      <c r="D1475" s="116" t="s">
        <v>1291</v>
      </c>
      <c r="E1475" s="137">
        <v>23</v>
      </c>
      <c r="F1475" s="137"/>
      <c r="G1475" s="2" t="s">
        <v>246</v>
      </c>
      <c r="H1475" s="115">
        <v>1</v>
      </c>
      <c r="I1475" s="61">
        <v>187.85</v>
      </c>
      <c r="J1475" s="61">
        <v>187.85</v>
      </c>
    </row>
    <row r="1476" spans="1:10" ht="24" customHeight="1" x14ac:dyDescent="0.2">
      <c r="A1476" s="113" t="s">
        <v>1859</v>
      </c>
      <c r="B1476" s="114" t="s">
        <v>1951</v>
      </c>
      <c r="C1476" s="113" t="s">
        <v>20</v>
      </c>
      <c r="D1476" s="113" t="s">
        <v>1950</v>
      </c>
      <c r="E1476" s="139" t="s">
        <v>1860</v>
      </c>
      <c r="F1476" s="139"/>
      <c r="G1476" s="112" t="s">
        <v>1864</v>
      </c>
      <c r="H1476" s="111">
        <v>0.35</v>
      </c>
      <c r="I1476" s="110">
        <v>10.62</v>
      </c>
      <c r="J1476" s="110">
        <v>3.72</v>
      </c>
    </row>
    <row r="1477" spans="1:10" ht="24" customHeight="1" x14ac:dyDescent="0.2">
      <c r="A1477" s="113" t="s">
        <v>1859</v>
      </c>
      <c r="B1477" s="114" t="s">
        <v>1981</v>
      </c>
      <c r="C1477" s="113" t="s">
        <v>20</v>
      </c>
      <c r="D1477" s="113" t="s">
        <v>1980</v>
      </c>
      <c r="E1477" s="139" t="s">
        <v>1860</v>
      </c>
      <c r="F1477" s="139"/>
      <c r="G1477" s="112" t="s">
        <v>1864</v>
      </c>
      <c r="H1477" s="111">
        <v>0.35</v>
      </c>
      <c r="I1477" s="110">
        <v>15.97</v>
      </c>
      <c r="J1477" s="110">
        <v>5.59</v>
      </c>
    </row>
    <row r="1478" spans="1:10" ht="24" customHeight="1" x14ac:dyDescent="0.2">
      <c r="A1478" s="113" t="s">
        <v>1859</v>
      </c>
      <c r="B1478" s="114" t="s">
        <v>2440</v>
      </c>
      <c r="C1478" s="113" t="s">
        <v>20</v>
      </c>
      <c r="D1478" s="113" t="s">
        <v>2439</v>
      </c>
      <c r="E1478" s="139" t="s">
        <v>1369</v>
      </c>
      <c r="F1478" s="139"/>
      <c r="G1478" s="112" t="s">
        <v>246</v>
      </c>
      <c r="H1478" s="111">
        <v>1</v>
      </c>
      <c r="I1478" s="110">
        <v>178.54</v>
      </c>
      <c r="J1478" s="110">
        <v>178.54</v>
      </c>
    </row>
    <row r="1479" spans="1:10" x14ac:dyDescent="0.2">
      <c r="A1479" s="109"/>
      <c r="B1479" s="109"/>
      <c r="C1479" s="109"/>
      <c r="D1479" s="109"/>
      <c r="E1479" s="109" t="s">
        <v>1858</v>
      </c>
      <c r="F1479" s="108">
        <v>9.31</v>
      </c>
      <c r="G1479" s="109" t="s">
        <v>1857</v>
      </c>
      <c r="H1479" s="108">
        <v>0</v>
      </c>
      <c r="I1479" s="109" t="s">
        <v>1856</v>
      </c>
      <c r="J1479" s="108">
        <v>9.31</v>
      </c>
    </row>
    <row r="1480" spans="1:10" ht="13.9" customHeight="1" x14ac:dyDescent="0.2">
      <c r="A1480" s="109"/>
      <c r="B1480" s="109"/>
      <c r="C1480" s="109"/>
      <c r="D1480" s="109"/>
      <c r="E1480" s="109" t="s">
        <v>1855</v>
      </c>
      <c r="F1480" s="108">
        <v>49.874175000000001</v>
      </c>
      <c r="G1480" s="109"/>
      <c r="H1480" s="140" t="s">
        <v>1854</v>
      </c>
      <c r="I1480" s="140"/>
      <c r="J1480" s="108">
        <v>237.72</v>
      </c>
    </row>
    <row r="1481" spans="1:10" ht="30" customHeight="1" thickBot="1" x14ac:dyDescent="0.25">
      <c r="A1481" s="100"/>
      <c r="B1481" s="100"/>
      <c r="C1481" s="100"/>
      <c r="D1481" s="100"/>
      <c r="E1481" s="100"/>
      <c r="F1481" s="100"/>
      <c r="G1481" s="100" t="s">
        <v>1853</v>
      </c>
      <c r="H1481" s="107">
        <v>12</v>
      </c>
      <c r="I1481" s="100" t="s">
        <v>1852</v>
      </c>
      <c r="J1481" s="102">
        <v>2852.64</v>
      </c>
    </row>
    <row r="1482" spans="1:10" ht="1.1499999999999999" customHeight="1" thickTop="1" x14ac:dyDescent="0.2">
      <c r="A1482" s="106"/>
      <c r="B1482" s="106"/>
      <c r="C1482" s="106"/>
      <c r="D1482" s="106"/>
      <c r="E1482" s="106"/>
      <c r="F1482" s="106"/>
      <c r="G1482" s="106"/>
      <c r="H1482" s="106"/>
      <c r="I1482" s="106"/>
      <c r="J1482" s="106"/>
    </row>
    <row r="1483" spans="1:10" ht="18" customHeight="1" x14ac:dyDescent="0.2">
      <c r="A1483" s="117" t="s">
        <v>1290</v>
      </c>
      <c r="B1483" s="126" t="s">
        <v>5</v>
      </c>
      <c r="C1483" s="117" t="s">
        <v>6</v>
      </c>
      <c r="D1483" s="117" t="s">
        <v>7</v>
      </c>
      <c r="E1483" s="136" t="s">
        <v>1113</v>
      </c>
      <c r="F1483" s="136"/>
      <c r="G1483" s="7" t="s">
        <v>8</v>
      </c>
      <c r="H1483" s="126" t="s">
        <v>9</v>
      </c>
      <c r="I1483" s="126" t="s">
        <v>10</v>
      </c>
      <c r="J1483" s="126" t="s">
        <v>12</v>
      </c>
    </row>
    <row r="1484" spans="1:10" ht="24" customHeight="1" x14ac:dyDescent="0.2">
      <c r="A1484" s="116" t="s">
        <v>1861</v>
      </c>
      <c r="B1484" s="1" t="s">
        <v>1289</v>
      </c>
      <c r="C1484" s="116" t="s">
        <v>20</v>
      </c>
      <c r="D1484" s="116" t="s">
        <v>1288</v>
      </c>
      <c r="E1484" s="137">
        <v>23</v>
      </c>
      <c r="F1484" s="137"/>
      <c r="G1484" s="2" t="s">
        <v>246</v>
      </c>
      <c r="H1484" s="115">
        <v>1</v>
      </c>
      <c r="I1484" s="61">
        <v>134.57</v>
      </c>
      <c r="J1484" s="61">
        <v>134.57</v>
      </c>
    </row>
    <row r="1485" spans="1:10" ht="24" customHeight="1" x14ac:dyDescent="0.2">
      <c r="A1485" s="113" t="s">
        <v>1859</v>
      </c>
      <c r="B1485" s="114" t="s">
        <v>2438</v>
      </c>
      <c r="C1485" s="113" t="s">
        <v>20</v>
      </c>
      <c r="D1485" s="113" t="s">
        <v>2437</v>
      </c>
      <c r="E1485" s="139" t="s">
        <v>1369</v>
      </c>
      <c r="F1485" s="139"/>
      <c r="G1485" s="112" t="s">
        <v>246</v>
      </c>
      <c r="H1485" s="111">
        <v>1</v>
      </c>
      <c r="I1485" s="110">
        <v>125.26</v>
      </c>
      <c r="J1485" s="110">
        <v>125.26</v>
      </c>
    </row>
    <row r="1486" spans="1:10" ht="24" customHeight="1" x14ac:dyDescent="0.2">
      <c r="A1486" s="113" t="s">
        <v>1859</v>
      </c>
      <c r="B1486" s="114" t="s">
        <v>1981</v>
      </c>
      <c r="C1486" s="113" t="s">
        <v>20</v>
      </c>
      <c r="D1486" s="113" t="s">
        <v>1980</v>
      </c>
      <c r="E1486" s="139" t="s">
        <v>1860</v>
      </c>
      <c r="F1486" s="139"/>
      <c r="G1486" s="112" t="s">
        <v>1864</v>
      </c>
      <c r="H1486" s="111">
        <v>0.35</v>
      </c>
      <c r="I1486" s="110">
        <v>15.97</v>
      </c>
      <c r="J1486" s="110">
        <v>5.59</v>
      </c>
    </row>
    <row r="1487" spans="1:10" ht="24" customHeight="1" x14ac:dyDescent="0.2">
      <c r="A1487" s="113" t="s">
        <v>1859</v>
      </c>
      <c r="B1487" s="114" t="s">
        <v>1951</v>
      </c>
      <c r="C1487" s="113" t="s">
        <v>20</v>
      </c>
      <c r="D1487" s="113" t="s">
        <v>1950</v>
      </c>
      <c r="E1487" s="139" t="s">
        <v>1860</v>
      </c>
      <c r="F1487" s="139"/>
      <c r="G1487" s="112" t="s">
        <v>1864</v>
      </c>
      <c r="H1487" s="111">
        <v>0.35</v>
      </c>
      <c r="I1487" s="110">
        <v>10.62</v>
      </c>
      <c r="J1487" s="110">
        <v>3.72</v>
      </c>
    </row>
    <row r="1488" spans="1:10" x14ac:dyDescent="0.2">
      <c r="A1488" s="109"/>
      <c r="B1488" s="109"/>
      <c r="C1488" s="109"/>
      <c r="D1488" s="109"/>
      <c r="E1488" s="109" t="s">
        <v>1858</v>
      </c>
      <c r="F1488" s="108">
        <v>9.31</v>
      </c>
      <c r="G1488" s="109" t="s">
        <v>1857</v>
      </c>
      <c r="H1488" s="108">
        <v>0</v>
      </c>
      <c r="I1488" s="109" t="s">
        <v>1856</v>
      </c>
      <c r="J1488" s="108">
        <v>9.31</v>
      </c>
    </row>
    <row r="1489" spans="1:10" ht="13.9" customHeight="1" x14ac:dyDescent="0.2">
      <c r="A1489" s="109"/>
      <c r="B1489" s="109"/>
      <c r="C1489" s="109"/>
      <c r="D1489" s="109"/>
      <c r="E1489" s="109" t="s">
        <v>1855</v>
      </c>
      <c r="F1489" s="108">
        <v>35.728335000000001</v>
      </c>
      <c r="G1489" s="109"/>
      <c r="H1489" s="140" t="s">
        <v>1854</v>
      </c>
      <c r="I1489" s="140"/>
      <c r="J1489" s="108">
        <v>170.3</v>
      </c>
    </row>
    <row r="1490" spans="1:10" ht="30" customHeight="1" thickBot="1" x14ac:dyDescent="0.25">
      <c r="A1490" s="100"/>
      <c r="B1490" s="100"/>
      <c r="C1490" s="100"/>
      <c r="D1490" s="100"/>
      <c r="E1490" s="100"/>
      <c r="F1490" s="100"/>
      <c r="G1490" s="100" t="s">
        <v>1853</v>
      </c>
      <c r="H1490" s="107">
        <v>12</v>
      </c>
      <c r="I1490" s="100" t="s">
        <v>1852</v>
      </c>
      <c r="J1490" s="102">
        <v>2043.6</v>
      </c>
    </row>
    <row r="1491" spans="1:10" ht="1.1499999999999999" customHeight="1" thickTop="1" x14ac:dyDescent="0.2">
      <c r="A1491" s="106"/>
      <c r="B1491" s="106"/>
      <c r="C1491" s="106"/>
      <c r="D1491" s="106"/>
      <c r="E1491" s="106"/>
      <c r="F1491" s="106"/>
      <c r="G1491" s="106"/>
      <c r="H1491" s="106"/>
      <c r="I1491" s="106"/>
      <c r="J1491" s="106"/>
    </row>
    <row r="1492" spans="1:10" ht="18" customHeight="1" x14ac:dyDescent="0.2">
      <c r="A1492" s="117"/>
      <c r="B1492" s="126" t="s">
        <v>5</v>
      </c>
      <c r="C1492" s="117" t="s">
        <v>6</v>
      </c>
      <c r="D1492" s="117" t="s">
        <v>7</v>
      </c>
      <c r="E1492" s="136" t="s">
        <v>1113</v>
      </c>
      <c r="F1492" s="136"/>
      <c r="G1492" s="7" t="s">
        <v>8</v>
      </c>
      <c r="H1492" s="126" t="s">
        <v>9</v>
      </c>
      <c r="I1492" s="126" t="s">
        <v>10</v>
      </c>
      <c r="J1492" s="126" t="s">
        <v>12</v>
      </c>
    </row>
    <row r="1493" spans="1:10" ht="24" customHeight="1" x14ac:dyDescent="0.2">
      <c r="A1493" s="116" t="s">
        <v>1859</v>
      </c>
      <c r="B1493" s="1" t="s">
        <v>1286</v>
      </c>
      <c r="C1493" s="116" t="s">
        <v>25</v>
      </c>
      <c r="D1493" s="116" t="s">
        <v>1285</v>
      </c>
      <c r="E1493" s="137" t="s">
        <v>1369</v>
      </c>
      <c r="F1493" s="137"/>
      <c r="G1493" s="2" t="s">
        <v>236</v>
      </c>
      <c r="H1493" s="115">
        <v>1</v>
      </c>
      <c r="I1493" s="61">
        <v>37.14</v>
      </c>
      <c r="J1493" s="61">
        <v>37.14</v>
      </c>
    </row>
    <row r="1494" spans="1:10" x14ac:dyDescent="0.2">
      <c r="A1494" s="109"/>
      <c r="B1494" s="109"/>
      <c r="C1494" s="109"/>
      <c r="D1494" s="109"/>
      <c r="E1494" s="109" t="s">
        <v>1858</v>
      </c>
      <c r="F1494" s="108">
        <v>0</v>
      </c>
      <c r="G1494" s="109" t="s">
        <v>1857</v>
      </c>
      <c r="H1494" s="108">
        <v>0</v>
      </c>
      <c r="I1494" s="109" t="s">
        <v>1856</v>
      </c>
      <c r="J1494" s="108">
        <v>0</v>
      </c>
    </row>
    <row r="1495" spans="1:10" ht="13.9" customHeight="1" x14ac:dyDescent="0.2">
      <c r="A1495" s="109"/>
      <c r="B1495" s="109"/>
      <c r="C1495" s="109"/>
      <c r="D1495" s="109"/>
      <c r="E1495" s="109" t="s">
        <v>1855</v>
      </c>
      <c r="F1495" s="108">
        <v>9.86</v>
      </c>
      <c r="G1495" s="109"/>
      <c r="H1495" s="140" t="s">
        <v>1854</v>
      </c>
      <c r="I1495" s="140"/>
      <c r="J1495" s="108">
        <v>47</v>
      </c>
    </row>
    <row r="1496" spans="1:10" ht="30" customHeight="1" thickBot="1" x14ac:dyDescent="0.25">
      <c r="A1496" s="100"/>
      <c r="B1496" s="100"/>
      <c r="C1496" s="100"/>
      <c r="D1496" s="100"/>
      <c r="E1496" s="100"/>
      <c r="F1496" s="100"/>
      <c r="G1496" s="100" t="s">
        <v>1853</v>
      </c>
      <c r="H1496" s="107">
        <v>10</v>
      </c>
      <c r="I1496" s="100" t="s">
        <v>1852</v>
      </c>
      <c r="J1496" s="102">
        <v>470</v>
      </c>
    </row>
    <row r="1497" spans="1:10" ht="1.1499999999999999" customHeight="1" thickTop="1" x14ac:dyDescent="0.2">
      <c r="A1497" s="106"/>
      <c r="B1497" s="106"/>
      <c r="C1497" s="106"/>
      <c r="D1497" s="106"/>
      <c r="E1497" s="106"/>
      <c r="F1497" s="106"/>
      <c r="G1497" s="106"/>
      <c r="H1497" s="106"/>
      <c r="I1497" s="106"/>
      <c r="J1497" s="106"/>
    </row>
    <row r="1498" spans="1:10" ht="18" customHeight="1" x14ac:dyDescent="0.2">
      <c r="A1498" s="117"/>
      <c r="B1498" s="126" t="s">
        <v>5</v>
      </c>
      <c r="C1498" s="117" t="s">
        <v>6</v>
      </c>
      <c r="D1498" s="117" t="s">
        <v>7</v>
      </c>
      <c r="E1498" s="136" t="s">
        <v>1113</v>
      </c>
      <c r="F1498" s="136"/>
      <c r="G1498" s="7" t="s">
        <v>8</v>
      </c>
      <c r="H1498" s="126" t="s">
        <v>9</v>
      </c>
      <c r="I1498" s="126" t="s">
        <v>10</v>
      </c>
      <c r="J1498" s="126" t="s">
        <v>12</v>
      </c>
    </row>
    <row r="1499" spans="1:10" ht="24" customHeight="1" x14ac:dyDescent="0.2">
      <c r="A1499" s="116" t="s">
        <v>1859</v>
      </c>
      <c r="B1499" s="1" t="s">
        <v>1283</v>
      </c>
      <c r="C1499" s="116" t="s">
        <v>25</v>
      </c>
      <c r="D1499" s="116" t="s">
        <v>1282</v>
      </c>
      <c r="E1499" s="137" t="s">
        <v>1369</v>
      </c>
      <c r="F1499" s="137"/>
      <c r="G1499" s="2" t="s">
        <v>236</v>
      </c>
      <c r="H1499" s="115">
        <v>1</v>
      </c>
      <c r="I1499" s="61">
        <v>38.659999999999997</v>
      </c>
      <c r="J1499" s="61">
        <v>38.659999999999997</v>
      </c>
    </row>
    <row r="1500" spans="1:10" x14ac:dyDescent="0.2">
      <c r="A1500" s="109"/>
      <c r="B1500" s="109"/>
      <c r="C1500" s="109"/>
      <c r="D1500" s="109"/>
      <c r="E1500" s="109" t="s">
        <v>1858</v>
      </c>
      <c r="F1500" s="108">
        <v>0</v>
      </c>
      <c r="G1500" s="109" t="s">
        <v>1857</v>
      </c>
      <c r="H1500" s="108">
        <v>0</v>
      </c>
      <c r="I1500" s="109" t="s">
        <v>1856</v>
      </c>
      <c r="J1500" s="108">
        <v>0</v>
      </c>
    </row>
    <row r="1501" spans="1:10" ht="13.9" customHeight="1" x14ac:dyDescent="0.2">
      <c r="A1501" s="109"/>
      <c r="B1501" s="109"/>
      <c r="C1501" s="109"/>
      <c r="D1501" s="109"/>
      <c r="E1501" s="109" t="s">
        <v>1855</v>
      </c>
      <c r="F1501" s="108">
        <v>10.26</v>
      </c>
      <c r="G1501" s="109"/>
      <c r="H1501" s="140" t="s">
        <v>1854</v>
      </c>
      <c r="I1501" s="140"/>
      <c r="J1501" s="108">
        <v>48.92</v>
      </c>
    </row>
    <row r="1502" spans="1:10" ht="30" customHeight="1" thickBot="1" x14ac:dyDescent="0.25">
      <c r="A1502" s="100"/>
      <c r="B1502" s="100"/>
      <c r="C1502" s="100"/>
      <c r="D1502" s="100"/>
      <c r="E1502" s="100"/>
      <c r="F1502" s="100"/>
      <c r="G1502" s="100" t="s">
        <v>1853</v>
      </c>
      <c r="H1502" s="107">
        <v>10</v>
      </c>
      <c r="I1502" s="100" t="s">
        <v>1852</v>
      </c>
      <c r="J1502" s="102">
        <v>489.2</v>
      </c>
    </row>
    <row r="1503" spans="1:10" ht="1.1499999999999999" customHeight="1" thickTop="1" x14ac:dyDescent="0.2">
      <c r="A1503" s="106"/>
      <c r="B1503" s="106"/>
      <c r="C1503" s="106"/>
      <c r="D1503" s="106"/>
      <c r="E1503" s="106"/>
      <c r="F1503" s="106"/>
      <c r="G1503" s="106"/>
      <c r="H1503" s="106"/>
      <c r="I1503" s="106"/>
      <c r="J1503" s="106"/>
    </row>
    <row r="1504" spans="1:10" ht="24" customHeight="1" x14ac:dyDescent="0.2">
      <c r="A1504" s="123" t="s">
        <v>357</v>
      </c>
      <c r="B1504" s="123"/>
      <c r="C1504" s="123"/>
      <c r="D1504" s="123" t="s">
        <v>358</v>
      </c>
      <c r="E1504" s="123"/>
      <c r="F1504" s="142"/>
      <c r="G1504" s="142"/>
      <c r="H1504" s="3"/>
      <c r="I1504" s="123"/>
      <c r="J1504" s="63">
        <v>16017.6</v>
      </c>
    </row>
    <row r="1505" spans="1:10" ht="18" customHeight="1" x14ac:dyDescent="0.2">
      <c r="A1505" s="117" t="s">
        <v>359</v>
      </c>
      <c r="B1505" s="126" t="s">
        <v>5</v>
      </c>
      <c r="C1505" s="117" t="s">
        <v>6</v>
      </c>
      <c r="D1505" s="117" t="s">
        <v>7</v>
      </c>
      <c r="E1505" s="136" t="s">
        <v>1113</v>
      </c>
      <c r="F1505" s="136"/>
      <c r="G1505" s="7" t="s">
        <v>8</v>
      </c>
      <c r="H1505" s="126" t="s">
        <v>9</v>
      </c>
      <c r="I1505" s="126" t="s">
        <v>10</v>
      </c>
      <c r="J1505" s="126" t="s">
        <v>12</v>
      </c>
    </row>
    <row r="1506" spans="1:10" ht="24" customHeight="1" x14ac:dyDescent="0.2">
      <c r="A1506" s="116" t="s">
        <v>1861</v>
      </c>
      <c r="B1506" s="1" t="s">
        <v>360</v>
      </c>
      <c r="C1506" s="116" t="s">
        <v>20</v>
      </c>
      <c r="D1506" s="116" t="s">
        <v>361</v>
      </c>
      <c r="E1506" s="137">
        <v>8</v>
      </c>
      <c r="F1506" s="137"/>
      <c r="G1506" s="2" t="s">
        <v>246</v>
      </c>
      <c r="H1506" s="115">
        <v>1</v>
      </c>
      <c r="I1506" s="61">
        <v>860.31</v>
      </c>
      <c r="J1506" s="61">
        <v>860.31</v>
      </c>
    </row>
    <row r="1507" spans="1:10" ht="24" customHeight="1" x14ac:dyDescent="0.2">
      <c r="A1507" s="113" t="s">
        <v>1859</v>
      </c>
      <c r="B1507" s="114" t="s">
        <v>1983</v>
      </c>
      <c r="C1507" s="113" t="s">
        <v>20</v>
      </c>
      <c r="D1507" s="113" t="s">
        <v>1982</v>
      </c>
      <c r="E1507" s="139" t="s">
        <v>1369</v>
      </c>
      <c r="F1507" s="139"/>
      <c r="G1507" s="112" t="s">
        <v>213</v>
      </c>
      <c r="H1507" s="111">
        <v>0.28000000000000003</v>
      </c>
      <c r="I1507" s="110">
        <v>0.37</v>
      </c>
      <c r="J1507" s="110">
        <v>0.1</v>
      </c>
    </row>
    <row r="1508" spans="1:10" ht="24" customHeight="1" x14ac:dyDescent="0.2">
      <c r="A1508" s="113" t="s">
        <v>1859</v>
      </c>
      <c r="B1508" s="114" t="s">
        <v>1981</v>
      </c>
      <c r="C1508" s="113" t="s">
        <v>20</v>
      </c>
      <c r="D1508" s="113" t="s">
        <v>1980</v>
      </c>
      <c r="E1508" s="139" t="s">
        <v>1860</v>
      </c>
      <c r="F1508" s="139"/>
      <c r="G1508" s="112" t="s">
        <v>1864</v>
      </c>
      <c r="H1508" s="111">
        <v>0.2</v>
      </c>
      <c r="I1508" s="110">
        <v>15.97</v>
      </c>
      <c r="J1508" s="110">
        <v>3.19</v>
      </c>
    </row>
    <row r="1509" spans="1:10" ht="24" customHeight="1" x14ac:dyDescent="0.2">
      <c r="A1509" s="113" t="s">
        <v>1859</v>
      </c>
      <c r="B1509" s="114" t="s">
        <v>1951</v>
      </c>
      <c r="C1509" s="113" t="s">
        <v>20</v>
      </c>
      <c r="D1509" s="113" t="s">
        <v>1950</v>
      </c>
      <c r="E1509" s="139" t="s">
        <v>1860</v>
      </c>
      <c r="F1509" s="139"/>
      <c r="G1509" s="112" t="s">
        <v>1864</v>
      </c>
      <c r="H1509" s="111">
        <v>0.2</v>
      </c>
      <c r="I1509" s="110">
        <v>10.62</v>
      </c>
      <c r="J1509" s="110">
        <v>2.12</v>
      </c>
    </row>
    <row r="1510" spans="1:10" ht="24" customHeight="1" x14ac:dyDescent="0.2">
      <c r="A1510" s="113" t="s">
        <v>1859</v>
      </c>
      <c r="B1510" s="114" t="s">
        <v>2436</v>
      </c>
      <c r="C1510" s="113" t="s">
        <v>20</v>
      </c>
      <c r="D1510" s="113" t="s">
        <v>2435</v>
      </c>
      <c r="E1510" s="139" t="s">
        <v>1369</v>
      </c>
      <c r="F1510" s="139"/>
      <c r="G1510" s="112" t="s">
        <v>246</v>
      </c>
      <c r="H1510" s="111">
        <v>1</v>
      </c>
      <c r="I1510" s="110">
        <v>854.9</v>
      </c>
      <c r="J1510" s="110">
        <v>854.9</v>
      </c>
    </row>
    <row r="1511" spans="1:10" x14ac:dyDescent="0.2">
      <c r="A1511" s="109"/>
      <c r="B1511" s="109"/>
      <c r="C1511" s="109"/>
      <c r="D1511" s="109"/>
      <c r="E1511" s="109" t="s">
        <v>1858</v>
      </c>
      <c r="F1511" s="108">
        <v>5.31</v>
      </c>
      <c r="G1511" s="109" t="s">
        <v>1857</v>
      </c>
      <c r="H1511" s="108">
        <v>0</v>
      </c>
      <c r="I1511" s="109" t="s">
        <v>1856</v>
      </c>
      <c r="J1511" s="108">
        <v>5.31</v>
      </c>
    </row>
    <row r="1512" spans="1:10" ht="13.9" customHeight="1" x14ac:dyDescent="0.2">
      <c r="A1512" s="109"/>
      <c r="B1512" s="109"/>
      <c r="C1512" s="109"/>
      <c r="D1512" s="109"/>
      <c r="E1512" s="109" t="s">
        <v>1855</v>
      </c>
      <c r="F1512" s="108">
        <v>228.412305</v>
      </c>
      <c r="G1512" s="109"/>
      <c r="H1512" s="140" t="s">
        <v>1854</v>
      </c>
      <c r="I1512" s="140"/>
      <c r="J1512" s="108">
        <v>1088.72</v>
      </c>
    </row>
    <row r="1513" spans="1:10" ht="30" customHeight="1" thickBot="1" x14ac:dyDescent="0.25">
      <c r="A1513" s="100"/>
      <c r="B1513" s="100"/>
      <c r="C1513" s="100"/>
      <c r="D1513" s="100"/>
      <c r="E1513" s="100"/>
      <c r="F1513" s="100"/>
      <c r="G1513" s="100" t="s">
        <v>1853</v>
      </c>
      <c r="H1513" s="107">
        <v>9</v>
      </c>
      <c r="I1513" s="100" t="s">
        <v>1852</v>
      </c>
      <c r="J1513" s="102">
        <v>9798.48</v>
      </c>
    </row>
    <row r="1514" spans="1:10" ht="1.1499999999999999" customHeight="1" thickTop="1" x14ac:dyDescent="0.2">
      <c r="A1514" s="106"/>
      <c r="B1514" s="106"/>
      <c r="C1514" s="106"/>
      <c r="D1514" s="106"/>
      <c r="E1514" s="106"/>
      <c r="F1514" s="106"/>
      <c r="G1514" s="106"/>
      <c r="H1514" s="106"/>
      <c r="I1514" s="106"/>
      <c r="J1514" s="106"/>
    </row>
    <row r="1515" spans="1:10" ht="18" customHeight="1" x14ac:dyDescent="0.2">
      <c r="A1515" s="117" t="s">
        <v>362</v>
      </c>
      <c r="B1515" s="126" t="s">
        <v>5</v>
      </c>
      <c r="C1515" s="117" t="s">
        <v>6</v>
      </c>
      <c r="D1515" s="117" t="s">
        <v>7</v>
      </c>
      <c r="E1515" s="136" t="s">
        <v>1113</v>
      </c>
      <c r="F1515" s="136"/>
      <c r="G1515" s="7" t="s">
        <v>8</v>
      </c>
      <c r="H1515" s="126" t="s">
        <v>9</v>
      </c>
      <c r="I1515" s="126" t="s">
        <v>10</v>
      </c>
      <c r="J1515" s="126" t="s">
        <v>12</v>
      </c>
    </row>
    <row r="1516" spans="1:10" ht="24" customHeight="1" x14ac:dyDescent="0.2">
      <c r="A1516" s="116" t="s">
        <v>1861</v>
      </c>
      <c r="B1516" s="1" t="s">
        <v>363</v>
      </c>
      <c r="C1516" s="116" t="s">
        <v>20</v>
      </c>
      <c r="D1516" s="116" t="s">
        <v>364</v>
      </c>
      <c r="E1516" s="137">
        <v>8</v>
      </c>
      <c r="F1516" s="137"/>
      <c r="G1516" s="2" t="s">
        <v>246</v>
      </c>
      <c r="H1516" s="115">
        <v>1</v>
      </c>
      <c r="I1516" s="61">
        <v>116.92</v>
      </c>
      <c r="J1516" s="61">
        <v>116.92</v>
      </c>
    </row>
    <row r="1517" spans="1:10" ht="24" customHeight="1" x14ac:dyDescent="0.2">
      <c r="A1517" s="113" t="s">
        <v>1859</v>
      </c>
      <c r="B1517" s="114" t="s">
        <v>1983</v>
      </c>
      <c r="C1517" s="113" t="s">
        <v>20</v>
      </c>
      <c r="D1517" s="113" t="s">
        <v>1982</v>
      </c>
      <c r="E1517" s="139" t="s">
        <v>1369</v>
      </c>
      <c r="F1517" s="139"/>
      <c r="G1517" s="112" t="s">
        <v>213</v>
      </c>
      <c r="H1517" s="111">
        <v>0.28000000000000003</v>
      </c>
      <c r="I1517" s="110">
        <v>0.37</v>
      </c>
      <c r="J1517" s="110">
        <v>0.1</v>
      </c>
    </row>
    <row r="1518" spans="1:10" ht="24" customHeight="1" x14ac:dyDescent="0.2">
      <c r="A1518" s="113" t="s">
        <v>1859</v>
      </c>
      <c r="B1518" s="114" t="s">
        <v>1981</v>
      </c>
      <c r="C1518" s="113" t="s">
        <v>20</v>
      </c>
      <c r="D1518" s="113" t="s">
        <v>1980</v>
      </c>
      <c r="E1518" s="139" t="s">
        <v>1860</v>
      </c>
      <c r="F1518" s="139"/>
      <c r="G1518" s="112" t="s">
        <v>1864</v>
      </c>
      <c r="H1518" s="111">
        <v>0.2</v>
      </c>
      <c r="I1518" s="110">
        <v>15.97</v>
      </c>
      <c r="J1518" s="110">
        <v>3.19</v>
      </c>
    </row>
    <row r="1519" spans="1:10" ht="24" customHeight="1" x14ac:dyDescent="0.2">
      <c r="A1519" s="113" t="s">
        <v>1859</v>
      </c>
      <c r="B1519" s="114" t="s">
        <v>2434</v>
      </c>
      <c r="C1519" s="113" t="s">
        <v>20</v>
      </c>
      <c r="D1519" s="113" t="s">
        <v>2433</v>
      </c>
      <c r="E1519" s="139" t="s">
        <v>1369</v>
      </c>
      <c r="F1519" s="139"/>
      <c r="G1519" s="112" t="s">
        <v>246</v>
      </c>
      <c r="H1519" s="111">
        <v>1</v>
      </c>
      <c r="I1519" s="110">
        <v>111.51</v>
      </c>
      <c r="J1519" s="110">
        <v>111.51</v>
      </c>
    </row>
    <row r="1520" spans="1:10" ht="24" customHeight="1" x14ac:dyDescent="0.2">
      <c r="A1520" s="113" t="s">
        <v>1859</v>
      </c>
      <c r="B1520" s="114" t="s">
        <v>1951</v>
      </c>
      <c r="C1520" s="113" t="s">
        <v>20</v>
      </c>
      <c r="D1520" s="113" t="s">
        <v>1950</v>
      </c>
      <c r="E1520" s="139" t="s">
        <v>1860</v>
      </c>
      <c r="F1520" s="139"/>
      <c r="G1520" s="112" t="s">
        <v>1864</v>
      </c>
      <c r="H1520" s="111">
        <v>0.2</v>
      </c>
      <c r="I1520" s="110">
        <v>10.62</v>
      </c>
      <c r="J1520" s="110">
        <v>2.12</v>
      </c>
    </row>
    <row r="1521" spans="1:10" x14ac:dyDescent="0.2">
      <c r="A1521" s="109"/>
      <c r="B1521" s="109"/>
      <c r="C1521" s="109"/>
      <c r="D1521" s="109"/>
      <c r="E1521" s="109" t="s">
        <v>1858</v>
      </c>
      <c r="F1521" s="108">
        <v>5.31</v>
      </c>
      <c r="G1521" s="109" t="s">
        <v>1857</v>
      </c>
      <c r="H1521" s="108">
        <v>0</v>
      </c>
      <c r="I1521" s="109" t="s">
        <v>1856</v>
      </c>
      <c r="J1521" s="108">
        <v>5.31</v>
      </c>
    </row>
    <row r="1522" spans="1:10" ht="13.9" customHeight="1" x14ac:dyDescent="0.2">
      <c r="A1522" s="109"/>
      <c r="B1522" s="109"/>
      <c r="C1522" s="109"/>
      <c r="D1522" s="109"/>
      <c r="E1522" s="109" t="s">
        <v>1855</v>
      </c>
      <c r="F1522" s="108">
        <v>31.042259999999999</v>
      </c>
      <c r="G1522" s="109"/>
      <c r="H1522" s="140" t="s">
        <v>1854</v>
      </c>
      <c r="I1522" s="140"/>
      <c r="J1522" s="108">
        <v>147.96</v>
      </c>
    </row>
    <row r="1523" spans="1:10" ht="30" customHeight="1" thickBot="1" x14ac:dyDescent="0.25">
      <c r="A1523" s="100"/>
      <c r="B1523" s="100"/>
      <c r="C1523" s="100"/>
      <c r="D1523" s="100"/>
      <c r="E1523" s="100"/>
      <c r="F1523" s="100"/>
      <c r="G1523" s="100" t="s">
        <v>1853</v>
      </c>
      <c r="H1523" s="107">
        <v>4</v>
      </c>
      <c r="I1523" s="100" t="s">
        <v>1852</v>
      </c>
      <c r="J1523" s="102">
        <v>591.84</v>
      </c>
    </row>
    <row r="1524" spans="1:10" ht="1.1499999999999999" customHeight="1" thickTop="1" x14ac:dyDescent="0.2">
      <c r="A1524" s="106"/>
      <c r="B1524" s="106"/>
      <c r="C1524" s="106"/>
      <c r="D1524" s="106"/>
      <c r="E1524" s="106"/>
      <c r="F1524" s="106"/>
      <c r="G1524" s="106"/>
      <c r="H1524" s="106"/>
      <c r="I1524" s="106"/>
      <c r="J1524" s="106"/>
    </row>
    <row r="1525" spans="1:10" ht="18" customHeight="1" x14ac:dyDescent="0.2">
      <c r="A1525" s="117" t="s">
        <v>365</v>
      </c>
      <c r="B1525" s="126" t="s">
        <v>5</v>
      </c>
      <c r="C1525" s="117" t="s">
        <v>6</v>
      </c>
      <c r="D1525" s="117" t="s">
        <v>7</v>
      </c>
      <c r="E1525" s="136" t="s">
        <v>1113</v>
      </c>
      <c r="F1525" s="136"/>
      <c r="G1525" s="7" t="s">
        <v>8</v>
      </c>
      <c r="H1525" s="126" t="s">
        <v>9</v>
      </c>
      <c r="I1525" s="126" t="s">
        <v>10</v>
      </c>
      <c r="J1525" s="126" t="s">
        <v>12</v>
      </c>
    </row>
    <row r="1526" spans="1:10" ht="24" customHeight="1" x14ac:dyDescent="0.2">
      <c r="A1526" s="116" t="s">
        <v>1861</v>
      </c>
      <c r="B1526" s="1" t="s">
        <v>366</v>
      </c>
      <c r="C1526" s="116" t="s">
        <v>20</v>
      </c>
      <c r="D1526" s="116" t="s">
        <v>367</v>
      </c>
      <c r="E1526" s="137">
        <v>8</v>
      </c>
      <c r="F1526" s="137"/>
      <c r="G1526" s="2" t="s">
        <v>37</v>
      </c>
      <c r="H1526" s="115">
        <v>1</v>
      </c>
      <c r="I1526" s="61">
        <v>53.73</v>
      </c>
      <c r="J1526" s="61">
        <v>53.73</v>
      </c>
    </row>
    <row r="1527" spans="1:10" ht="24" customHeight="1" x14ac:dyDescent="0.2">
      <c r="A1527" s="113" t="s">
        <v>1859</v>
      </c>
      <c r="B1527" s="114" t="s">
        <v>1983</v>
      </c>
      <c r="C1527" s="113" t="s">
        <v>20</v>
      </c>
      <c r="D1527" s="113" t="s">
        <v>1982</v>
      </c>
      <c r="E1527" s="139" t="s">
        <v>1369</v>
      </c>
      <c r="F1527" s="139"/>
      <c r="G1527" s="112" t="s">
        <v>213</v>
      </c>
      <c r="H1527" s="111">
        <v>0.28000000000000003</v>
      </c>
      <c r="I1527" s="110">
        <v>0.37</v>
      </c>
      <c r="J1527" s="110">
        <v>0.1</v>
      </c>
    </row>
    <row r="1528" spans="1:10" ht="24" customHeight="1" x14ac:dyDescent="0.2">
      <c r="A1528" s="113" t="s">
        <v>1859</v>
      </c>
      <c r="B1528" s="114" t="s">
        <v>1981</v>
      </c>
      <c r="C1528" s="113" t="s">
        <v>20</v>
      </c>
      <c r="D1528" s="113" t="s">
        <v>1980</v>
      </c>
      <c r="E1528" s="139" t="s">
        <v>1860</v>
      </c>
      <c r="F1528" s="139"/>
      <c r="G1528" s="112" t="s">
        <v>1864</v>
      </c>
      <c r="H1528" s="111">
        <v>0.2</v>
      </c>
      <c r="I1528" s="110">
        <v>15.97</v>
      </c>
      <c r="J1528" s="110">
        <v>3.19</v>
      </c>
    </row>
    <row r="1529" spans="1:10" ht="24" customHeight="1" x14ac:dyDescent="0.2">
      <c r="A1529" s="113" t="s">
        <v>1859</v>
      </c>
      <c r="B1529" s="114" t="s">
        <v>1951</v>
      </c>
      <c r="C1529" s="113" t="s">
        <v>20</v>
      </c>
      <c r="D1529" s="113" t="s">
        <v>1950</v>
      </c>
      <c r="E1529" s="139" t="s">
        <v>1860</v>
      </c>
      <c r="F1529" s="139"/>
      <c r="G1529" s="112" t="s">
        <v>1864</v>
      </c>
      <c r="H1529" s="111">
        <v>0.2</v>
      </c>
      <c r="I1529" s="110">
        <v>10.62</v>
      </c>
      <c r="J1529" s="110">
        <v>2.12</v>
      </c>
    </row>
    <row r="1530" spans="1:10" ht="24" customHeight="1" x14ac:dyDescent="0.2">
      <c r="A1530" s="113" t="s">
        <v>1859</v>
      </c>
      <c r="B1530" s="114" t="s">
        <v>2432</v>
      </c>
      <c r="C1530" s="113" t="s">
        <v>20</v>
      </c>
      <c r="D1530" s="113" t="s">
        <v>2431</v>
      </c>
      <c r="E1530" s="139" t="s">
        <v>1369</v>
      </c>
      <c r="F1530" s="139"/>
      <c r="G1530" s="112" t="s">
        <v>246</v>
      </c>
      <c r="H1530" s="111">
        <v>1</v>
      </c>
      <c r="I1530" s="110">
        <v>48.32</v>
      </c>
      <c r="J1530" s="110">
        <v>48.32</v>
      </c>
    </row>
    <row r="1531" spans="1:10" x14ac:dyDescent="0.2">
      <c r="A1531" s="109"/>
      <c r="B1531" s="109"/>
      <c r="C1531" s="109"/>
      <c r="D1531" s="109"/>
      <c r="E1531" s="109" t="s">
        <v>1858</v>
      </c>
      <c r="F1531" s="108">
        <v>5.31</v>
      </c>
      <c r="G1531" s="109" t="s">
        <v>1857</v>
      </c>
      <c r="H1531" s="108">
        <v>0</v>
      </c>
      <c r="I1531" s="109" t="s">
        <v>1856</v>
      </c>
      <c r="J1531" s="108">
        <v>5.31</v>
      </c>
    </row>
    <row r="1532" spans="1:10" ht="13.9" customHeight="1" x14ac:dyDescent="0.2">
      <c r="A1532" s="109"/>
      <c r="B1532" s="109"/>
      <c r="C1532" s="109"/>
      <c r="D1532" s="109"/>
      <c r="E1532" s="109" t="s">
        <v>1855</v>
      </c>
      <c r="F1532" s="108">
        <v>14.265314999999999</v>
      </c>
      <c r="G1532" s="109"/>
      <c r="H1532" s="140" t="s">
        <v>1854</v>
      </c>
      <c r="I1532" s="140"/>
      <c r="J1532" s="108">
        <v>68</v>
      </c>
    </row>
    <row r="1533" spans="1:10" ht="30" customHeight="1" thickBot="1" x14ac:dyDescent="0.25">
      <c r="A1533" s="100"/>
      <c r="B1533" s="100"/>
      <c r="C1533" s="100"/>
      <c r="D1533" s="100"/>
      <c r="E1533" s="100"/>
      <c r="F1533" s="100"/>
      <c r="G1533" s="100" t="s">
        <v>1853</v>
      </c>
      <c r="H1533" s="107">
        <v>3</v>
      </c>
      <c r="I1533" s="100" t="s">
        <v>1852</v>
      </c>
      <c r="J1533" s="102">
        <v>204</v>
      </c>
    </row>
    <row r="1534" spans="1:10" ht="1.1499999999999999" customHeight="1" thickTop="1" x14ac:dyDescent="0.2">
      <c r="A1534" s="106"/>
      <c r="B1534" s="106"/>
      <c r="C1534" s="106"/>
      <c r="D1534" s="106"/>
      <c r="E1534" s="106"/>
      <c r="F1534" s="106"/>
      <c r="G1534" s="106"/>
      <c r="H1534" s="106"/>
      <c r="I1534" s="106"/>
      <c r="J1534" s="106"/>
    </row>
    <row r="1535" spans="1:10" ht="18" customHeight="1" x14ac:dyDescent="0.2">
      <c r="A1535" s="117" t="s">
        <v>368</v>
      </c>
      <c r="B1535" s="126" t="s">
        <v>5</v>
      </c>
      <c r="C1535" s="117" t="s">
        <v>6</v>
      </c>
      <c r="D1535" s="117" t="s">
        <v>7</v>
      </c>
      <c r="E1535" s="136" t="s">
        <v>1113</v>
      </c>
      <c r="F1535" s="136"/>
      <c r="G1535" s="7" t="s">
        <v>8</v>
      </c>
      <c r="H1535" s="126" t="s">
        <v>9</v>
      </c>
      <c r="I1535" s="126" t="s">
        <v>10</v>
      </c>
      <c r="J1535" s="126" t="s">
        <v>12</v>
      </c>
    </row>
    <row r="1536" spans="1:10" ht="24" customHeight="1" x14ac:dyDescent="0.2">
      <c r="A1536" s="116" t="s">
        <v>1861</v>
      </c>
      <c r="B1536" s="1" t="s">
        <v>369</v>
      </c>
      <c r="C1536" s="116" t="s">
        <v>20</v>
      </c>
      <c r="D1536" s="116" t="s">
        <v>370</v>
      </c>
      <c r="E1536" s="137">
        <v>8</v>
      </c>
      <c r="F1536" s="137"/>
      <c r="G1536" s="2" t="s">
        <v>246</v>
      </c>
      <c r="H1536" s="115">
        <v>1</v>
      </c>
      <c r="I1536" s="61">
        <v>88.54</v>
      </c>
      <c r="J1536" s="61">
        <v>88.54</v>
      </c>
    </row>
    <row r="1537" spans="1:10" ht="24" customHeight="1" x14ac:dyDescent="0.2">
      <c r="A1537" s="113" t="s">
        <v>1859</v>
      </c>
      <c r="B1537" s="114" t="s">
        <v>1983</v>
      </c>
      <c r="C1537" s="113" t="s">
        <v>20</v>
      </c>
      <c r="D1537" s="113" t="s">
        <v>1982</v>
      </c>
      <c r="E1537" s="139" t="s">
        <v>1369</v>
      </c>
      <c r="F1537" s="139"/>
      <c r="G1537" s="112" t="s">
        <v>213</v>
      </c>
      <c r="H1537" s="111">
        <v>0.28000000000000003</v>
      </c>
      <c r="I1537" s="110">
        <v>0.37</v>
      </c>
      <c r="J1537" s="110">
        <v>0.1</v>
      </c>
    </row>
    <row r="1538" spans="1:10" ht="24" customHeight="1" x14ac:dyDescent="0.2">
      <c r="A1538" s="113" t="s">
        <v>1859</v>
      </c>
      <c r="B1538" s="114" t="s">
        <v>2430</v>
      </c>
      <c r="C1538" s="113" t="s">
        <v>20</v>
      </c>
      <c r="D1538" s="113" t="s">
        <v>2429</v>
      </c>
      <c r="E1538" s="139" t="s">
        <v>1369</v>
      </c>
      <c r="F1538" s="139"/>
      <c r="G1538" s="112" t="s">
        <v>246</v>
      </c>
      <c r="H1538" s="111">
        <v>1</v>
      </c>
      <c r="I1538" s="110">
        <v>83.13</v>
      </c>
      <c r="J1538" s="110">
        <v>83.13</v>
      </c>
    </row>
    <row r="1539" spans="1:10" ht="24" customHeight="1" x14ac:dyDescent="0.2">
      <c r="A1539" s="113" t="s">
        <v>1859</v>
      </c>
      <c r="B1539" s="114" t="s">
        <v>1951</v>
      </c>
      <c r="C1539" s="113" t="s">
        <v>20</v>
      </c>
      <c r="D1539" s="113" t="s">
        <v>1950</v>
      </c>
      <c r="E1539" s="139" t="s">
        <v>1860</v>
      </c>
      <c r="F1539" s="139"/>
      <c r="G1539" s="112" t="s">
        <v>1864</v>
      </c>
      <c r="H1539" s="111">
        <v>0.2</v>
      </c>
      <c r="I1539" s="110">
        <v>10.62</v>
      </c>
      <c r="J1539" s="110">
        <v>2.12</v>
      </c>
    </row>
    <row r="1540" spans="1:10" ht="24" customHeight="1" x14ac:dyDescent="0.2">
      <c r="A1540" s="113" t="s">
        <v>1859</v>
      </c>
      <c r="B1540" s="114" t="s">
        <v>1981</v>
      </c>
      <c r="C1540" s="113" t="s">
        <v>20</v>
      </c>
      <c r="D1540" s="113" t="s">
        <v>1980</v>
      </c>
      <c r="E1540" s="139" t="s">
        <v>1860</v>
      </c>
      <c r="F1540" s="139"/>
      <c r="G1540" s="112" t="s">
        <v>1864</v>
      </c>
      <c r="H1540" s="111">
        <v>0.2</v>
      </c>
      <c r="I1540" s="110">
        <v>15.97</v>
      </c>
      <c r="J1540" s="110">
        <v>3.19</v>
      </c>
    </row>
    <row r="1541" spans="1:10" x14ac:dyDescent="0.2">
      <c r="A1541" s="109"/>
      <c r="B1541" s="109"/>
      <c r="C1541" s="109"/>
      <c r="D1541" s="109"/>
      <c r="E1541" s="109" t="s">
        <v>1858</v>
      </c>
      <c r="F1541" s="108">
        <v>5.31</v>
      </c>
      <c r="G1541" s="109" t="s">
        <v>1857</v>
      </c>
      <c r="H1541" s="108">
        <v>0</v>
      </c>
      <c r="I1541" s="109" t="s">
        <v>1856</v>
      </c>
      <c r="J1541" s="108">
        <v>5.31</v>
      </c>
    </row>
    <row r="1542" spans="1:10" ht="13.9" customHeight="1" x14ac:dyDescent="0.2">
      <c r="A1542" s="109"/>
      <c r="B1542" s="109"/>
      <c r="C1542" s="109"/>
      <c r="D1542" s="109"/>
      <c r="E1542" s="109" t="s">
        <v>1855</v>
      </c>
      <c r="F1542" s="108">
        <v>23.507370000000002</v>
      </c>
      <c r="G1542" s="109"/>
      <c r="H1542" s="140" t="s">
        <v>1854</v>
      </c>
      <c r="I1542" s="140"/>
      <c r="J1542" s="108">
        <v>112.05</v>
      </c>
    </row>
    <row r="1543" spans="1:10" ht="30" customHeight="1" thickBot="1" x14ac:dyDescent="0.25">
      <c r="A1543" s="100"/>
      <c r="B1543" s="100"/>
      <c r="C1543" s="100"/>
      <c r="D1543" s="100"/>
      <c r="E1543" s="100"/>
      <c r="F1543" s="100"/>
      <c r="G1543" s="100" t="s">
        <v>1853</v>
      </c>
      <c r="H1543" s="107">
        <v>3</v>
      </c>
      <c r="I1543" s="100" t="s">
        <v>1852</v>
      </c>
      <c r="J1543" s="102">
        <v>336.15</v>
      </c>
    </row>
    <row r="1544" spans="1:10" ht="1.1499999999999999" customHeight="1" thickTop="1" x14ac:dyDescent="0.2">
      <c r="A1544" s="106"/>
      <c r="B1544" s="106"/>
      <c r="C1544" s="106"/>
      <c r="D1544" s="106"/>
      <c r="E1544" s="106"/>
      <c r="F1544" s="106"/>
      <c r="G1544" s="106"/>
      <c r="H1544" s="106"/>
      <c r="I1544" s="106"/>
      <c r="J1544" s="106"/>
    </row>
    <row r="1545" spans="1:10" ht="18" customHeight="1" x14ac:dyDescent="0.2">
      <c r="A1545" s="117" t="s">
        <v>371</v>
      </c>
      <c r="B1545" s="126" t="s">
        <v>5</v>
      </c>
      <c r="C1545" s="117" t="s">
        <v>6</v>
      </c>
      <c r="D1545" s="117" t="s">
        <v>7</v>
      </c>
      <c r="E1545" s="136" t="s">
        <v>1113</v>
      </c>
      <c r="F1545" s="136"/>
      <c r="G1545" s="7" t="s">
        <v>8</v>
      </c>
      <c r="H1545" s="126" t="s">
        <v>9</v>
      </c>
      <c r="I1545" s="126" t="s">
        <v>10</v>
      </c>
      <c r="J1545" s="126" t="s">
        <v>12</v>
      </c>
    </row>
    <row r="1546" spans="1:10" ht="24" customHeight="1" x14ac:dyDescent="0.2">
      <c r="A1546" s="116" t="s">
        <v>1861</v>
      </c>
      <c r="B1546" s="1" t="s">
        <v>372</v>
      </c>
      <c r="C1546" s="116" t="s">
        <v>20</v>
      </c>
      <c r="D1546" s="116" t="s">
        <v>373</v>
      </c>
      <c r="E1546" s="137">
        <v>8</v>
      </c>
      <c r="F1546" s="137"/>
      <c r="G1546" s="2" t="s">
        <v>37</v>
      </c>
      <c r="H1546" s="115">
        <v>1</v>
      </c>
      <c r="I1546" s="61">
        <v>55.04</v>
      </c>
      <c r="J1546" s="61">
        <v>55.04</v>
      </c>
    </row>
    <row r="1547" spans="1:10" ht="24" customHeight="1" x14ac:dyDescent="0.2">
      <c r="A1547" s="113" t="s">
        <v>1859</v>
      </c>
      <c r="B1547" s="114" t="s">
        <v>1983</v>
      </c>
      <c r="C1547" s="113" t="s">
        <v>20</v>
      </c>
      <c r="D1547" s="113" t="s">
        <v>1982</v>
      </c>
      <c r="E1547" s="139" t="s">
        <v>1369</v>
      </c>
      <c r="F1547" s="139"/>
      <c r="G1547" s="112" t="s">
        <v>213</v>
      </c>
      <c r="H1547" s="111">
        <v>0.28000000000000003</v>
      </c>
      <c r="I1547" s="110">
        <v>0.37</v>
      </c>
      <c r="J1547" s="110">
        <v>0.1</v>
      </c>
    </row>
    <row r="1548" spans="1:10" ht="24" customHeight="1" x14ac:dyDescent="0.2">
      <c r="A1548" s="113" t="s">
        <v>1859</v>
      </c>
      <c r="B1548" s="114" t="s">
        <v>1981</v>
      </c>
      <c r="C1548" s="113" t="s">
        <v>20</v>
      </c>
      <c r="D1548" s="113" t="s">
        <v>1980</v>
      </c>
      <c r="E1548" s="139" t="s">
        <v>1860</v>
      </c>
      <c r="F1548" s="139"/>
      <c r="G1548" s="112" t="s">
        <v>1864</v>
      </c>
      <c r="H1548" s="111">
        <v>0.2</v>
      </c>
      <c r="I1548" s="110">
        <v>15.97</v>
      </c>
      <c r="J1548" s="110">
        <v>3.19</v>
      </c>
    </row>
    <row r="1549" spans="1:10" ht="24" customHeight="1" x14ac:dyDescent="0.2">
      <c r="A1549" s="113" t="s">
        <v>1859</v>
      </c>
      <c r="B1549" s="114" t="s">
        <v>1951</v>
      </c>
      <c r="C1549" s="113" t="s">
        <v>20</v>
      </c>
      <c r="D1549" s="113" t="s">
        <v>1950</v>
      </c>
      <c r="E1549" s="139" t="s">
        <v>1860</v>
      </c>
      <c r="F1549" s="139"/>
      <c r="G1549" s="112" t="s">
        <v>1864</v>
      </c>
      <c r="H1549" s="111">
        <v>0.2</v>
      </c>
      <c r="I1549" s="110">
        <v>10.62</v>
      </c>
      <c r="J1549" s="110">
        <v>2.12</v>
      </c>
    </row>
    <row r="1550" spans="1:10" ht="24" customHeight="1" x14ac:dyDescent="0.2">
      <c r="A1550" s="113" t="s">
        <v>1859</v>
      </c>
      <c r="B1550" s="114" t="s">
        <v>2428</v>
      </c>
      <c r="C1550" s="113" t="s">
        <v>20</v>
      </c>
      <c r="D1550" s="113" t="s">
        <v>2427</v>
      </c>
      <c r="E1550" s="139" t="s">
        <v>1369</v>
      </c>
      <c r="F1550" s="139"/>
      <c r="G1550" s="112" t="s">
        <v>246</v>
      </c>
      <c r="H1550" s="111">
        <v>1</v>
      </c>
      <c r="I1550" s="110">
        <v>49.63</v>
      </c>
      <c r="J1550" s="110">
        <v>49.63</v>
      </c>
    </row>
    <row r="1551" spans="1:10" x14ac:dyDescent="0.2">
      <c r="A1551" s="109"/>
      <c r="B1551" s="109"/>
      <c r="C1551" s="109"/>
      <c r="D1551" s="109"/>
      <c r="E1551" s="109" t="s">
        <v>1858</v>
      </c>
      <c r="F1551" s="108">
        <v>5.31</v>
      </c>
      <c r="G1551" s="109" t="s">
        <v>1857</v>
      </c>
      <c r="H1551" s="108">
        <v>0</v>
      </c>
      <c r="I1551" s="109" t="s">
        <v>1856</v>
      </c>
      <c r="J1551" s="108">
        <v>5.31</v>
      </c>
    </row>
    <row r="1552" spans="1:10" ht="13.9" customHeight="1" x14ac:dyDescent="0.2">
      <c r="A1552" s="109"/>
      <c r="B1552" s="109"/>
      <c r="C1552" s="109"/>
      <c r="D1552" s="109"/>
      <c r="E1552" s="109" t="s">
        <v>1855</v>
      </c>
      <c r="F1552" s="108">
        <v>14.61312</v>
      </c>
      <c r="G1552" s="109"/>
      <c r="H1552" s="140" t="s">
        <v>1854</v>
      </c>
      <c r="I1552" s="140"/>
      <c r="J1552" s="108">
        <v>69.650000000000006</v>
      </c>
    </row>
    <row r="1553" spans="1:10" ht="30" customHeight="1" thickBot="1" x14ac:dyDescent="0.25">
      <c r="A1553" s="100"/>
      <c r="B1553" s="100"/>
      <c r="C1553" s="100"/>
      <c r="D1553" s="100"/>
      <c r="E1553" s="100"/>
      <c r="F1553" s="100"/>
      <c r="G1553" s="100" t="s">
        <v>1853</v>
      </c>
      <c r="H1553" s="107">
        <v>2</v>
      </c>
      <c r="I1553" s="100" t="s">
        <v>1852</v>
      </c>
      <c r="J1553" s="102">
        <v>139.30000000000001</v>
      </c>
    </row>
    <row r="1554" spans="1:10" ht="1.1499999999999999" customHeight="1" thickTop="1" x14ac:dyDescent="0.2">
      <c r="A1554" s="106"/>
      <c r="B1554" s="106"/>
      <c r="C1554" s="106"/>
      <c r="D1554" s="106"/>
      <c r="E1554" s="106"/>
      <c r="F1554" s="106"/>
      <c r="G1554" s="106"/>
      <c r="H1554" s="106"/>
      <c r="I1554" s="106"/>
      <c r="J1554" s="106"/>
    </row>
    <row r="1555" spans="1:10" ht="18" customHeight="1" x14ac:dyDescent="0.2">
      <c r="A1555" s="117" t="s">
        <v>374</v>
      </c>
      <c r="B1555" s="126" t="s">
        <v>5</v>
      </c>
      <c r="C1555" s="117" t="s">
        <v>6</v>
      </c>
      <c r="D1555" s="117" t="s">
        <v>7</v>
      </c>
      <c r="E1555" s="136" t="s">
        <v>1113</v>
      </c>
      <c r="F1555" s="136"/>
      <c r="G1555" s="7" t="s">
        <v>8</v>
      </c>
      <c r="H1555" s="126" t="s">
        <v>9</v>
      </c>
      <c r="I1555" s="126" t="s">
        <v>10</v>
      </c>
      <c r="J1555" s="126" t="s">
        <v>12</v>
      </c>
    </row>
    <row r="1556" spans="1:10" ht="24" customHeight="1" x14ac:dyDescent="0.2">
      <c r="A1556" s="116" t="s">
        <v>1861</v>
      </c>
      <c r="B1556" s="1" t="s">
        <v>375</v>
      </c>
      <c r="C1556" s="116" t="s">
        <v>20</v>
      </c>
      <c r="D1556" s="116" t="s">
        <v>376</v>
      </c>
      <c r="E1556" s="137">
        <v>8</v>
      </c>
      <c r="F1556" s="137"/>
      <c r="G1556" s="2" t="s">
        <v>37</v>
      </c>
      <c r="H1556" s="115">
        <v>1</v>
      </c>
      <c r="I1556" s="61">
        <v>35.630000000000003</v>
      </c>
      <c r="J1556" s="61">
        <v>35.630000000000003</v>
      </c>
    </row>
    <row r="1557" spans="1:10" ht="24" customHeight="1" x14ac:dyDescent="0.2">
      <c r="A1557" s="113" t="s">
        <v>1859</v>
      </c>
      <c r="B1557" s="114" t="s">
        <v>1983</v>
      </c>
      <c r="C1557" s="113" t="s">
        <v>20</v>
      </c>
      <c r="D1557" s="113" t="s">
        <v>1982</v>
      </c>
      <c r="E1557" s="139" t="s">
        <v>1369</v>
      </c>
      <c r="F1557" s="139"/>
      <c r="G1557" s="112" t="s">
        <v>213</v>
      </c>
      <c r="H1557" s="111">
        <v>0.28000000000000003</v>
      </c>
      <c r="I1557" s="110">
        <v>0.37</v>
      </c>
      <c r="J1557" s="110">
        <v>0.1</v>
      </c>
    </row>
    <row r="1558" spans="1:10" ht="24" customHeight="1" x14ac:dyDescent="0.2">
      <c r="A1558" s="113" t="s">
        <v>1859</v>
      </c>
      <c r="B1558" s="114" t="s">
        <v>2426</v>
      </c>
      <c r="C1558" s="113" t="s">
        <v>20</v>
      </c>
      <c r="D1558" s="113" t="s">
        <v>2425</v>
      </c>
      <c r="E1558" s="139" t="s">
        <v>1369</v>
      </c>
      <c r="F1558" s="139"/>
      <c r="G1558" s="112" t="s">
        <v>246</v>
      </c>
      <c r="H1558" s="111">
        <v>1</v>
      </c>
      <c r="I1558" s="110">
        <v>28.88</v>
      </c>
      <c r="J1558" s="110">
        <v>28.88</v>
      </c>
    </row>
    <row r="1559" spans="1:10" ht="24" customHeight="1" x14ac:dyDescent="0.2">
      <c r="A1559" s="113" t="s">
        <v>1859</v>
      </c>
      <c r="B1559" s="114" t="s">
        <v>1981</v>
      </c>
      <c r="C1559" s="113" t="s">
        <v>20</v>
      </c>
      <c r="D1559" s="113" t="s">
        <v>1980</v>
      </c>
      <c r="E1559" s="139" t="s">
        <v>1860</v>
      </c>
      <c r="F1559" s="139"/>
      <c r="G1559" s="112" t="s">
        <v>1864</v>
      </c>
      <c r="H1559" s="111">
        <v>0.25</v>
      </c>
      <c r="I1559" s="110">
        <v>15.97</v>
      </c>
      <c r="J1559" s="110">
        <v>3.99</v>
      </c>
    </row>
    <row r="1560" spans="1:10" ht="24" customHeight="1" x14ac:dyDescent="0.2">
      <c r="A1560" s="113" t="s">
        <v>1859</v>
      </c>
      <c r="B1560" s="114" t="s">
        <v>1951</v>
      </c>
      <c r="C1560" s="113" t="s">
        <v>20</v>
      </c>
      <c r="D1560" s="113" t="s">
        <v>1950</v>
      </c>
      <c r="E1560" s="139" t="s">
        <v>1860</v>
      </c>
      <c r="F1560" s="139"/>
      <c r="G1560" s="112" t="s">
        <v>1864</v>
      </c>
      <c r="H1560" s="111">
        <v>0.25</v>
      </c>
      <c r="I1560" s="110">
        <v>10.62</v>
      </c>
      <c r="J1560" s="110">
        <v>2.66</v>
      </c>
    </row>
    <row r="1561" spans="1:10" x14ac:dyDescent="0.2">
      <c r="A1561" s="109"/>
      <c r="B1561" s="109"/>
      <c r="C1561" s="109"/>
      <c r="D1561" s="109"/>
      <c r="E1561" s="109" t="s">
        <v>1858</v>
      </c>
      <c r="F1561" s="108">
        <v>6.65</v>
      </c>
      <c r="G1561" s="109" t="s">
        <v>1857</v>
      </c>
      <c r="H1561" s="108">
        <v>0</v>
      </c>
      <c r="I1561" s="109" t="s">
        <v>1856</v>
      </c>
      <c r="J1561" s="108">
        <v>6.65</v>
      </c>
    </row>
    <row r="1562" spans="1:10" ht="13.9" customHeight="1" x14ac:dyDescent="0.2">
      <c r="A1562" s="109"/>
      <c r="B1562" s="109"/>
      <c r="C1562" s="109"/>
      <c r="D1562" s="109"/>
      <c r="E1562" s="109" t="s">
        <v>1855</v>
      </c>
      <c r="F1562" s="108">
        <v>9.4597650000000009</v>
      </c>
      <c r="G1562" s="109"/>
      <c r="H1562" s="140" t="s">
        <v>1854</v>
      </c>
      <c r="I1562" s="140"/>
      <c r="J1562" s="108">
        <v>45.09</v>
      </c>
    </row>
    <row r="1563" spans="1:10" ht="30" customHeight="1" thickBot="1" x14ac:dyDescent="0.25">
      <c r="A1563" s="100"/>
      <c r="B1563" s="100"/>
      <c r="C1563" s="100"/>
      <c r="D1563" s="100"/>
      <c r="E1563" s="100"/>
      <c r="F1563" s="100"/>
      <c r="G1563" s="100" t="s">
        <v>1853</v>
      </c>
      <c r="H1563" s="107">
        <v>22</v>
      </c>
      <c r="I1563" s="100" t="s">
        <v>1852</v>
      </c>
      <c r="J1563" s="102">
        <v>991.98</v>
      </c>
    </row>
    <row r="1564" spans="1:10" ht="1.1499999999999999" customHeight="1" thickTop="1" x14ac:dyDescent="0.2">
      <c r="A1564" s="106"/>
      <c r="B1564" s="106"/>
      <c r="C1564" s="106"/>
      <c r="D1564" s="106"/>
      <c r="E1564" s="106"/>
      <c r="F1564" s="106"/>
      <c r="G1564" s="106"/>
      <c r="H1564" s="106"/>
      <c r="I1564" s="106"/>
      <c r="J1564" s="106"/>
    </row>
    <row r="1565" spans="1:10" ht="18" customHeight="1" x14ac:dyDescent="0.2">
      <c r="A1565" s="117" t="s">
        <v>377</v>
      </c>
      <c r="B1565" s="126" t="s">
        <v>5</v>
      </c>
      <c r="C1565" s="117" t="s">
        <v>6</v>
      </c>
      <c r="D1565" s="117" t="s">
        <v>7</v>
      </c>
      <c r="E1565" s="136" t="s">
        <v>1113</v>
      </c>
      <c r="F1565" s="136"/>
      <c r="G1565" s="7" t="s">
        <v>8</v>
      </c>
      <c r="H1565" s="126" t="s">
        <v>9</v>
      </c>
      <c r="I1565" s="126" t="s">
        <v>10</v>
      </c>
      <c r="J1565" s="126" t="s">
        <v>12</v>
      </c>
    </row>
    <row r="1566" spans="1:10" ht="24" customHeight="1" x14ac:dyDescent="0.2">
      <c r="A1566" s="116" t="s">
        <v>1861</v>
      </c>
      <c r="B1566" s="1" t="s">
        <v>378</v>
      </c>
      <c r="C1566" s="116" t="s">
        <v>20</v>
      </c>
      <c r="D1566" s="116" t="s">
        <v>379</v>
      </c>
      <c r="E1566" s="137">
        <v>8</v>
      </c>
      <c r="F1566" s="137"/>
      <c r="G1566" s="2" t="s">
        <v>37</v>
      </c>
      <c r="H1566" s="115">
        <v>1</v>
      </c>
      <c r="I1566" s="61">
        <v>146.94</v>
      </c>
      <c r="J1566" s="61">
        <v>146.94</v>
      </c>
    </row>
    <row r="1567" spans="1:10" ht="24" customHeight="1" x14ac:dyDescent="0.2">
      <c r="A1567" s="113" t="s">
        <v>1859</v>
      </c>
      <c r="B1567" s="114" t="s">
        <v>1983</v>
      </c>
      <c r="C1567" s="113" t="s">
        <v>20</v>
      </c>
      <c r="D1567" s="113" t="s">
        <v>1982</v>
      </c>
      <c r="E1567" s="139" t="s">
        <v>1369</v>
      </c>
      <c r="F1567" s="139"/>
      <c r="G1567" s="112" t="s">
        <v>213</v>
      </c>
      <c r="H1567" s="111">
        <v>0.28000000000000003</v>
      </c>
      <c r="I1567" s="110">
        <v>0.37</v>
      </c>
      <c r="J1567" s="110">
        <v>0.1</v>
      </c>
    </row>
    <row r="1568" spans="1:10" ht="24" customHeight="1" x14ac:dyDescent="0.2">
      <c r="A1568" s="113" t="s">
        <v>1859</v>
      </c>
      <c r="B1568" s="114" t="s">
        <v>1951</v>
      </c>
      <c r="C1568" s="113" t="s">
        <v>20</v>
      </c>
      <c r="D1568" s="113" t="s">
        <v>1950</v>
      </c>
      <c r="E1568" s="139" t="s">
        <v>1860</v>
      </c>
      <c r="F1568" s="139"/>
      <c r="G1568" s="112" t="s">
        <v>1864</v>
      </c>
      <c r="H1568" s="111">
        <v>0.36</v>
      </c>
      <c r="I1568" s="110">
        <v>10.62</v>
      </c>
      <c r="J1568" s="110">
        <v>3.82</v>
      </c>
    </row>
    <row r="1569" spans="1:10" ht="24" customHeight="1" x14ac:dyDescent="0.2">
      <c r="A1569" s="113" t="s">
        <v>1859</v>
      </c>
      <c r="B1569" s="114" t="s">
        <v>1981</v>
      </c>
      <c r="C1569" s="113" t="s">
        <v>20</v>
      </c>
      <c r="D1569" s="113" t="s">
        <v>1980</v>
      </c>
      <c r="E1569" s="139" t="s">
        <v>1860</v>
      </c>
      <c r="F1569" s="139"/>
      <c r="G1569" s="112" t="s">
        <v>1864</v>
      </c>
      <c r="H1569" s="111">
        <v>0.36</v>
      </c>
      <c r="I1569" s="110">
        <v>15.97</v>
      </c>
      <c r="J1569" s="110">
        <v>5.75</v>
      </c>
    </row>
    <row r="1570" spans="1:10" ht="24" customHeight="1" x14ac:dyDescent="0.2">
      <c r="A1570" s="113" t="s">
        <v>1859</v>
      </c>
      <c r="B1570" s="114" t="s">
        <v>2424</v>
      </c>
      <c r="C1570" s="113" t="s">
        <v>20</v>
      </c>
      <c r="D1570" s="113" t="s">
        <v>2423</v>
      </c>
      <c r="E1570" s="139" t="s">
        <v>1369</v>
      </c>
      <c r="F1570" s="139"/>
      <c r="G1570" s="112" t="s">
        <v>246</v>
      </c>
      <c r="H1570" s="111">
        <v>1</v>
      </c>
      <c r="I1570" s="110">
        <v>137.27000000000001</v>
      </c>
      <c r="J1570" s="110">
        <v>137.27000000000001</v>
      </c>
    </row>
    <row r="1571" spans="1:10" x14ac:dyDescent="0.2">
      <c r="A1571" s="109"/>
      <c r="B1571" s="109"/>
      <c r="C1571" s="109"/>
      <c r="D1571" s="109"/>
      <c r="E1571" s="109" t="s">
        <v>1858</v>
      </c>
      <c r="F1571" s="108">
        <v>9.57</v>
      </c>
      <c r="G1571" s="109" t="s">
        <v>1857</v>
      </c>
      <c r="H1571" s="108">
        <v>0</v>
      </c>
      <c r="I1571" s="109" t="s">
        <v>1856</v>
      </c>
      <c r="J1571" s="108">
        <v>9.57</v>
      </c>
    </row>
    <row r="1572" spans="1:10" ht="13.9" customHeight="1" x14ac:dyDescent="0.2">
      <c r="A1572" s="109"/>
      <c r="B1572" s="109"/>
      <c r="C1572" s="109"/>
      <c r="D1572" s="109"/>
      <c r="E1572" s="109" t="s">
        <v>1855</v>
      </c>
      <c r="F1572" s="108">
        <v>39.012569999999997</v>
      </c>
      <c r="G1572" s="109"/>
      <c r="H1572" s="140" t="s">
        <v>1854</v>
      </c>
      <c r="I1572" s="140"/>
      <c r="J1572" s="108">
        <v>185.95</v>
      </c>
    </row>
    <row r="1573" spans="1:10" ht="30" customHeight="1" thickBot="1" x14ac:dyDescent="0.25">
      <c r="A1573" s="100"/>
      <c r="B1573" s="100"/>
      <c r="C1573" s="100"/>
      <c r="D1573" s="100"/>
      <c r="E1573" s="100"/>
      <c r="F1573" s="100"/>
      <c r="G1573" s="100" t="s">
        <v>1853</v>
      </c>
      <c r="H1573" s="107">
        <v>15</v>
      </c>
      <c r="I1573" s="100" t="s">
        <v>1852</v>
      </c>
      <c r="J1573" s="102">
        <v>2789.25</v>
      </c>
    </row>
    <row r="1574" spans="1:10" ht="1.1499999999999999" customHeight="1" thickTop="1" x14ac:dyDescent="0.2">
      <c r="A1574" s="106"/>
      <c r="B1574" s="106"/>
      <c r="C1574" s="106"/>
      <c r="D1574" s="106"/>
      <c r="E1574" s="106"/>
      <c r="F1574" s="106"/>
      <c r="G1574" s="106"/>
      <c r="H1574" s="106"/>
      <c r="I1574" s="106"/>
      <c r="J1574" s="106"/>
    </row>
    <row r="1575" spans="1:10" ht="18" customHeight="1" x14ac:dyDescent="0.2">
      <c r="A1575" s="117" t="s">
        <v>380</v>
      </c>
      <c r="B1575" s="126" t="s">
        <v>5</v>
      </c>
      <c r="C1575" s="117" t="s">
        <v>6</v>
      </c>
      <c r="D1575" s="117" t="s">
        <v>7</v>
      </c>
      <c r="E1575" s="136" t="s">
        <v>1113</v>
      </c>
      <c r="F1575" s="136"/>
      <c r="G1575" s="7" t="s">
        <v>8</v>
      </c>
      <c r="H1575" s="126" t="s">
        <v>9</v>
      </c>
      <c r="I1575" s="126" t="s">
        <v>10</v>
      </c>
      <c r="J1575" s="126" t="s">
        <v>12</v>
      </c>
    </row>
    <row r="1576" spans="1:10" ht="24" customHeight="1" x14ac:dyDescent="0.2">
      <c r="A1576" s="116" t="s">
        <v>1861</v>
      </c>
      <c r="B1576" s="1" t="s">
        <v>381</v>
      </c>
      <c r="C1576" s="116" t="s">
        <v>20</v>
      </c>
      <c r="D1576" s="116" t="s">
        <v>382</v>
      </c>
      <c r="E1576" s="137">
        <v>8</v>
      </c>
      <c r="F1576" s="137"/>
      <c r="G1576" s="2" t="s">
        <v>37</v>
      </c>
      <c r="H1576" s="115">
        <v>1</v>
      </c>
      <c r="I1576" s="61">
        <v>184.37</v>
      </c>
      <c r="J1576" s="61">
        <v>184.37</v>
      </c>
    </row>
    <row r="1577" spans="1:10" ht="24" customHeight="1" x14ac:dyDescent="0.2">
      <c r="A1577" s="113" t="s">
        <v>1859</v>
      </c>
      <c r="B1577" s="114" t="s">
        <v>1983</v>
      </c>
      <c r="C1577" s="113" t="s">
        <v>20</v>
      </c>
      <c r="D1577" s="113" t="s">
        <v>1982</v>
      </c>
      <c r="E1577" s="139" t="s">
        <v>1369</v>
      </c>
      <c r="F1577" s="139"/>
      <c r="G1577" s="112" t="s">
        <v>213</v>
      </c>
      <c r="H1577" s="111">
        <v>0.42</v>
      </c>
      <c r="I1577" s="110">
        <v>0.37</v>
      </c>
      <c r="J1577" s="110">
        <v>0.16</v>
      </c>
    </row>
    <row r="1578" spans="1:10" ht="24" customHeight="1" x14ac:dyDescent="0.2">
      <c r="A1578" s="113" t="s">
        <v>1859</v>
      </c>
      <c r="B1578" s="114" t="s">
        <v>1951</v>
      </c>
      <c r="C1578" s="113" t="s">
        <v>20</v>
      </c>
      <c r="D1578" s="113" t="s">
        <v>1950</v>
      </c>
      <c r="E1578" s="139" t="s">
        <v>1860</v>
      </c>
      <c r="F1578" s="139"/>
      <c r="G1578" s="112" t="s">
        <v>1864</v>
      </c>
      <c r="H1578" s="111">
        <v>0.36</v>
      </c>
      <c r="I1578" s="110">
        <v>10.62</v>
      </c>
      <c r="J1578" s="110">
        <v>3.82</v>
      </c>
    </row>
    <row r="1579" spans="1:10" ht="24" customHeight="1" x14ac:dyDescent="0.2">
      <c r="A1579" s="113" t="s">
        <v>1859</v>
      </c>
      <c r="B1579" s="114" t="s">
        <v>1981</v>
      </c>
      <c r="C1579" s="113" t="s">
        <v>20</v>
      </c>
      <c r="D1579" s="113" t="s">
        <v>1980</v>
      </c>
      <c r="E1579" s="139" t="s">
        <v>1860</v>
      </c>
      <c r="F1579" s="139"/>
      <c r="G1579" s="112" t="s">
        <v>1864</v>
      </c>
      <c r="H1579" s="111">
        <v>0.36</v>
      </c>
      <c r="I1579" s="110">
        <v>15.97</v>
      </c>
      <c r="J1579" s="110">
        <v>5.75</v>
      </c>
    </row>
    <row r="1580" spans="1:10" ht="24" customHeight="1" x14ac:dyDescent="0.2">
      <c r="A1580" s="113" t="s">
        <v>1859</v>
      </c>
      <c r="B1580" s="114" t="s">
        <v>2422</v>
      </c>
      <c r="C1580" s="113" t="s">
        <v>20</v>
      </c>
      <c r="D1580" s="113" t="s">
        <v>2421</v>
      </c>
      <c r="E1580" s="139" t="s">
        <v>1369</v>
      </c>
      <c r="F1580" s="139"/>
      <c r="G1580" s="112" t="s">
        <v>246</v>
      </c>
      <c r="H1580" s="111">
        <v>1</v>
      </c>
      <c r="I1580" s="110">
        <v>174.64</v>
      </c>
      <c r="J1580" s="110">
        <v>174.64</v>
      </c>
    </row>
    <row r="1581" spans="1:10" x14ac:dyDescent="0.2">
      <c r="A1581" s="109"/>
      <c r="B1581" s="109"/>
      <c r="C1581" s="109"/>
      <c r="D1581" s="109"/>
      <c r="E1581" s="109" t="s">
        <v>1858</v>
      </c>
      <c r="F1581" s="108">
        <v>9.57</v>
      </c>
      <c r="G1581" s="109" t="s">
        <v>1857</v>
      </c>
      <c r="H1581" s="108">
        <v>0</v>
      </c>
      <c r="I1581" s="109" t="s">
        <v>1856</v>
      </c>
      <c r="J1581" s="108">
        <v>9.57</v>
      </c>
    </row>
    <row r="1582" spans="1:10" ht="13.9" customHeight="1" x14ac:dyDescent="0.2">
      <c r="A1582" s="109"/>
      <c r="B1582" s="109"/>
      <c r="C1582" s="109"/>
      <c r="D1582" s="109"/>
      <c r="E1582" s="109" t="s">
        <v>1855</v>
      </c>
      <c r="F1582" s="108">
        <v>48.950234999999999</v>
      </c>
      <c r="G1582" s="109"/>
      <c r="H1582" s="140" t="s">
        <v>1854</v>
      </c>
      <c r="I1582" s="140"/>
      <c r="J1582" s="108">
        <v>233.32</v>
      </c>
    </row>
    <row r="1583" spans="1:10" ht="30" customHeight="1" thickBot="1" x14ac:dyDescent="0.25">
      <c r="A1583" s="100"/>
      <c r="B1583" s="100"/>
      <c r="C1583" s="100"/>
      <c r="D1583" s="100"/>
      <c r="E1583" s="100"/>
      <c r="F1583" s="100"/>
      <c r="G1583" s="100" t="s">
        <v>1853</v>
      </c>
      <c r="H1583" s="107">
        <v>5</v>
      </c>
      <c r="I1583" s="100" t="s">
        <v>1852</v>
      </c>
      <c r="J1583" s="102">
        <v>1166.5999999999999</v>
      </c>
    </row>
    <row r="1584" spans="1:10" ht="1.1499999999999999" customHeight="1" thickTop="1" x14ac:dyDescent="0.2">
      <c r="A1584" s="106"/>
      <c r="B1584" s="106"/>
      <c r="C1584" s="106"/>
      <c r="D1584" s="106"/>
      <c r="E1584" s="106"/>
      <c r="F1584" s="106"/>
      <c r="G1584" s="106"/>
      <c r="H1584" s="106"/>
      <c r="I1584" s="106"/>
      <c r="J1584" s="106"/>
    </row>
    <row r="1585" spans="1:10" ht="24" customHeight="1" x14ac:dyDescent="0.2">
      <c r="A1585" s="123" t="s">
        <v>383</v>
      </c>
      <c r="B1585" s="123"/>
      <c r="C1585" s="123"/>
      <c r="D1585" s="123" t="s">
        <v>384</v>
      </c>
      <c r="E1585" s="123"/>
      <c r="F1585" s="142"/>
      <c r="G1585" s="142"/>
      <c r="H1585" s="3"/>
      <c r="I1585" s="123"/>
      <c r="J1585" s="63">
        <v>60070.11</v>
      </c>
    </row>
    <row r="1586" spans="1:10" ht="18" customHeight="1" x14ac:dyDescent="0.2">
      <c r="A1586" s="117" t="s">
        <v>385</v>
      </c>
      <c r="B1586" s="126" t="s">
        <v>5</v>
      </c>
      <c r="C1586" s="117" t="s">
        <v>6</v>
      </c>
      <c r="D1586" s="117" t="s">
        <v>7</v>
      </c>
      <c r="E1586" s="136" t="s">
        <v>1113</v>
      </c>
      <c r="F1586" s="136"/>
      <c r="G1586" s="7" t="s">
        <v>8</v>
      </c>
      <c r="H1586" s="126" t="s">
        <v>9</v>
      </c>
      <c r="I1586" s="126" t="s">
        <v>10</v>
      </c>
      <c r="J1586" s="126" t="s">
        <v>12</v>
      </c>
    </row>
    <row r="1587" spans="1:10" ht="24" customHeight="1" x14ac:dyDescent="0.2">
      <c r="A1587" s="116" t="s">
        <v>1861</v>
      </c>
      <c r="B1587" s="1" t="s">
        <v>1281</v>
      </c>
      <c r="C1587" s="116" t="s">
        <v>411</v>
      </c>
      <c r="D1587" s="116" t="s">
        <v>1280</v>
      </c>
      <c r="E1587" s="137" t="s">
        <v>1495</v>
      </c>
      <c r="F1587" s="137"/>
      <c r="G1587" s="2" t="s">
        <v>1279</v>
      </c>
      <c r="H1587" s="115">
        <v>1</v>
      </c>
      <c r="I1587" s="61">
        <v>9890.82</v>
      </c>
      <c r="J1587" s="61">
        <v>9890.82</v>
      </c>
    </row>
    <row r="1588" spans="1:10" ht="24" customHeight="1" x14ac:dyDescent="0.2">
      <c r="A1588" s="121" t="s">
        <v>1888</v>
      </c>
      <c r="B1588" s="122" t="s">
        <v>2420</v>
      </c>
      <c r="C1588" s="121" t="s">
        <v>2419</v>
      </c>
      <c r="D1588" s="121" t="s">
        <v>2418</v>
      </c>
      <c r="E1588" s="138">
        <v>45</v>
      </c>
      <c r="F1588" s="138"/>
      <c r="G1588" s="120" t="s">
        <v>22</v>
      </c>
      <c r="H1588" s="119">
        <v>82.99</v>
      </c>
      <c r="I1588" s="118">
        <v>7.89</v>
      </c>
      <c r="J1588" s="118">
        <v>654.79</v>
      </c>
    </row>
    <row r="1589" spans="1:10" ht="24" customHeight="1" x14ac:dyDescent="0.2">
      <c r="A1589" s="121" t="s">
        <v>1888</v>
      </c>
      <c r="B1589" s="122" t="s">
        <v>2417</v>
      </c>
      <c r="C1589" s="121" t="s">
        <v>20</v>
      </c>
      <c r="D1589" s="121" t="s">
        <v>2416</v>
      </c>
      <c r="E1589" s="138">
        <v>6</v>
      </c>
      <c r="F1589" s="138"/>
      <c r="G1589" s="120" t="s">
        <v>22</v>
      </c>
      <c r="H1589" s="119">
        <v>12.2</v>
      </c>
      <c r="I1589" s="118">
        <v>83.19</v>
      </c>
      <c r="J1589" s="118">
        <v>1014.92</v>
      </c>
    </row>
    <row r="1590" spans="1:10" ht="24" customHeight="1" x14ac:dyDescent="0.2">
      <c r="A1590" s="121" t="s">
        <v>1888</v>
      </c>
      <c r="B1590" s="122" t="s">
        <v>2415</v>
      </c>
      <c r="C1590" s="121" t="s">
        <v>20</v>
      </c>
      <c r="D1590" s="121" t="s">
        <v>2414</v>
      </c>
      <c r="E1590" s="138">
        <v>5</v>
      </c>
      <c r="F1590" s="138"/>
      <c r="G1590" s="120" t="s">
        <v>49</v>
      </c>
      <c r="H1590" s="119">
        <v>0.55000000000000004</v>
      </c>
      <c r="I1590" s="118">
        <v>456.47</v>
      </c>
      <c r="J1590" s="118">
        <v>251.06</v>
      </c>
    </row>
    <row r="1591" spans="1:10" ht="36" customHeight="1" x14ac:dyDescent="0.2">
      <c r="A1591" s="113" t="s">
        <v>1859</v>
      </c>
      <c r="B1591" s="114" t="s">
        <v>2413</v>
      </c>
      <c r="C1591" s="113" t="s">
        <v>25</v>
      </c>
      <c r="D1591" s="113" t="s">
        <v>2412</v>
      </c>
      <c r="E1591" s="139" t="s">
        <v>1369</v>
      </c>
      <c r="F1591" s="139"/>
      <c r="G1591" s="112" t="s">
        <v>92</v>
      </c>
      <c r="H1591" s="111">
        <v>4</v>
      </c>
      <c r="I1591" s="110">
        <v>1634.59</v>
      </c>
      <c r="J1591" s="110">
        <v>6538.36</v>
      </c>
    </row>
    <row r="1592" spans="1:10" ht="24" customHeight="1" x14ac:dyDescent="0.2">
      <c r="A1592" s="113" t="s">
        <v>1859</v>
      </c>
      <c r="B1592" s="114" t="s">
        <v>2072</v>
      </c>
      <c r="C1592" s="113" t="s">
        <v>20</v>
      </c>
      <c r="D1592" s="113" t="s">
        <v>2071</v>
      </c>
      <c r="E1592" s="139" t="s">
        <v>1369</v>
      </c>
      <c r="F1592" s="139"/>
      <c r="G1592" s="112" t="s">
        <v>49</v>
      </c>
      <c r="H1592" s="111">
        <v>11.2</v>
      </c>
      <c r="I1592" s="110">
        <v>100.76</v>
      </c>
      <c r="J1592" s="110">
        <v>1128.51</v>
      </c>
    </row>
    <row r="1593" spans="1:10" ht="24" customHeight="1" x14ac:dyDescent="0.2">
      <c r="A1593" s="113" t="s">
        <v>1859</v>
      </c>
      <c r="B1593" s="114" t="s">
        <v>1872</v>
      </c>
      <c r="C1593" s="113" t="s">
        <v>20</v>
      </c>
      <c r="D1593" s="113" t="s">
        <v>1871</v>
      </c>
      <c r="E1593" s="139" t="s">
        <v>1860</v>
      </c>
      <c r="F1593" s="139"/>
      <c r="G1593" s="112" t="s">
        <v>1864</v>
      </c>
      <c r="H1593" s="111">
        <v>2.2599999999999998</v>
      </c>
      <c r="I1593" s="110">
        <v>10.62</v>
      </c>
      <c r="J1593" s="110">
        <v>24</v>
      </c>
    </row>
    <row r="1594" spans="1:10" ht="24" customHeight="1" x14ac:dyDescent="0.2">
      <c r="A1594" s="113" t="s">
        <v>1859</v>
      </c>
      <c r="B1594" s="114" t="s">
        <v>1951</v>
      </c>
      <c r="C1594" s="113" t="s">
        <v>20</v>
      </c>
      <c r="D1594" s="113" t="s">
        <v>1950</v>
      </c>
      <c r="E1594" s="139" t="s">
        <v>1860</v>
      </c>
      <c r="F1594" s="139"/>
      <c r="G1594" s="112" t="s">
        <v>1864</v>
      </c>
      <c r="H1594" s="111">
        <v>1.98</v>
      </c>
      <c r="I1594" s="110">
        <v>10.62</v>
      </c>
      <c r="J1594" s="110">
        <v>21.03</v>
      </c>
    </row>
    <row r="1595" spans="1:10" ht="24" customHeight="1" x14ac:dyDescent="0.2">
      <c r="A1595" s="113" t="s">
        <v>1859</v>
      </c>
      <c r="B1595" s="114" t="s">
        <v>2064</v>
      </c>
      <c r="C1595" s="113" t="s">
        <v>20</v>
      </c>
      <c r="D1595" s="113" t="s">
        <v>2063</v>
      </c>
      <c r="E1595" s="139" t="s">
        <v>1860</v>
      </c>
      <c r="F1595" s="139"/>
      <c r="G1595" s="112" t="s">
        <v>1864</v>
      </c>
      <c r="H1595" s="111">
        <v>1.7</v>
      </c>
      <c r="I1595" s="110">
        <v>15.97</v>
      </c>
      <c r="J1595" s="110">
        <v>27.15</v>
      </c>
    </row>
    <row r="1596" spans="1:10" ht="24" customHeight="1" x14ac:dyDescent="0.2">
      <c r="A1596" s="113" t="s">
        <v>1859</v>
      </c>
      <c r="B1596" s="114" t="s">
        <v>2060</v>
      </c>
      <c r="C1596" s="113" t="s">
        <v>20</v>
      </c>
      <c r="D1596" s="113" t="s">
        <v>2059</v>
      </c>
      <c r="E1596" s="139" t="s">
        <v>1860</v>
      </c>
      <c r="F1596" s="139"/>
      <c r="G1596" s="112" t="s">
        <v>1864</v>
      </c>
      <c r="H1596" s="111">
        <v>0.56999999999999995</v>
      </c>
      <c r="I1596" s="110">
        <v>15.97</v>
      </c>
      <c r="J1596" s="110">
        <v>9.1</v>
      </c>
    </row>
    <row r="1597" spans="1:10" ht="24" customHeight="1" x14ac:dyDescent="0.2">
      <c r="A1597" s="113" t="s">
        <v>1859</v>
      </c>
      <c r="B1597" s="114" t="s">
        <v>2243</v>
      </c>
      <c r="C1597" s="113" t="s">
        <v>20</v>
      </c>
      <c r="D1597" s="113" t="s">
        <v>2242</v>
      </c>
      <c r="E1597" s="139" t="s">
        <v>1369</v>
      </c>
      <c r="F1597" s="139"/>
      <c r="G1597" s="112" t="s">
        <v>96</v>
      </c>
      <c r="H1597" s="111">
        <v>28.16</v>
      </c>
      <c r="I1597" s="110">
        <v>7.88</v>
      </c>
      <c r="J1597" s="110">
        <v>221.9</v>
      </c>
    </row>
    <row r="1598" spans="1:10" x14ac:dyDescent="0.2">
      <c r="A1598" s="109"/>
      <c r="B1598" s="109"/>
      <c r="C1598" s="109"/>
      <c r="D1598" s="109"/>
      <c r="E1598" s="109" t="s">
        <v>1858</v>
      </c>
      <c r="F1598" s="108">
        <v>649.80999999999995</v>
      </c>
      <c r="G1598" s="109" t="s">
        <v>1857</v>
      </c>
      <c r="H1598" s="108">
        <v>0</v>
      </c>
      <c r="I1598" s="109" t="s">
        <v>1856</v>
      </c>
      <c r="J1598" s="108">
        <v>649.80999999999995</v>
      </c>
    </row>
    <row r="1599" spans="1:10" ht="13.9" customHeight="1" x14ac:dyDescent="0.2">
      <c r="A1599" s="109"/>
      <c r="B1599" s="109"/>
      <c r="C1599" s="109"/>
      <c r="D1599" s="109"/>
      <c r="E1599" s="109" t="s">
        <v>1855</v>
      </c>
      <c r="F1599" s="108">
        <v>2626.01271</v>
      </c>
      <c r="G1599" s="109"/>
      <c r="H1599" s="140" t="s">
        <v>1854</v>
      </c>
      <c r="I1599" s="140"/>
      <c r="J1599" s="108">
        <v>12516.83</v>
      </c>
    </row>
    <row r="1600" spans="1:10" ht="30" customHeight="1" thickBot="1" x14ac:dyDescent="0.25">
      <c r="A1600" s="100"/>
      <c r="B1600" s="100"/>
      <c r="C1600" s="100"/>
      <c r="D1600" s="100"/>
      <c r="E1600" s="100"/>
      <c r="F1600" s="100"/>
      <c r="G1600" s="100" t="s">
        <v>1853</v>
      </c>
      <c r="H1600" s="107">
        <v>2</v>
      </c>
      <c r="I1600" s="100" t="s">
        <v>1852</v>
      </c>
      <c r="J1600" s="102">
        <v>25033.66</v>
      </c>
    </row>
    <row r="1601" spans="1:10" ht="1.1499999999999999" customHeight="1" thickTop="1" x14ac:dyDescent="0.2">
      <c r="A1601" s="106"/>
      <c r="B1601" s="106"/>
      <c r="C1601" s="106"/>
      <c r="D1601" s="106"/>
      <c r="E1601" s="106"/>
      <c r="F1601" s="106"/>
      <c r="G1601" s="106"/>
      <c r="H1601" s="106"/>
      <c r="I1601" s="106"/>
      <c r="J1601" s="106"/>
    </row>
    <row r="1602" spans="1:10" ht="18" customHeight="1" x14ac:dyDescent="0.2">
      <c r="A1602" s="117" t="s">
        <v>388</v>
      </c>
      <c r="B1602" s="126" t="s">
        <v>5</v>
      </c>
      <c r="C1602" s="117" t="s">
        <v>6</v>
      </c>
      <c r="D1602" s="117" t="s">
        <v>7</v>
      </c>
      <c r="E1602" s="136" t="s">
        <v>1113</v>
      </c>
      <c r="F1602" s="136"/>
      <c r="G1602" s="7" t="s">
        <v>8</v>
      </c>
      <c r="H1602" s="126" t="s">
        <v>9</v>
      </c>
      <c r="I1602" s="126" t="s">
        <v>10</v>
      </c>
      <c r="J1602" s="126" t="s">
        <v>12</v>
      </c>
    </row>
    <row r="1603" spans="1:10" ht="24" customHeight="1" x14ac:dyDescent="0.2">
      <c r="A1603" s="116" t="s">
        <v>1861</v>
      </c>
      <c r="B1603" s="1" t="s">
        <v>386</v>
      </c>
      <c r="C1603" s="116" t="s">
        <v>20</v>
      </c>
      <c r="D1603" s="116" t="s">
        <v>387</v>
      </c>
      <c r="E1603" s="137">
        <v>8</v>
      </c>
      <c r="F1603" s="137"/>
      <c r="G1603" s="2" t="s">
        <v>213</v>
      </c>
      <c r="H1603" s="115">
        <v>1</v>
      </c>
      <c r="I1603" s="61">
        <v>25.62</v>
      </c>
      <c r="J1603" s="61">
        <v>25.62</v>
      </c>
    </row>
    <row r="1604" spans="1:10" ht="24" customHeight="1" x14ac:dyDescent="0.2">
      <c r="A1604" s="113" t="s">
        <v>1859</v>
      </c>
      <c r="B1604" s="114" t="s">
        <v>1981</v>
      </c>
      <c r="C1604" s="113" t="s">
        <v>20</v>
      </c>
      <c r="D1604" s="113" t="s">
        <v>1980</v>
      </c>
      <c r="E1604" s="139" t="s">
        <v>1860</v>
      </c>
      <c r="F1604" s="139"/>
      <c r="G1604" s="112" t="s">
        <v>1864</v>
      </c>
      <c r="H1604" s="111">
        <v>0.48</v>
      </c>
      <c r="I1604" s="110">
        <v>15.97</v>
      </c>
      <c r="J1604" s="110">
        <v>7.67</v>
      </c>
    </row>
    <row r="1605" spans="1:10" ht="24" customHeight="1" x14ac:dyDescent="0.2">
      <c r="A1605" s="113" t="s">
        <v>1859</v>
      </c>
      <c r="B1605" s="114" t="s">
        <v>2411</v>
      </c>
      <c r="C1605" s="113" t="s">
        <v>20</v>
      </c>
      <c r="D1605" s="113" t="s">
        <v>2410</v>
      </c>
      <c r="E1605" s="139" t="s">
        <v>1369</v>
      </c>
      <c r="F1605" s="139"/>
      <c r="G1605" s="112" t="s">
        <v>213</v>
      </c>
      <c r="H1605" s="111">
        <v>1.01</v>
      </c>
      <c r="I1605" s="110">
        <v>12.72</v>
      </c>
      <c r="J1605" s="110">
        <v>12.85</v>
      </c>
    </row>
    <row r="1606" spans="1:10" ht="24" customHeight="1" x14ac:dyDescent="0.2">
      <c r="A1606" s="113" t="s">
        <v>1859</v>
      </c>
      <c r="B1606" s="114" t="s">
        <v>1951</v>
      </c>
      <c r="C1606" s="113" t="s">
        <v>20</v>
      </c>
      <c r="D1606" s="113" t="s">
        <v>1950</v>
      </c>
      <c r="E1606" s="139" t="s">
        <v>1860</v>
      </c>
      <c r="F1606" s="139"/>
      <c r="G1606" s="112" t="s">
        <v>1864</v>
      </c>
      <c r="H1606" s="111">
        <v>0.48</v>
      </c>
      <c r="I1606" s="110">
        <v>10.62</v>
      </c>
      <c r="J1606" s="110">
        <v>5.0999999999999996</v>
      </c>
    </row>
    <row r="1607" spans="1:10" x14ac:dyDescent="0.2">
      <c r="A1607" s="109"/>
      <c r="B1607" s="109"/>
      <c r="C1607" s="109"/>
      <c r="D1607" s="109"/>
      <c r="E1607" s="109" t="s">
        <v>1858</v>
      </c>
      <c r="F1607" s="108">
        <v>12.77</v>
      </c>
      <c r="G1607" s="109" t="s">
        <v>1857</v>
      </c>
      <c r="H1607" s="108">
        <v>0</v>
      </c>
      <c r="I1607" s="109" t="s">
        <v>1856</v>
      </c>
      <c r="J1607" s="108">
        <v>12.77</v>
      </c>
    </row>
    <row r="1608" spans="1:10" ht="13.9" customHeight="1" x14ac:dyDescent="0.2">
      <c r="A1608" s="109"/>
      <c r="B1608" s="109"/>
      <c r="C1608" s="109"/>
      <c r="D1608" s="109"/>
      <c r="E1608" s="109" t="s">
        <v>1855</v>
      </c>
      <c r="F1608" s="108">
        <v>6.8021099999999999</v>
      </c>
      <c r="G1608" s="109"/>
      <c r="H1608" s="140" t="s">
        <v>1854</v>
      </c>
      <c r="I1608" s="140"/>
      <c r="J1608" s="108">
        <v>32.42</v>
      </c>
    </row>
    <row r="1609" spans="1:10" ht="30" customHeight="1" thickBot="1" x14ac:dyDescent="0.25">
      <c r="A1609" s="100"/>
      <c r="B1609" s="100"/>
      <c r="C1609" s="100"/>
      <c r="D1609" s="100"/>
      <c r="E1609" s="100"/>
      <c r="F1609" s="100"/>
      <c r="G1609" s="100" t="s">
        <v>1853</v>
      </c>
      <c r="H1609" s="107">
        <v>10.5</v>
      </c>
      <c r="I1609" s="100" t="s">
        <v>1852</v>
      </c>
      <c r="J1609" s="102">
        <v>340.41</v>
      </c>
    </row>
    <row r="1610" spans="1:10" ht="1.1499999999999999" customHeight="1" thickTop="1" x14ac:dyDescent="0.2">
      <c r="A1610" s="106"/>
      <c r="B1610" s="106"/>
      <c r="C1610" s="106"/>
      <c r="D1610" s="106"/>
      <c r="E1610" s="106"/>
      <c r="F1610" s="106"/>
      <c r="G1610" s="106"/>
      <c r="H1610" s="106"/>
      <c r="I1610" s="106"/>
      <c r="J1610" s="106"/>
    </row>
    <row r="1611" spans="1:10" ht="18" customHeight="1" x14ac:dyDescent="0.2">
      <c r="A1611" s="117" t="s">
        <v>391</v>
      </c>
      <c r="B1611" s="126" t="s">
        <v>5</v>
      </c>
      <c r="C1611" s="117" t="s">
        <v>6</v>
      </c>
      <c r="D1611" s="117" t="s">
        <v>7</v>
      </c>
      <c r="E1611" s="136" t="s">
        <v>1113</v>
      </c>
      <c r="F1611" s="136"/>
      <c r="G1611" s="7" t="s">
        <v>8</v>
      </c>
      <c r="H1611" s="126" t="s">
        <v>9</v>
      </c>
      <c r="I1611" s="126" t="s">
        <v>10</v>
      </c>
      <c r="J1611" s="126" t="s">
        <v>12</v>
      </c>
    </row>
    <row r="1612" spans="1:10" ht="24" customHeight="1" x14ac:dyDescent="0.2">
      <c r="A1612" s="116" t="s">
        <v>1861</v>
      </c>
      <c r="B1612" s="1" t="s">
        <v>389</v>
      </c>
      <c r="C1612" s="116" t="s">
        <v>20</v>
      </c>
      <c r="D1612" s="116" t="s">
        <v>390</v>
      </c>
      <c r="E1612" s="137">
        <v>8</v>
      </c>
      <c r="F1612" s="137"/>
      <c r="G1612" s="2" t="s">
        <v>213</v>
      </c>
      <c r="H1612" s="115">
        <v>1</v>
      </c>
      <c r="I1612" s="61">
        <v>29.24</v>
      </c>
      <c r="J1612" s="61">
        <v>29.24</v>
      </c>
    </row>
    <row r="1613" spans="1:10" ht="24" customHeight="1" x14ac:dyDescent="0.2">
      <c r="A1613" s="113" t="s">
        <v>1859</v>
      </c>
      <c r="B1613" s="114" t="s">
        <v>1951</v>
      </c>
      <c r="C1613" s="113" t="s">
        <v>20</v>
      </c>
      <c r="D1613" s="113" t="s">
        <v>1950</v>
      </c>
      <c r="E1613" s="139" t="s">
        <v>1860</v>
      </c>
      <c r="F1613" s="139"/>
      <c r="G1613" s="112" t="s">
        <v>1864</v>
      </c>
      <c r="H1613" s="111">
        <v>0.52</v>
      </c>
      <c r="I1613" s="110">
        <v>10.62</v>
      </c>
      <c r="J1613" s="110">
        <v>5.52</v>
      </c>
    </row>
    <row r="1614" spans="1:10" ht="24" customHeight="1" x14ac:dyDescent="0.2">
      <c r="A1614" s="113" t="s">
        <v>1859</v>
      </c>
      <c r="B1614" s="114" t="s">
        <v>1981</v>
      </c>
      <c r="C1614" s="113" t="s">
        <v>20</v>
      </c>
      <c r="D1614" s="113" t="s">
        <v>1980</v>
      </c>
      <c r="E1614" s="139" t="s">
        <v>1860</v>
      </c>
      <c r="F1614" s="139"/>
      <c r="G1614" s="112" t="s">
        <v>1864</v>
      </c>
      <c r="H1614" s="111">
        <v>0.52</v>
      </c>
      <c r="I1614" s="110">
        <v>15.97</v>
      </c>
      <c r="J1614" s="110">
        <v>8.3000000000000007</v>
      </c>
    </row>
    <row r="1615" spans="1:10" ht="24" customHeight="1" x14ac:dyDescent="0.2">
      <c r="A1615" s="113" t="s">
        <v>1859</v>
      </c>
      <c r="B1615" s="114" t="s">
        <v>2409</v>
      </c>
      <c r="C1615" s="113" t="s">
        <v>20</v>
      </c>
      <c r="D1615" s="113" t="s">
        <v>2408</v>
      </c>
      <c r="E1615" s="139" t="s">
        <v>1369</v>
      </c>
      <c r="F1615" s="139"/>
      <c r="G1615" s="112" t="s">
        <v>213</v>
      </c>
      <c r="H1615" s="111">
        <v>1.01</v>
      </c>
      <c r="I1615" s="110">
        <v>15.27</v>
      </c>
      <c r="J1615" s="110">
        <v>15.42</v>
      </c>
    </row>
    <row r="1616" spans="1:10" x14ac:dyDescent="0.2">
      <c r="A1616" s="109"/>
      <c r="B1616" s="109"/>
      <c r="C1616" s="109"/>
      <c r="D1616" s="109"/>
      <c r="E1616" s="109" t="s">
        <v>1858</v>
      </c>
      <c r="F1616" s="108">
        <v>13.82</v>
      </c>
      <c r="G1616" s="109" t="s">
        <v>1857</v>
      </c>
      <c r="H1616" s="108">
        <v>0</v>
      </c>
      <c r="I1616" s="109" t="s">
        <v>1856</v>
      </c>
      <c r="J1616" s="108">
        <v>13.82</v>
      </c>
    </row>
    <row r="1617" spans="1:10" ht="13.9" customHeight="1" x14ac:dyDescent="0.2">
      <c r="A1617" s="109"/>
      <c r="B1617" s="109"/>
      <c r="C1617" s="109"/>
      <c r="D1617" s="109"/>
      <c r="E1617" s="109" t="s">
        <v>1855</v>
      </c>
      <c r="F1617" s="108">
        <v>7.7632199999999996</v>
      </c>
      <c r="G1617" s="109"/>
      <c r="H1617" s="140" t="s">
        <v>1854</v>
      </c>
      <c r="I1617" s="140"/>
      <c r="J1617" s="108">
        <v>37</v>
      </c>
    </row>
    <row r="1618" spans="1:10" ht="30" customHeight="1" thickBot="1" x14ac:dyDescent="0.25">
      <c r="A1618" s="100"/>
      <c r="B1618" s="100"/>
      <c r="C1618" s="100"/>
      <c r="D1618" s="100"/>
      <c r="E1618" s="100"/>
      <c r="F1618" s="100"/>
      <c r="G1618" s="100" t="s">
        <v>1853</v>
      </c>
      <c r="H1618" s="107">
        <v>34.5</v>
      </c>
      <c r="I1618" s="100" t="s">
        <v>1852</v>
      </c>
      <c r="J1618" s="102">
        <v>1276.5</v>
      </c>
    </row>
    <row r="1619" spans="1:10" ht="1.1499999999999999" customHeight="1" thickTop="1" x14ac:dyDescent="0.2">
      <c r="A1619" s="106"/>
      <c r="B1619" s="106"/>
      <c r="C1619" s="106"/>
      <c r="D1619" s="106"/>
      <c r="E1619" s="106"/>
      <c r="F1619" s="106"/>
      <c r="G1619" s="106"/>
      <c r="H1619" s="106"/>
      <c r="I1619" s="106"/>
      <c r="J1619" s="106"/>
    </row>
    <row r="1620" spans="1:10" ht="18" customHeight="1" x14ac:dyDescent="0.2">
      <c r="A1620" s="117" t="s">
        <v>394</v>
      </c>
      <c r="B1620" s="126" t="s">
        <v>5</v>
      </c>
      <c r="C1620" s="117" t="s">
        <v>6</v>
      </c>
      <c r="D1620" s="117" t="s">
        <v>7</v>
      </c>
      <c r="E1620" s="136" t="s">
        <v>1113</v>
      </c>
      <c r="F1620" s="136"/>
      <c r="G1620" s="7" t="s">
        <v>8</v>
      </c>
      <c r="H1620" s="126" t="s">
        <v>9</v>
      </c>
      <c r="I1620" s="126" t="s">
        <v>10</v>
      </c>
      <c r="J1620" s="126" t="s">
        <v>12</v>
      </c>
    </row>
    <row r="1621" spans="1:10" ht="24" customHeight="1" x14ac:dyDescent="0.2">
      <c r="A1621" s="116" t="s">
        <v>1861</v>
      </c>
      <c r="B1621" s="1" t="s">
        <v>392</v>
      </c>
      <c r="C1621" s="116" t="s">
        <v>20</v>
      </c>
      <c r="D1621" s="116" t="s">
        <v>393</v>
      </c>
      <c r="E1621" s="137">
        <v>8</v>
      </c>
      <c r="F1621" s="137"/>
      <c r="G1621" s="2" t="s">
        <v>92</v>
      </c>
      <c r="H1621" s="115">
        <v>1</v>
      </c>
      <c r="I1621" s="61">
        <v>55.2</v>
      </c>
      <c r="J1621" s="61">
        <v>55.2</v>
      </c>
    </row>
    <row r="1622" spans="1:10" ht="24" customHeight="1" x14ac:dyDescent="0.2">
      <c r="A1622" s="113" t="s">
        <v>1859</v>
      </c>
      <c r="B1622" s="114" t="s">
        <v>1981</v>
      </c>
      <c r="C1622" s="113" t="s">
        <v>20</v>
      </c>
      <c r="D1622" s="113" t="s">
        <v>1980</v>
      </c>
      <c r="E1622" s="139" t="s">
        <v>1860</v>
      </c>
      <c r="F1622" s="139"/>
      <c r="G1622" s="112" t="s">
        <v>1864</v>
      </c>
      <c r="H1622" s="111">
        <v>0.56000000000000005</v>
      </c>
      <c r="I1622" s="110">
        <v>15.97</v>
      </c>
      <c r="J1622" s="110">
        <v>8.94</v>
      </c>
    </row>
    <row r="1623" spans="1:10" ht="24" customHeight="1" x14ac:dyDescent="0.2">
      <c r="A1623" s="113" t="s">
        <v>1859</v>
      </c>
      <c r="B1623" s="114" t="s">
        <v>1951</v>
      </c>
      <c r="C1623" s="113" t="s">
        <v>20</v>
      </c>
      <c r="D1623" s="113" t="s">
        <v>1950</v>
      </c>
      <c r="E1623" s="139" t="s">
        <v>1860</v>
      </c>
      <c r="F1623" s="139"/>
      <c r="G1623" s="112" t="s">
        <v>1864</v>
      </c>
      <c r="H1623" s="111">
        <v>0.56000000000000005</v>
      </c>
      <c r="I1623" s="110">
        <v>10.62</v>
      </c>
      <c r="J1623" s="110">
        <v>5.95</v>
      </c>
    </row>
    <row r="1624" spans="1:10" ht="24" customHeight="1" x14ac:dyDescent="0.2">
      <c r="A1624" s="113" t="s">
        <v>1859</v>
      </c>
      <c r="B1624" s="114" t="s">
        <v>2407</v>
      </c>
      <c r="C1624" s="113" t="s">
        <v>20</v>
      </c>
      <c r="D1624" s="113" t="s">
        <v>2406</v>
      </c>
      <c r="E1624" s="139" t="s">
        <v>1369</v>
      </c>
      <c r="F1624" s="139"/>
      <c r="G1624" s="112" t="s">
        <v>213</v>
      </c>
      <c r="H1624" s="111">
        <v>1.01</v>
      </c>
      <c r="I1624" s="110">
        <v>39.909999999999997</v>
      </c>
      <c r="J1624" s="110">
        <v>40.31</v>
      </c>
    </row>
    <row r="1625" spans="1:10" x14ac:dyDescent="0.2">
      <c r="A1625" s="109"/>
      <c r="B1625" s="109"/>
      <c r="C1625" s="109"/>
      <c r="D1625" s="109"/>
      <c r="E1625" s="109" t="s">
        <v>1858</v>
      </c>
      <c r="F1625" s="108">
        <v>14.89</v>
      </c>
      <c r="G1625" s="109" t="s">
        <v>1857</v>
      </c>
      <c r="H1625" s="108">
        <v>0</v>
      </c>
      <c r="I1625" s="109" t="s">
        <v>1856</v>
      </c>
      <c r="J1625" s="108">
        <v>14.89</v>
      </c>
    </row>
    <row r="1626" spans="1:10" ht="13.9" customHeight="1" x14ac:dyDescent="0.2">
      <c r="A1626" s="109"/>
      <c r="B1626" s="109"/>
      <c r="C1626" s="109"/>
      <c r="D1626" s="109"/>
      <c r="E1626" s="109" t="s">
        <v>1855</v>
      </c>
      <c r="F1626" s="108">
        <v>14.6556</v>
      </c>
      <c r="G1626" s="109"/>
      <c r="H1626" s="140" t="s">
        <v>1854</v>
      </c>
      <c r="I1626" s="140"/>
      <c r="J1626" s="108">
        <v>69.86</v>
      </c>
    </row>
    <row r="1627" spans="1:10" ht="30" customHeight="1" thickBot="1" x14ac:dyDescent="0.25">
      <c r="A1627" s="100"/>
      <c r="B1627" s="100"/>
      <c r="C1627" s="100"/>
      <c r="D1627" s="100"/>
      <c r="E1627" s="100"/>
      <c r="F1627" s="100"/>
      <c r="G1627" s="100" t="s">
        <v>1853</v>
      </c>
      <c r="H1627" s="107">
        <v>100</v>
      </c>
      <c r="I1627" s="100" t="s">
        <v>1852</v>
      </c>
      <c r="J1627" s="102">
        <v>6986</v>
      </c>
    </row>
    <row r="1628" spans="1:10" ht="1.1499999999999999" customHeight="1" thickTop="1" x14ac:dyDescent="0.2">
      <c r="A1628" s="106"/>
      <c r="B1628" s="106"/>
      <c r="C1628" s="106"/>
      <c r="D1628" s="106"/>
      <c r="E1628" s="106"/>
      <c r="F1628" s="106"/>
      <c r="G1628" s="106"/>
      <c r="H1628" s="106"/>
      <c r="I1628" s="106"/>
      <c r="J1628" s="106"/>
    </row>
    <row r="1629" spans="1:10" ht="18" customHeight="1" x14ac:dyDescent="0.2">
      <c r="A1629" s="117" t="s">
        <v>397</v>
      </c>
      <c r="B1629" s="126" t="s">
        <v>5</v>
      </c>
      <c r="C1629" s="117" t="s">
        <v>6</v>
      </c>
      <c r="D1629" s="117" t="s">
        <v>7</v>
      </c>
      <c r="E1629" s="136" t="s">
        <v>1113</v>
      </c>
      <c r="F1629" s="136"/>
      <c r="G1629" s="7" t="s">
        <v>8</v>
      </c>
      <c r="H1629" s="126" t="s">
        <v>9</v>
      </c>
      <c r="I1629" s="126" t="s">
        <v>10</v>
      </c>
      <c r="J1629" s="126" t="s">
        <v>12</v>
      </c>
    </row>
    <row r="1630" spans="1:10" ht="24" customHeight="1" x14ac:dyDescent="0.2">
      <c r="A1630" s="116" t="s">
        <v>1861</v>
      </c>
      <c r="B1630" s="1" t="s">
        <v>1278</v>
      </c>
      <c r="C1630" s="116" t="s">
        <v>244</v>
      </c>
      <c r="D1630" s="116" t="s">
        <v>1277</v>
      </c>
      <c r="E1630" s="137" t="s">
        <v>1483</v>
      </c>
      <c r="F1630" s="137"/>
      <c r="G1630" s="2" t="s">
        <v>213</v>
      </c>
      <c r="H1630" s="115">
        <v>1</v>
      </c>
      <c r="I1630" s="61">
        <v>65.989999999999995</v>
      </c>
      <c r="J1630" s="61">
        <v>65.989999999999995</v>
      </c>
    </row>
    <row r="1631" spans="1:10" ht="24" customHeight="1" x14ac:dyDescent="0.2">
      <c r="A1631" s="121" t="s">
        <v>1888</v>
      </c>
      <c r="B1631" s="122" t="s">
        <v>1890</v>
      </c>
      <c r="C1631" s="121" t="s">
        <v>244</v>
      </c>
      <c r="D1631" s="121" t="s">
        <v>1889</v>
      </c>
      <c r="E1631" s="138" t="s">
        <v>1885</v>
      </c>
      <c r="F1631" s="138"/>
      <c r="G1631" s="120" t="s">
        <v>1864</v>
      </c>
      <c r="H1631" s="119">
        <v>1.1599999999999999</v>
      </c>
      <c r="I1631" s="118">
        <v>3.61</v>
      </c>
      <c r="J1631" s="118">
        <v>4.1900000000000004</v>
      </c>
    </row>
    <row r="1632" spans="1:10" ht="24" customHeight="1" x14ac:dyDescent="0.2">
      <c r="A1632" s="121" t="s">
        <v>1888</v>
      </c>
      <c r="B1632" s="122" t="s">
        <v>1887</v>
      </c>
      <c r="C1632" s="121" t="s">
        <v>244</v>
      </c>
      <c r="D1632" s="121" t="s">
        <v>1886</v>
      </c>
      <c r="E1632" s="138" t="s">
        <v>1885</v>
      </c>
      <c r="F1632" s="138"/>
      <c r="G1632" s="120" t="s">
        <v>1864</v>
      </c>
      <c r="H1632" s="119">
        <v>0.8</v>
      </c>
      <c r="I1632" s="118">
        <v>3.51</v>
      </c>
      <c r="J1632" s="118">
        <v>2.81</v>
      </c>
    </row>
    <row r="1633" spans="1:10" ht="24" customHeight="1" x14ac:dyDescent="0.2">
      <c r="A1633" s="113" t="s">
        <v>1859</v>
      </c>
      <c r="B1633" s="114" t="s">
        <v>2405</v>
      </c>
      <c r="C1633" s="113" t="s">
        <v>244</v>
      </c>
      <c r="D1633" s="113" t="s">
        <v>2404</v>
      </c>
      <c r="E1633" s="139" t="s">
        <v>1860</v>
      </c>
      <c r="F1633" s="139"/>
      <c r="G1633" s="112" t="s">
        <v>1864</v>
      </c>
      <c r="H1633" s="111">
        <v>0.2</v>
      </c>
      <c r="I1633" s="110">
        <v>16.883099999999999</v>
      </c>
      <c r="J1633" s="110">
        <v>3.38</v>
      </c>
    </row>
    <row r="1634" spans="1:10" ht="24" customHeight="1" x14ac:dyDescent="0.2">
      <c r="A1634" s="113" t="s">
        <v>1859</v>
      </c>
      <c r="B1634" s="114" t="s">
        <v>2403</v>
      </c>
      <c r="C1634" s="113" t="s">
        <v>244</v>
      </c>
      <c r="D1634" s="113" t="s">
        <v>2402</v>
      </c>
      <c r="E1634" s="139" t="s">
        <v>1369</v>
      </c>
      <c r="F1634" s="139"/>
      <c r="G1634" s="112" t="s">
        <v>213</v>
      </c>
      <c r="H1634" s="111">
        <v>1</v>
      </c>
      <c r="I1634" s="110">
        <v>10.34</v>
      </c>
      <c r="J1634" s="110">
        <v>10.34</v>
      </c>
    </row>
    <row r="1635" spans="1:10" ht="24" customHeight="1" x14ac:dyDescent="0.2">
      <c r="A1635" s="113" t="s">
        <v>1859</v>
      </c>
      <c r="B1635" s="114" t="s">
        <v>2401</v>
      </c>
      <c r="C1635" s="113" t="s">
        <v>25</v>
      </c>
      <c r="D1635" s="113" t="s">
        <v>2400</v>
      </c>
      <c r="E1635" s="139" t="s">
        <v>1369</v>
      </c>
      <c r="F1635" s="139"/>
      <c r="G1635" s="112" t="s">
        <v>49</v>
      </c>
      <c r="H1635" s="111">
        <v>0.01</v>
      </c>
      <c r="I1635" s="110">
        <v>141.32</v>
      </c>
      <c r="J1635" s="110">
        <v>1.41</v>
      </c>
    </row>
    <row r="1636" spans="1:10" ht="24" customHeight="1" x14ac:dyDescent="0.2">
      <c r="A1636" s="113" t="s">
        <v>1859</v>
      </c>
      <c r="B1636" s="114" t="s">
        <v>2399</v>
      </c>
      <c r="C1636" s="113" t="s">
        <v>25</v>
      </c>
      <c r="D1636" s="113" t="s">
        <v>2398</v>
      </c>
      <c r="E1636" s="139" t="s">
        <v>1369</v>
      </c>
      <c r="F1636" s="139"/>
      <c r="G1636" s="112" t="s">
        <v>22</v>
      </c>
      <c r="H1636" s="111">
        <v>1.3</v>
      </c>
      <c r="I1636" s="110">
        <v>11.04</v>
      </c>
      <c r="J1636" s="110">
        <v>14.35</v>
      </c>
    </row>
    <row r="1637" spans="1:10" ht="24" customHeight="1" x14ac:dyDescent="0.2">
      <c r="A1637" s="113" t="s">
        <v>1859</v>
      </c>
      <c r="B1637" s="114" t="s">
        <v>2397</v>
      </c>
      <c r="C1637" s="113" t="s">
        <v>25</v>
      </c>
      <c r="D1637" s="113" t="s">
        <v>2396</v>
      </c>
      <c r="E1637" s="139" t="s">
        <v>1369</v>
      </c>
      <c r="F1637" s="139"/>
      <c r="G1637" s="112" t="s">
        <v>49</v>
      </c>
      <c r="H1637" s="111">
        <v>0.06</v>
      </c>
      <c r="I1637" s="110">
        <v>80.48</v>
      </c>
      <c r="J1637" s="110">
        <v>4.83</v>
      </c>
    </row>
    <row r="1638" spans="1:10" ht="24" customHeight="1" x14ac:dyDescent="0.2">
      <c r="A1638" s="113" t="s">
        <v>1859</v>
      </c>
      <c r="B1638" s="114" t="s">
        <v>1882</v>
      </c>
      <c r="C1638" s="113" t="s">
        <v>25</v>
      </c>
      <c r="D1638" s="113" t="s">
        <v>1865</v>
      </c>
      <c r="E1638" s="139" t="s">
        <v>1860</v>
      </c>
      <c r="F1638" s="139"/>
      <c r="G1638" s="112" t="s">
        <v>61</v>
      </c>
      <c r="H1638" s="111">
        <v>0.8</v>
      </c>
      <c r="I1638" s="110">
        <v>15.71</v>
      </c>
      <c r="J1638" s="110">
        <v>12.57</v>
      </c>
    </row>
    <row r="1639" spans="1:10" ht="24" customHeight="1" x14ac:dyDescent="0.2">
      <c r="A1639" s="113" t="s">
        <v>1859</v>
      </c>
      <c r="B1639" s="114" t="s">
        <v>1881</v>
      </c>
      <c r="C1639" s="113" t="s">
        <v>25</v>
      </c>
      <c r="D1639" s="113" t="s">
        <v>1880</v>
      </c>
      <c r="E1639" s="139" t="s">
        <v>1860</v>
      </c>
      <c r="F1639" s="139"/>
      <c r="G1639" s="112" t="s">
        <v>61</v>
      </c>
      <c r="H1639" s="111">
        <v>1.1599999999999999</v>
      </c>
      <c r="I1639" s="110">
        <v>10.44</v>
      </c>
      <c r="J1639" s="110">
        <v>12.11</v>
      </c>
    </row>
    <row r="1640" spans="1:10" x14ac:dyDescent="0.2">
      <c r="A1640" s="109"/>
      <c r="B1640" s="109"/>
      <c r="C1640" s="109"/>
      <c r="D1640" s="109"/>
      <c r="E1640" s="109" t="s">
        <v>1858</v>
      </c>
      <c r="F1640" s="108">
        <v>28.06</v>
      </c>
      <c r="G1640" s="109" t="s">
        <v>1857</v>
      </c>
      <c r="H1640" s="108">
        <v>0</v>
      </c>
      <c r="I1640" s="109" t="s">
        <v>1856</v>
      </c>
      <c r="J1640" s="108">
        <v>28.06</v>
      </c>
    </row>
    <row r="1641" spans="1:10" ht="13.9" customHeight="1" x14ac:dyDescent="0.2">
      <c r="A1641" s="109"/>
      <c r="B1641" s="109"/>
      <c r="C1641" s="109"/>
      <c r="D1641" s="109"/>
      <c r="E1641" s="109" t="s">
        <v>1855</v>
      </c>
      <c r="F1641" s="108">
        <v>17.520344999999999</v>
      </c>
      <c r="G1641" s="109"/>
      <c r="H1641" s="140" t="s">
        <v>1854</v>
      </c>
      <c r="I1641" s="140"/>
      <c r="J1641" s="108">
        <v>83.51</v>
      </c>
    </row>
    <row r="1642" spans="1:10" ht="30" customHeight="1" thickBot="1" x14ac:dyDescent="0.25">
      <c r="A1642" s="100"/>
      <c r="B1642" s="100"/>
      <c r="C1642" s="100"/>
      <c r="D1642" s="100"/>
      <c r="E1642" s="100"/>
      <c r="F1642" s="100"/>
      <c r="G1642" s="100" t="s">
        <v>1853</v>
      </c>
      <c r="H1642" s="107">
        <v>147</v>
      </c>
      <c r="I1642" s="100" t="s">
        <v>1852</v>
      </c>
      <c r="J1642" s="102">
        <v>12275.97</v>
      </c>
    </row>
    <row r="1643" spans="1:10" ht="1.1499999999999999" customHeight="1" thickTop="1" x14ac:dyDescent="0.2">
      <c r="A1643" s="106"/>
      <c r="B1643" s="106"/>
      <c r="C1643" s="106"/>
      <c r="D1643" s="106"/>
      <c r="E1643" s="106"/>
      <c r="F1643" s="106"/>
      <c r="G1643" s="106"/>
      <c r="H1643" s="106"/>
      <c r="I1643" s="106"/>
      <c r="J1643" s="106"/>
    </row>
    <row r="1644" spans="1:10" ht="18" customHeight="1" x14ac:dyDescent="0.2">
      <c r="A1644" s="117" t="s">
        <v>398</v>
      </c>
      <c r="B1644" s="126" t="s">
        <v>5</v>
      </c>
      <c r="C1644" s="117" t="s">
        <v>6</v>
      </c>
      <c r="D1644" s="117" t="s">
        <v>7</v>
      </c>
      <c r="E1644" s="136" t="s">
        <v>1113</v>
      </c>
      <c r="F1644" s="136"/>
      <c r="G1644" s="7" t="s">
        <v>8</v>
      </c>
      <c r="H1644" s="126" t="s">
        <v>9</v>
      </c>
      <c r="I1644" s="126" t="s">
        <v>10</v>
      </c>
      <c r="J1644" s="126" t="s">
        <v>12</v>
      </c>
    </row>
    <row r="1645" spans="1:10" ht="24" customHeight="1" x14ac:dyDescent="0.2">
      <c r="A1645" s="116" t="s">
        <v>1861</v>
      </c>
      <c r="B1645" s="1" t="s">
        <v>399</v>
      </c>
      <c r="C1645" s="116" t="s">
        <v>20</v>
      </c>
      <c r="D1645" s="116" t="s">
        <v>400</v>
      </c>
      <c r="E1645" s="137">
        <v>8</v>
      </c>
      <c r="F1645" s="137"/>
      <c r="G1645" s="2" t="s">
        <v>246</v>
      </c>
      <c r="H1645" s="115">
        <v>1</v>
      </c>
      <c r="I1645" s="61">
        <v>405.95</v>
      </c>
      <c r="J1645" s="61">
        <v>405.95</v>
      </c>
    </row>
    <row r="1646" spans="1:10" ht="24" customHeight="1" x14ac:dyDescent="0.2">
      <c r="A1646" s="113" t="s">
        <v>1859</v>
      </c>
      <c r="B1646" s="114" t="s">
        <v>2082</v>
      </c>
      <c r="C1646" s="113" t="s">
        <v>20</v>
      </c>
      <c r="D1646" s="113" t="s">
        <v>2081</v>
      </c>
      <c r="E1646" s="139" t="s">
        <v>1369</v>
      </c>
      <c r="F1646" s="139"/>
      <c r="G1646" s="112" t="s">
        <v>96</v>
      </c>
      <c r="H1646" s="111">
        <v>1.1246</v>
      </c>
      <c r="I1646" s="110">
        <v>9.2200000000000006</v>
      </c>
      <c r="J1646" s="110">
        <v>10.37</v>
      </c>
    </row>
    <row r="1647" spans="1:10" ht="24" customHeight="1" x14ac:dyDescent="0.2">
      <c r="A1647" s="113" t="s">
        <v>1859</v>
      </c>
      <c r="B1647" s="114" t="s">
        <v>1899</v>
      </c>
      <c r="C1647" s="113" t="s">
        <v>20</v>
      </c>
      <c r="D1647" s="113" t="s">
        <v>1898</v>
      </c>
      <c r="E1647" s="139" t="s">
        <v>1369</v>
      </c>
      <c r="F1647" s="139"/>
      <c r="G1647" s="112" t="s">
        <v>49</v>
      </c>
      <c r="H1647" s="111">
        <v>0.1007</v>
      </c>
      <c r="I1647" s="110">
        <v>162.78</v>
      </c>
      <c r="J1647" s="110">
        <v>16.39</v>
      </c>
    </row>
    <row r="1648" spans="1:10" ht="24" customHeight="1" x14ac:dyDescent="0.2">
      <c r="A1648" s="113" t="s">
        <v>1859</v>
      </c>
      <c r="B1648" s="114" t="s">
        <v>2076</v>
      </c>
      <c r="C1648" s="113" t="s">
        <v>20</v>
      </c>
      <c r="D1648" s="113" t="s">
        <v>2075</v>
      </c>
      <c r="E1648" s="139" t="s">
        <v>1369</v>
      </c>
      <c r="F1648" s="139"/>
      <c r="G1648" s="112" t="s">
        <v>49</v>
      </c>
      <c r="H1648" s="111">
        <v>8.9999999999999993E-3</v>
      </c>
      <c r="I1648" s="110">
        <v>100.76</v>
      </c>
      <c r="J1648" s="110">
        <v>0.91</v>
      </c>
    </row>
    <row r="1649" spans="1:10" ht="24" customHeight="1" x14ac:dyDescent="0.2">
      <c r="A1649" s="113" t="s">
        <v>1859</v>
      </c>
      <c r="B1649" s="114" t="s">
        <v>2074</v>
      </c>
      <c r="C1649" s="113" t="s">
        <v>20</v>
      </c>
      <c r="D1649" s="113" t="s">
        <v>2073</v>
      </c>
      <c r="E1649" s="139" t="s">
        <v>1369</v>
      </c>
      <c r="F1649" s="139"/>
      <c r="G1649" s="112" t="s">
        <v>96</v>
      </c>
      <c r="H1649" s="111">
        <v>2.2100000000000002E-2</v>
      </c>
      <c r="I1649" s="110">
        <v>22.63</v>
      </c>
      <c r="J1649" s="110">
        <v>0.5</v>
      </c>
    </row>
    <row r="1650" spans="1:10" ht="24" customHeight="1" x14ac:dyDescent="0.2">
      <c r="A1650" s="113" t="s">
        <v>1859</v>
      </c>
      <c r="B1650" s="114" t="s">
        <v>2156</v>
      </c>
      <c r="C1650" s="113" t="s">
        <v>20</v>
      </c>
      <c r="D1650" s="113" t="s">
        <v>2155</v>
      </c>
      <c r="E1650" s="139" t="s">
        <v>1369</v>
      </c>
      <c r="F1650" s="139"/>
      <c r="G1650" s="112" t="s">
        <v>49</v>
      </c>
      <c r="H1650" s="111">
        <v>1.9199999999999998E-2</v>
      </c>
      <c r="I1650" s="110">
        <v>116.12</v>
      </c>
      <c r="J1650" s="110">
        <v>2.23</v>
      </c>
    </row>
    <row r="1651" spans="1:10" ht="24" customHeight="1" x14ac:dyDescent="0.2">
      <c r="A1651" s="113" t="s">
        <v>1859</v>
      </c>
      <c r="B1651" s="114" t="s">
        <v>2072</v>
      </c>
      <c r="C1651" s="113" t="s">
        <v>20</v>
      </c>
      <c r="D1651" s="113" t="s">
        <v>2071</v>
      </c>
      <c r="E1651" s="139" t="s">
        <v>1369</v>
      </c>
      <c r="F1651" s="139"/>
      <c r="G1651" s="112" t="s">
        <v>49</v>
      </c>
      <c r="H1651" s="111">
        <v>2.2200000000000001E-2</v>
      </c>
      <c r="I1651" s="110">
        <v>100.76</v>
      </c>
      <c r="J1651" s="110">
        <v>2.2400000000000002</v>
      </c>
    </row>
    <row r="1652" spans="1:10" ht="24" customHeight="1" x14ac:dyDescent="0.2">
      <c r="A1652" s="113" t="s">
        <v>1859</v>
      </c>
      <c r="B1652" s="114" t="s">
        <v>2070</v>
      </c>
      <c r="C1652" s="113" t="s">
        <v>20</v>
      </c>
      <c r="D1652" s="113" t="s">
        <v>2069</v>
      </c>
      <c r="E1652" s="139" t="s">
        <v>1369</v>
      </c>
      <c r="F1652" s="139"/>
      <c r="G1652" s="112" t="s">
        <v>49</v>
      </c>
      <c r="H1652" s="111">
        <v>1.1599999999999999E-2</v>
      </c>
      <c r="I1652" s="110">
        <v>169.44</v>
      </c>
      <c r="J1652" s="110">
        <v>1.97</v>
      </c>
    </row>
    <row r="1653" spans="1:10" ht="24" customHeight="1" x14ac:dyDescent="0.2">
      <c r="A1653" s="113" t="s">
        <v>1859</v>
      </c>
      <c r="B1653" s="114" t="s">
        <v>2395</v>
      </c>
      <c r="C1653" s="113" t="s">
        <v>20</v>
      </c>
      <c r="D1653" s="113" t="s">
        <v>2394</v>
      </c>
      <c r="E1653" s="139" t="s">
        <v>1369</v>
      </c>
      <c r="F1653" s="139"/>
      <c r="G1653" s="112" t="s">
        <v>22</v>
      </c>
      <c r="H1653" s="111">
        <v>6.1699999999999998E-2</v>
      </c>
      <c r="I1653" s="110">
        <v>24.76</v>
      </c>
      <c r="J1653" s="110">
        <v>1.53</v>
      </c>
    </row>
    <row r="1654" spans="1:10" ht="24" customHeight="1" x14ac:dyDescent="0.2">
      <c r="A1654" s="113" t="s">
        <v>1859</v>
      </c>
      <c r="B1654" s="114" t="s">
        <v>2393</v>
      </c>
      <c r="C1654" s="113" t="s">
        <v>20</v>
      </c>
      <c r="D1654" s="113" t="s">
        <v>2392</v>
      </c>
      <c r="E1654" s="139" t="s">
        <v>1369</v>
      </c>
      <c r="F1654" s="139"/>
      <c r="G1654" s="112" t="s">
        <v>96</v>
      </c>
      <c r="H1654" s="111">
        <v>4.3452000000000002</v>
      </c>
      <c r="I1654" s="110">
        <v>10.01</v>
      </c>
      <c r="J1654" s="110">
        <v>43.5</v>
      </c>
    </row>
    <row r="1655" spans="1:10" ht="24" customHeight="1" x14ac:dyDescent="0.2">
      <c r="A1655" s="113" t="s">
        <v>1859</v>
      </c>
      <c r="B1655" s="114" t="s">
        <v>1975</v>
      </c>
      <c r="C1655" s="113" t="s">
        <v>20</v>
      </c>
      <c r="D1655" s="113" t="s">
        <v>1974</v>
      </c>
      <c r="E1655" s="139" t="s">
        <v>1369</v>
      </c>
      <c r="F1655" s="139"/>
      <c r="G1655" s="112" t="s">
        <v>246</v>
      </c>
      <c r="H1655" s="111">
        <v>4.6300000000000001E-2</v>
      </c>
      <c r="I1655" s="110">
        <v>7.17</v>
      </c>
      <c r="J1655" s="110">
        <v>0.33</v>
      </c>
    </row>
    <row r="1656" spans="1:10" ht="24" customHeight="1" x14ac:dyDescent="0.2">
      <c r="A1656" s="113" t="s">
        <v>1859</v>
      </c>
      <c r="B1656" s="114" t="s">
        <v>1971</v>
      </c>
      <c r="C1656" s="113" t="s">
        <v>20</v>
      </c>
      <c r="D1656" s="113" t="s">
        <v>1970</v>
      </c>
      <c r="E1656" s="139" t="s">
        <v>1369</v>
      </c>
      <c r="F1656" s="139"/>
      <c r="G1656" s="112" t="s">
        <v>246</v>
      </c>
      <c r="H1656" s="111">
        <v>1.2E-2</v>
      </c>
      <c r="I1656" s="110">
        <v>15.46</v>
      </c>
      <c r="J1656" s="110">
        <v>0.19</v>
      </c>
    </row>
    <row r="1657" spans="1:10" ht="24" customHeight="1" x14ac:dyDescent="0.2">
      <c r="A1657" s="113" t="s">
        <v>1859</v>
      </c>
      <c r="B1657" s="114" t="s">
        <v>2008</v>
      </c>
      <c r="C1657" s="113" t="s">
        <v>20</v>
      </c>
      <c r="D1657" s="113" t="s">
        <v>2007</v>
      </c>
      <c r="E1657" s="139" t="s">
        <v>1369</v>
      </c>
      <c r="F1657" s="139"/>
      <c r="G1657" s="112" t="s">
        <v>96</v>
      </c>
      <c r="H1657" s="111">
        <v>15.071099999999999</v>
      </c>
      <c r="I1657" s="110">
        <v>0.75</v>
      </c>
      <c r="J1657" s="110">
        <v>11.3</v>
      </c>
    </row>
    <row r="1658" spans="1:10" ht="24" customHeight="1" x14ac:dyDescent="0.2">
      <c r="A1658" s="113" t="s">
        <v>1859</v>
      </c>
      <c r="B1658" s="114" t="s">
        <v>1967</v>
      </c>
      <c r="C1658" s="113" t="s">
        <v>20</v>
      </c>
      <c r="D1658" s="113" t="s">
        <v>1966</v>
      </c>
      <c r="E1658" s="139" t="s">
        <v>1369</v>
      </c>
      <c r="F1658" s="139"/>
      <c r="G1658" s="112" t="s">
        <v>96</v>
      </c>
      <c r="H1658" s="111">
        <v>3.5999999999999997E-2</v>
      </c>
      <c r="I1658" s="110">
        <v>20.62</v>
      </c>
      <c r="J1658" s="110">
        <v>0.74</v>
      </c>
    </row>
    <row r="1659" spans="1:10" ht="24" customHeight="1" x14ac:dyDescent="0.2">
      <c r="A1659" s="113" t="s">
        <v>1859</v>
      </c>
      <c r="B1659" s="114" t="s">
        <v>2391</v>
      </c>
      <c r="C1659" s="113" t="s">
        <v>20</v>
      </c>
      <c r="D1659" s="113" t="s">
        <v>1972</v>
      </c>
      <c r="E1659" s="139" t="s">
        <v>1369</v>
      </c>
      <c r="F1659" s="139"/>
      <c r="G1659" s="112" t="s">
        <v>246</v>
      </c>
      <c r="H1659" s="111">
        <v>1</v>
      </c>
      <c r="I1659" s="110">
        <v>34.24</v>
      </c>
      <c r="J1659" s="110">
        <v>34.24</v>
      </c>
    </row>
    <row r="1660" spans="1:10" ht="24" customHeight="1" x14ac:dyDescent="0.2">
      <c r="A1660" s="113" t="s">
        <v>1859</v>
      </c>
      <c r="B1660" s="114" t="s">
        <v>1897</v>
      </c>
      <c r="C1660" s="113" t="s">
        <v>20</v>
      </c>
      <c r="D1660" s="113" t="s">
        <v>1896</v>
      </c>
      <c r="E1660" s="139" t="s">
        <v>1369</v>
      </c>
      <c r="F1660" s="139"/>
      <c r="G1660" s="112" t="s">
        <v>96</v>
      </c>
      <c r="H1660" s="111">
        <v>16.488800000000001</v>
      </c>
      <c r="I1660" s="110">
        <v>0.6</v>
      </c>
      <c r="J1660" s="110">
        <v>9.89</v>
      </c>
    </row>
    <row r="1661" spans="1:10" ht="24" customHeight="1" x14ac:dyDescent="0.2">
      <c r="A1661" s="113" t="s">
        <v>1859</v>
      </c>
      <c r="B1661" s="114" t="s">
        <v>2204</v>
      </c>
      <c r="C1661" s="113" t="s">
        <v>20</v>
      </c>
      <c r="D1661" s="113" t="s">
        <v>2203</v>
      </c>
      <c r="E1661" s="139" t="s">
        <v>1369</v>
      </c>
      <c r="F1661" s="139"/>
      <c r="G1661" s="112" t="s">
        <v>96</v>
      </c>
      <c r="H1661" s="111">
        <v>0.65959999999999996</v>
      </c>
      <c r="I1661" s="110">
        <v>6.12</v>
      </c>
      <c r="J1661" s="110">
        <v>4.04</v>
      </c>
    </row>
    <row r="1662" spans="1:10" ht="24" customHeight="1" x14ac:dyDescent="0.2">
      <c r="A1662" s="113" t="s">
        <v>1859</v>
      </c>
      <c r="B1662" s="114" t="s">
        <v>2390</v>
      </c>
      <c r="C1662" s="113" t="s">
        <v>20</v>
      </c>
      <c r="D1662" s="113" t="s">
        <v>2389</v>
      </c>
      <c r="E1662" s="139" t="s">
        <v>1369</v>
      </c>
      <c r="F1662" s="139"/>
      <c r="G1662" s="112" t="s">
        <v>96</v>
      </c>
      <c r="H1662" s="111">
        <v>1.5204</v>
      </c>
      <c r="I1662" s="110">
        <v>13.28</v>
      </c>
      <c r="J1662" s="110">
        <v>20.190000000000001</v>
      </c>
    </row>
    <row r="1663" spans="1:10" ht="24" customHeight="1" x14ac:dyDescent="0.2">
      <c r="A1663" s="113" t="s">
        <v>1859</v>
      </c>
      <c r="B1663" s="114" t="s">
        <v>2012</v>
      </c>
      <c r="C1663" s="113" t="s">
        <v>20</v>
      </c>
      <c r="D1663" s="113" t="s">
        <v>2011</v>
      </c>
      <c r="E1663" s="139" t="s">
        <v>1369</v>
      </c>
      <c r="F1663" s="139"/>
      <c r="G1663" s="112" t="s">
        <v>246</v>
      </c>
      <c r="H1663" s="111">
        <v>147.84</v>
      </c>
      <c r="I1663" s="110">
        <v>0.52</v>
      </c>
      <c r="J1663" s="110">
        <v>76.88</v>
      </c>
    </row>
    <row r="1664" spans="1:10" ht="24" customHeight="1" x14ac:dyDescent="0.2">
      <c r="A1664" s="113" t="s">
        <v>1859</v>
      </c>
      <c r="B1664" s="114" t="s">
        <v>2388</v>
      </c>
      <c r="C1664" s="113" t="s">
        <v>20</v>
      </c>
      <c r="D1664" s="113" t="s">
        <v>2387</v>
      </c>
      <c r="E1664" s="139" t="s">
        <v>1369</v>
      </c>
      <c r="F1664" s="139"/>
      <c r="G1664" s="112" t="s">
        <v>96</v>
      </c>
      <c r="H1664" s="111">
        <v>1.6032</v>
      </c>
      <c r="I1664" s="110">
        <v>11.97</v>
      </c>
      <c r="J1664" s="110">
        <v>19.190000000000001</v>
      </c>
    </row>
    <row r="1665" spans="1:10" ht="24" customHeight="1" x14ac:dyDescent="0.2">
      <c r="A1665" s="113" t="s">
        <v>1859</v>
      </c>
      <c r="B1665" s="114" t="s">
        <v>1963</v>
      </c>
      <c r="C1665" s="113" t="s">
        <v>20</v>
      </c>
      <c r="D1665" s="113" t="s">
        <v>1962</v>
      </c>
      <c r="E1665" s="139" t="s">
        <v>1369</v>
      </c>
      <c r="F1665" s="139"/>
      <c r="G1665" s="112" t="s">
        <v>246</v>
      </c>
      <c r="H1665" s="111">
        <v>6.0299999999999999E-2</v>
      </c>
      <c r="I1665" s="110">
        <v>2.14</v>
      </c>
      <c r="J1665" s="110">
        <v>0.13</v>
      </c>
    </row>
    <row r="1666" spans="1:10" ht="24" customHeight="1" x14ac:dyDescent="0.2">
      <c r="A1666" s="113" t="s">
        <v>1859</v>
      </c>
      <c r="B1666" s="114" t="s">
        <v>2068</v>
      </c>
      <c r="C1666" s="113" t="s">
        <v>20</v>
      </c>
      <c r="D1666" s="113" t="s">
        <v>2067</v>
      </c>
      <c r="E1666" s="139" t="s">
        <v>1369</v>
      </c>
      <c r="F1666" s="139"/>
      <c r="G1666" s="112" t="s">
        <v>213</v>
      </c>
      <c r="H1666" s="111">
        <v>7.2800000000000004E-2</v>
      </c>
      <c r="I1666" s="110">
        <v>15.39</v>
      </c>
      <c r="J1666" s="110">
        <v>1.1200000000000001</v>
      </c>
    </row>
    <row r="1667" spans="1:10" ht="24" customHeight="1" x14ac:dyDescent="0.2">
      <c r="A1667" s="113" t="s">
        <v>1859</v>
      </c>
      <c r="B1667" s="114" t="s">
        <v>1961</v>
      </c>
      <c r="C1667" s="113" t="s">
        <v>20</v>
      </c>
      <c r="D1667" s="113" t="s">
        <v>1960</v>
      </c>
      <c r="E1667" s="139" t="s">
        <v>1369</v>
      </c>
      <c r="F1667" s="139"/>
      <c r="G1667" s="112" t="s">
        <v>96</v>
      </c>
      <c r="H1667" s="111">
        <v>4.82E-2</v>
      </c>
      <c r="I1667" s="110">
        <v>27.58</v>
      </c>
      <c r="J1667" s="110">
        <v>1.33</v>
      </c>
    </row>
    <row r="1668" spans="1:10" ht="24" customHeight="1" x14ac:dyDescent="0.2">
      <c r="A1668" s="113" t="s">
        <v>1859</v>
      </c>
      <c r="B1668" s="114" t="s">
        <v>2066</v>
      </c>
      <c r="C1668" s="113" t="s">
        <v>20</v>
      </c>
      <c r="D1668" s="113" t="s">
        <v>2065</v>
      </c>
      <c r="E1668" s="139" t="s">
        <v>1369</v>
      </c>
      <c r="F1668" s="139"/>
      <c r="G1668" s="112" t="s">
        <v>96</v>
      </c>
      <c r="H1668" s="111">
        <v>3.5999999999999999E-3</v>
      </c>
      <c r="I1668" s="110">
        <v>18.170000000000002</v>
      </c>
      <c r="J1668" s="110">
        <v>7.0000000000000007E-2</v>
      </c>
    </row>
    <row r="1669" spans="1:10" ht="24" customHeight="1" x14ac:dyDescent="0.2">
      <c r="A1669" s="113" t="s">
        <v>1859</v>
      </c>
      <c r="B1669" s="114" t="s">
        <v>1866</v>
      </c>
      <c r="C1669" s="113" t="s">
        <v>20</v>
      </c>
      <c r="D1669" s="113" t="s">
        <v>1865</v>
      </c>
      <c r="E1669" s="139" t="s">
        <v>1860</v>
      </c>
      <c r="F1669" s="139"/>
      <c r="G1669" s="112" t="s">
        <v>1864</v>
      </c>
      <c r="H1669" s="111">
        <v>4.7872000000000003</v>
      </c>
      <c r="I1669" s="110">
        <v>15.97</v>
      </c>
      <c r="J1669" s="110">
        <v>76.45</v>
      </c>
    </row>
    <row r="1670" spans="1:10" ht="24" customHeight="1" x14ac:dyDescent="0.2">
      <c r="A1670" s="113" t="s">
        <v>1859</v>
      </c>
      <c r="B1670" s="114" t="s">
        <v>2064</v>
      </c>
      <c r="C1670" s="113" t="s">
        <v>20</v>
      </c>
      <c r="D1670" s="113" t="s">
        <v>2063</v>
      </c>
      <c r="E1670" s="139" t="s">
        <v>1860</v>
      </c>
      <c r="F1670" s="139"/>
      <c r="G1670" s="112" t="s">
        <v>1864</v>
      </c>
      <c r="H1670" s="111">
        <v>7.0900000000000005E-2</v>
      </c>
      <c r="I1670" s="110">
        <v>15.97</v>
      </c>
      <c r="J1670" s="110">
        <v>1.1299999999999999</v>
      </c>
    </row>
    <row r="1671" spans="1:10" ht="24" customHeight="1" x14ac:dyDescent="0.2">
      <c r="A1671" s="113" t="s">
        <v>1859</v>
      </c>
      <c r="B1671" s="114" t="s">
        <v>2062</v>
      </c>
      <c r="C1671" s="113" t="s">
        <v>20</v>
      </c>
      <c r="D1671" s="113" t="s">
        <v>2061</v>
      </c>
      <c r="E1671" s="139" t="s">
        <v>1860</v>
      </c>
      <c r="F1671" s="139"/>
      <c r="G1671" s="112" t="s">
        <v>1864</v>
      </c>
      <c r="H1671" s="111">
        <v>9.2999999999999992E-3</v>
      </c>
      <c r="I1671" s="110">
        <v>12.74</v>
      </c>
      <c r="J1671" s="110">
        <v>0.12</v>
      </c>
    </row>
    <row r="1672" spans="1:10" ht="24" customHeight="1" x14ac:dyDescent="0.2">
      <c r="A1672" s="113" t="s">
        <v>1859</v>
      </c>
      <c r="B1672" s="114" t="s">
        <v>1872</v>
      </c>
      <c r="C1672" s="113" t="s">
        <v>20</v>
      </c>
      <c r="D1672" s="113" t="s">
        <v>1871</v>
      </c>
      <c r="E1672" s="139" t="s">
        <v>1860</v>
      </c>
      <c r="F1672" s="139"/>
      <c r="G1672" s="112" t="s">
        <v>1864</v>
      </c>
      <c r="H1672" s="111">
        <v>6.3609999999999998</v>
      </c>
      <c r="I1672" s="110">
        <v>10.62</v>
      </c>
      <c r="J1672" s="110">
        <v>67.55</v>
      </c>
    </row>
    <row r="1673" spans="1:10" ht="24" customHeight="1" x14ac:dyDescent="0.2">
      <c r="A1673" s="113" t="s">
        <v>1859</v>
      </c>
      <c r="B1673" s="114" t="s">
        <v>1951</v>
      </c>
      <c r="C1673" s="113" t="s">
        <v>20</v>
      </c>
      <c r="D1673" s="113" t="s">
        <v>1950</v>
      </c>
      <c r="E1673" s="139" t="s">
        <v>1860</v>
      </c>
      <c r="F1673" s="139"/>
      <c r="G1673" s="112" t="s">
        <v>1864</v>
      </c>
      <c r="H1673" s="111">
        <v>9.0800000000000006E-2</v>
      </c>
      <c r="I1673" s="110">
        <v>10.62</v>
      </c>
      <c r="J1673" s="110">
        <v>0.96</v>
      </c>
    </row>
    <row r="1674" spans="1:10" ht="24" customHeight="1" x14ac:dyDescent="0.2">
      <c r="A1674" s="113" t="s">
        <v>1859</v>
      </c>
      <c r="B1674" s="114" t="s">
        <v>1949</v>
      </c>
      <c r="C1674" s="113" t="s">
        <v>20</v>
      </c>
      <c r="D1674" s="113" t="s">
        <v>1948</v>
      </c>
      <c r="E1674" s="139" t="s">
        <v>1860</v>
      </c>
      <c r="F1674" s="139"/>
      <c r="G1674" s="112" t="s">
        <v>1864</v>
      </c>
      <c r="H1674" s="111">
        <v>9.2999999999999992E-3</v>
      </c>
      <c r="I1674" s="110">
        <v>15.97</v>
      </c>
      <c r="J1674" s="110">
        <v>0.15</v>
      </c>
    </row>
    <row r="1675" spans="1:10" ht="24" customHeight="1" x14ac:dyDescent="0.2">
      <c r="A1675" s="113" t="s">
        <v>1859</v>
      </c>
      <c r="B1675" s="114" t="s">
        <v>2060</v>
      </c>
      <c r="C1675" s="113" t="s">
        <v>20</v>
      </c>
      <c r="D1675" s="113" t="s">
        <v>2059</v>
      </c>
      <c r="E1675" s="139" t="s">
        <v>1860</v>
      </c>
      <c r="F1675" s="139"/>
      <c r="G1675" s="112" t="s">
        <v>1864</v>
      </c>
      <c r="H1675" s="111">
        <v>1.9099999999999999E-2</v>
      </c>
      <c r="I1675" s="110">
        <v>15.97</v>
      </c>
      <c r="J1675" s="110">
        <v>0.31</v>
      </c>
    </row>
    <row r="1676" spans="1:10" x14ac:dyDescent="0.2">
      <c r="A1676" s="109"/>
      <c r="B1676" s="109"/>
      <c r="C1676" s="109"/>
      <c r="D1676" s="109"/>
      <c r="E1676" s="109" t="s">
        <v>1858</v>
      </c>
      <c r="F1676" s="108">
        <v>146.66999999999999</v>
      </c>
      <c r="G1676" s="109" t="s">
        <v>1857</v>
      </c>
      <c r="H1676" s="108">
        <v>0</v>
      </c>
      <c r="I1676" s="109" t="s">
        <v>1856</v>
      </c>
      <c r="J1676" s="108">
        <v>146.66999999999999</v>
      </c>
    </row>
    <row r="1677" spans="1:10" ht="13.9" customHeight="1" x14ac:dyDescent="0.2">
      <c r="A1677" s="109"/>
      <c r="B1677" s="109"/>
      <c r="C1677" s="109"/>
      <c r="D1677" s="109"/>
      <c r="E1677" s="109" t="s">
        <v>1855</v>
      </c>
      <c r="F1677" s="108">
        <v>107.779725</v>
      </c>
      <c r="G1677" s="109"/>
      <c r="H1677" s="140" t="s">
        <v>1854</v>
      </c>
      <c r="I1677" s="140"/>
      <c r="J1677" s="108">
        <v>513.73</v>
      </c>
    </row>
    <row r="1678" spans="1:10" ht="30" customHeight="1" thickBot="1" x14ac:dyDescent="0.25">
      <c r="A1678" s="100"/>
      <c r="B1678" s="100"/>
      <c r="C1678" s="100"/>
      <c r="D1678" s="100"/>
      <c r="E1678" s="100"/>
      <c r="F1678" s="100"/>
      <c r="G1678" s="100" t="s">
        <v>1853</v>
      </c>
      <c r="H1678" s="107">
        <v>7</v>
      </c>
      <c r="I1678" s="100" t="s">
        <v>1852</v>
      </c>
      <c r="J1678" s="102">
        <v>3596.11</v>
      </c>
    </row>
    <row r="1679" spans="1:10" ht="1.1499999999999999" customHeight="1" thickTop="1" x14ac:dyDescent="0.2">
      <c r="A1679" s="106"/>
      <c r="B1679" s="106"/>
      <c r="C1679" s="106"/>
      <c r="D1679" s="106"/>
      <c r="E1679" s="106"/>
      <c r="F1679" s="106"/>
      <c r="G1679" s="106"/>
      <c r="H1679" s="106"/>
      <c r="I1679" s="106"/>
      <c r="J1679" s="106"/>
    </row>
    <row r="1680" spans="1:10" ht="18" customHeight="1" x14ac:dyDescent="0.2">
      <c r="A1680" s="117" t="s">
        <v>401</v>
      </c>
      <c r="B1680" s="126" t="s">
        <v>5</v>
      </c>
      <c r="C1680" s="117" t="s">
        <v>6</v>
      </c>
      <c r="D1680" s="117" t="s">
        <v>7</v>
      </c>
      <c r="E1680" s="136" t="s">
        <v>1113</v>
      </c>
      <c r="F1680" s="136"/>
      <c r="G1680" s="7" t="s">
        <v>8</v>
      </c>
      <c r="H1680" s="126" t="s">
        <v>9</v>
      </c>
      <c r="I1680" s="126" t="s">
        <v>10</v>
      </c>
      <c r="J1680" s="126" t="s">
        <v>12</v>
      </c>
    </row>
    <row r="1681" spans="1:10" ht="24" customHeight="1" x14ac:dyDescent="0.2">
      <c r="A1681" s="116" t="s">
        <v>1861</v>
      </c>
      <c r="B1681" s="1" t="s">
        <v>402</v>
      </c>
      <c r="C1681" s="116" t="s">
        <v>249</v>
      </c>
      <c r="D1681" s="116" t="s">
        <v>403</v>
      </c>
      <c r="E1681" s="137">
        <v>53</v>
      </c>
      <c r="F1681" s="137"/>
      <c r="G1681" s="2" t="s">
        <v>236</v>
      </c>
      <c r="H1681" s="115">
        <v>1</v>
      </c>
      <c r="I1681" s="61">
        <v>84.05</v>
      </c>
      <c r="J1681" s="61">
        <v>84.05</v>
      </c>
    </row>
    <row r="1682" spans="1:10" ht="24" customHeight="1" x14ac:dyDescent="0.2">
      <c r="A1682" s="121" t="s">
        <v>1888</v>
      </c>
      <c r="B1682" s="122" t="s">
        <v>2386</v>
      </c>
      <c r="C1682" s="121" t="s">
        <v>25</v>
      </c>
      <c r="D1682" s="121" t="s">
        <v>2385</v>
      </c>
      <c r="E1682" s="138" t="s">
        <v>1902</v>
      </c>
      <c r="F1682" s="138"/>
      <c r="G1682" s="120" t="s">
        <v>61</v>
      </c>
      <c r="H1682" s="119">
        <v>1.2110000000000001</v>
      </c>
      <c r="I1682" s="118">
        <v>20.93</v>
      </c>
      <c r="J1682" s="118">
        <v>25.35</v>
      </c>
    </row>
    <row r="1683" spans="1:10" ht="24" customHeight="1" x14ac:dyDescent="0.2">
      <c r="A1683" s="121" t="s">
        <v>1888</v>
      </c>
      <c r="B1683" s="122" t="s">
        <v>2384</v>
      </c>
      <c r="C1683" s="121" t="s">
        <v>25</v>
      </c>
      <c r="D1683" s="121" t="s">
        <v>2383</v>
      </c>
      <c r="E1683" s="138" t="s">
        <v>1902</v>
      </c>
      <c r="F1683" s="138"/>
      <c r="G1683" s="120" t="s">
        <v>61</v>
      </c>
      <c r="H1683" s="119">
        <v>0.80800000000000005</v>
      </c>
      <c r="I1683" s="118">
        <v>15.36</v>
      </c>
      <c r="J1683" s="118">
        <v>12.41</v>
      </c>
    </row>
    <row r="1684" spans="1:10" ht="24" customHeight="1" x14ac:dyDescent="0.2">
      <c r="A1684" s="113" t="s">
        <v>1859</v>
      </c>
      <c r="B1684" s="114" t="s">
        <v>2382</v>
      </c>
      <c r="C1684" s="113" t="s">
        <v>249</v>
      </c>
      <c r="D1684" s="113" t="s">
        <v>2381</v>
      </c>
      <c r="E1684" s="139" t="s">
        <v>1369</v>
      </c>
      <c r="F1684" s="139"/>
      <c r="G1684" s="112" t="s">
        <v>236</v>
      </c>
      <c r="H1684" s="111">
        <v>1</v>
      </c>
      <c r="I1684" s="110">
        <v>46.29</v>
      </c>
      <c r="J1684" s="110">
        <v>46.29</v>
      </c>
    </row>
    <row r="1685" spans="1:10" x14ac:dyDescent="0.2">
      <c r="A1685" s="109"/>
      <c r="B1685" s="109"/>
      <c r="C1685" s="109"/>
      <c r="D1685" s="109"/>
      <c r="E1685" s="109" t="s">
        <v>1858</v>
      </c>
      <c r="F1685" s="108">
        <v>27.68</v>
      </c>
      <c r="G1685" s="109" t="s">
        <v>1857</v>
      </c>
      <c r="H1685" s="108">
        <v>0</v>
      </c>
      <c r="I1685" s="109" t="s">
        <v>1856</v>
      </c>
      <c r="J1685" s="108">
        <v>27.68</v>
      </c>
    </row>
    <row r="1686" spans="1:10" ht="13.9" customHeight="1" x14ac:dyDescent="0.2">
      <c r="A1686" s="109"/>
      <c r="B1686" s="109"/>
      <c r="C1686" s="109"/>
      <c r="D1686" s="109"/>
      <c r="E1686" s="109" t="s">
        <v>1855</v>
      </c>
      <c r="F1686" s="108">
        <v>22.315275</v>
      </c>
      <c r="G1686" s="109"/>
      <c r="H1686" s="140" t="s">
        <v>1854</v>
      </c>
      <c r="I1686" s="140"/>
      <c r="J1686" s="108">
        <v>106.37</v>
      </c>
    </row>
    <row r="1687" spans="1:10" ht="30" customHeight="1" thickBot="1" x14ac:dyDescent="0.25">
      <c r="A1687" s="100"/>
      <c r="B1687" s="100"/>
      <c r="C1687" s="100"/>
      <c r="D1687" s="100"/>
      <c r="E1687" s="100"/>
      <c r="F1687" s="100"/>
      <c r="G1687" s="100" t="s">
        <v>1853</v>
      </c>
      <c r="H1687" s="107">
        <v>7</v>
      </c>
      <c r="I1687" s="100" t="s">
        <v>1852</v>
      </c>
      <c r="J1687" s="102">
        <v>744.59</v>
      </c>
    </row>
    <row r="1688" spans="1:10" ht="1.1499999999999999" customHeight="1" thickTop="1" x14ac:dyDescent="0.2">
      <c r="A1688" s="106"/>
      <c r="B1688" s="106"/>
      <c r="C1688" s="106"/>
      <c r="D1688" s="106"/>
      <c r="E1688" s="106"/>
      <c r="F1688" s="106"/>
      <c r="G1688" s="106"/>
      <c r="H1688" s="106"/>
      <c r="I1688" s="106"/>
      <c r="J1688" s="106"/>
    </row>
    <row r="1689" spans="1:10" ht="18" customHeight="1" x14ac:dyDescent="0.2">
      <c r="A1689" s="117" t="s">
        <v>404</v>
      </c>
      <c r="B1689" s="126" t="s">
        <v>5</v>
      </c>
      <c r="C1689" s="117" t="s">
        <v>6</v>
      </c>
      <c r="D1689" s="117" t="s">
        <v>7</v>
      </c>
      <c r="E1689" s="136" t="s">
        <v>1113</v>
      </c>
      <c r="F1689" s="136"/>
      <c r="G1689" s="7" t="s">
        <v>8</v>
      </c>
      <c r="H1689" s="126" t="s">
        <v>9</v>
      </c>
      <c r="I1689" s="126" t="s">
        <v>10</v>
      </c>
      <c r="J1689" s="126" t="s">
        <v>12</v>
      </c>
    </row>
    <row r="1690" spans="1:10" ht="24" customHeight="1" x14ac:dyDescent="0.2">
      <c r="A1690" s="116" t="s">
        <v>1861</v>
      </c>
      <c r="B1690" s="1" t="s">
        <v>406</v>
      </c>
      <c r="C1690" s="116" t="s">
        <v>20</v>
      </c>
      <c r="D1690" s="116" t="s">
        <v>407</v>
      </c>
      <c r="E1690" s="137">
        <v>8</v>
      </c>
      <c r="F1690" s="137"/>
      <c r="G1690" s="2" t="s">
        <v>37</v>
      </c>
      <c r="H1690" s="115">
        <v>1</v>
      </c>
      <c r="I1690" s="61">
        <v>15.56</v>
      </c>
      <c r="J1690" s="61">
        <v>15.56</v>
      </c>
    </row>
    <row r="1691" spans="1:10" ht="24" customHeight="1" x14ac:dyDescent="0.2">
      <c r="A1691" s="113" t="s">
        <v>1859</v>
      </c>
      <c r="B1691" s="114" t="s">
        <v>1951</v>
      </c>
      <c r="C1691" s="113" t="s">
        <v>20</v>
      </c>
      <c r="D1691" s="113" t="s">
        <v>1950</v>
      </c>
      <c r="E1691" s="139" t="s">
        <v>1860</v>
      </c>
      <c r="F1691" s="139"/>
      <c r="G1691" s="112" t="s">
        <v>1864</v>
      </c>
      <c r="H1691" s="111">
        <v>0.22</v>
      </c>
      <c r="I1691" s="110">
        <v>10.62</v>
      </c>
      <c r="J1691" s="110">
        <v>2.34</v>
      </c>
    </row>
    <row r="1692" spans="1:10" ht="24" customHeight="1" x14ac:dyDescent="0.2">
      <c r="A1692" s="113" t="s">
        <v>1859</v>
      </c>
      <c r="B1692" s="114" t="s">
        <v>1981</v>
      </c>
      <c r="C1692" s="113" t="s">
        <v>20</v>
      </c>
      <c r="D1692" s="113" t="s">
        <v>1980</v>
      </c>
      <c r="E1692" s="139" t="s">
        <v>1860</v>
      </c>
      <c r="F1692" s="139"/>
      <c r="G1692" s="112" t="s">
        <v>1864</v>
      </c>
      <c r="H1692" s="111">
        <v>0.22</v>
      </c>
      <c r="I1692" s="110">
        <v>15.97</v>
      </c>
      <c r="J1692" s="110">
        <v>3.51</v>
      </c>
    </row>
    <row r="1693" spans="1:10" ht="24" customHeight="1" x14ac:dyDescent="0.2">
      <c r="A1693" s="113" t="s">
        <v>1859</v>
      </c>
      <c r="B1693" s="114" t="s">
        <v>2380</v>
      </c>
      <c r="C1693" s="113" t="s">
        <v>20</v>
      </c>
      <c r="D1693" s="113" t="s">
        <v>2379</v>
      </c>
      <c r="E1693" s="139" t="s">
        <v>1369</v>
      </c>
      <c r="F1693" s="139"/>
      <c r="G1693" s="112" t="s">
        <v>246</v>
      </c>
      <c r="H1693" s="111">
        <v>1</v>
      </c>
      <c r="I1693" s="110">
        <v>9.7100000000000009</v>
      </c>
      <c r="J1693" s="110">
        <v>9.7100000000000009</v>
      </c>
    </row>
    <row r="1694" spans="1:10" x14ac:dyDescent="0.2">
      <c r="A1694" s="109"/>
      <c r="B1694" s="109"/>
      <c r="C1694" s="109"/>
      <c r="D1694" s="109"/>
      <c r="E1694" s="109" t="s">
        <v>1858</v>
      </c>
      <c r="F1694" s="108">
        <v>5.85</v>
      </c>
      <c r="G1694" s="109" t="s">
        <v>1857</v>
      </c>
      <c r="H1694" s="108">
        <v>0</v>
      </c>
      <c r="I1694" s="109" t="s">
        <v>1856</v>
      </c>
      <c r="J1694" s="108">
        <v>5.85</v>
      </c>
    </row>
    <row r="1695" spans="1:10" ht="13.9" customHeight="1" x14ac:dyDescent="0.2">
      <c r="A1695" s="109"/>
      <c r="B1695" s="109"/>
      <c r="C1695" s="109"/>
      <c r="D1695" s="109"/>
      <c r="E1695" s="109" t="s">
        <v>1855</v>
      </c>
      <c r="F1695" s="108">
        <v>4.1311799999999996</v>
      </c>
      <c r="G1695" s="109"/>
      <c r="H1695" s="140" t="s">
        <v>1854</v>
      </c>
      <c r="I1695" s="140"/>
      <c r="J1695" s="108">
        <v>19.690000000000001</v>
      </c>
    </row>
    <row r="1696" spans="1:10" ht="30" customHeight="1" thickBot="1" x14ac:dyDescent="0.25">
      <c r="A1696" s="100"/>
      <c r="B1696" s="100"/>
      <c r="C1696" s="100"/>
      <c r="D1696" s="100"/>
      <c r="E1696" s="100"/>
      <c r="F1696" s="100"/>
      <c r="G1696" s="100" t="s">
        <v>1853</v>
      </c>
      <c r="H1696" s="107">
        <v>3</v>
      </c>
      <c r="I1696" s="100" t="s">
        <v>1852</v>
      </c>
      <c r="J1696" s="102">
        <v>59.07</v>
      </c>
    </row>
    <row r="1697" spans="1:10" ht="1.1499999999999999" customHeight="1" thickTop="1" x14ac:dyDescent="0.2">
      <c r="A1697" s="106"/>
      <c r="B1697" s="106"/>
      <c r="C1697" s="106"/>
      <c r="D1697" s="106"/>
      <c r="E1697" s="106"/>
      <c r="F1697" s="106"/>
      <c r="G1697" s="106"/>
      <c r="H1697" s="106"/>
      <c r="I1697" s="106"/>
      <c r="J1697" s="106"/>
    </row>
    <row r="1698" spans="1:10" ht="18" customHeight="1" x14ac:dyDescent="0.2">
      <c r="A1698" s="117" t="s">
        <v>405</v>
      </c>
      <c r="B1698" s="126" t="s">
        <v>5</v>
      </c>
      <c r="C1698" s="117" t="s">
        <v>6</v>
      </c>
      <c r="D1698" s="117" t="s">
        <v>7</v>
      </c>
      <c r="E1698" s="136" t="s">
        <v>1113</v>
      </c>
      <c r="F1698" s="136"/>
      <c r="G1698" s="7" t="s">
        <v>8</v>
      </c>
      <c r="H1698" s="126" t="s">
        <v>9</v>
      </c>
      <c r="I1698" s="126" t="s">
        <v>10</v>
      </c>
      <c r="J1698" s="126" t="s">
        <v>12</v>
      </c>
    </row>
    <row r="1699" spans="1:10" ht="36" customHeight="1" x14ac:dyDescent="0.2">
      <c r="A1699" s="116" t="s">
        <v>1861</v>
      </c>
      <c r="B1699" s="1" t="s">
        <v>1276</v>
      </c>
      <c r="C1699" s="116" t="s">
        <v>1275</v>
      </c>
      <c r="D1699" s="116" t="s">
        <v>1274</v>
      </c>
      <c r="E1699" s="137" t="s">
        <v>1343</v>
      </c>
      <c r="F1699" s="137"/>
      <c r="G1699" s="2" t="s">
        <v>213</v>
      </c>
      <c r="H1699" s="115">
        <v>1</v>
      </c>
      <c r="I1699" s="61">
        <v>45.76</v>
      </c>
      <c r="J1699" s="61">
        <v>45.76</v>
      </c>
    </row>
    <row r="1700" spans="1:10" ht="19.899999999999999" customHeight="1" x14ac:dyDescent="0.2">
      <c r="A1700" s="117" t="s">
        <v>2378</v>
      </c>
      <c r="B1700" s="126" t="s">
        <v>5</v>
      </c>
      <c r="C1700" s="117" t="s">
        <v>6</v>
      </c>
      <c r="D1700" s="117" t="s">
        <v>1860</v>
      </c>
      <c r="E1700" s="126" t="s">
        <v>2354</v>
      </c>
      <c r="F1700" s="143" t="s">
        <v>2377</v>
      </c>
      <c r="G1700" s="143"/>
      <c r="H1700" s="143"/>
      <c r="I1700" s="143"/>
      <c r="J1700" s="126" t="s">
        <v>2351</v>
      </c>
    </row>
    <row r="1701" spans="1:10" ht="24" customHeight="1" x14ac:dyDescent="0.2">
      <c r="A1701" s="113" t="s">
        <v>1859</v>
      </c>
      <c r="B1701" s="114" t="s">
        <v>2376</v>
      </c>
      <c r="C1701" s="113" t="s">
        <v>1275</v>
      </c>
      <c r="D1701" s="113" t="s">
        <v>2375</v>
      </c>
      <c r="E1701" s="111">
        <v>0.2</v>
      </c>
      <c r="F1701" s="113"/>
      <c r="G1701" s="113"/>
      <c r="H1701" s="113"/>
      <c r="I1701" s="127">
        <v>20.141999999999999</v>
      </c>
      <c r="J1701" s="127">
        <v>4.0284000000000004</v>
      </c>
    </row>
    <row r="1702" spans="1:10" ht="24" customHeight="1" x14ac:dyDescent="0.2">
      <c r="A1702" s="113" t="s">
        <v>1859</v>
      </c>
      <c r="B1702" s="114" t="s">
        <v>2374</v>
      </c>
      <c r="C1702" s="113" t="s">
        <v>1275</v>
      </c>
      <c r="D1702" s="113" t="s">
        <v>2373</v>
      </c>
      <c r="E1702" s="111">
        <v>0.8</v>
      </c>
      <c r="F1702" s="113"/>
      <c r="G1702" s="113"/>
      <c r="H1702" s="113"/>
      <c r="I1702" s="127">
        <v>15.8413</v>
      </c>
      <c r="J1702" s="127">
        <v>12.673</v>
      </c>
    </row>
    <row r="1703" spans="1:10" ht="19.899999999999999" customHeight="1" x14ac:dyDescent="0.2">
      <c r="A1703" s="130"/>
      <c r="B1703" s="130"/>
      <c r="C1703" s="130"/>
      <c r="D1703" s="130"/>
      <c r="E1703" s="130"/>
      <c r="F1703" s="130"/>
      <c r="G1703" s="130" t="s">
        <v>2372</v>
      </c>
      <c r="H1703" s="130"/>
      <c r="I1703" s="130"/>
      <c r="J1703" s="124">
        <v>16.7014</v>
      </c>
    </row>
    <row r="1704" spans="1:10" ht="19.899999999999999" customHeight="1" x14ac:dyDescent="0.2">
      <c r="A1704" s="130"/>
      <c r="B1704" s="130"/>
      <c r="C1704" s="130"/>
      <c r="D1704" s="130"/>
      <c r="E1704" s="130"/>
      <c r="F1704" s="130"/>
      <c r="G1704" s="130" t="s">
        <v>2371</v>
      </c>
      <c r="H1704" s="130"/>
      <c r="I1704" s="130"/>
      <c r="J1704" s="124">
        <v>0</v>
      </c>
    </row>
    <row r="1705" spans="1:10" ht="19.899999999999999" customHeight="1" x14ac:dyDescent="0.2">
      <c r="A1705" s="130"/>
      <c r="B1705" s="130"/>
      <c r="C1705" s="130"/>
      <c r="D1705" s="130"/>
      <c r="E1705" s="130"/>
      <c r="F1705" s="130"/>
      <c r="G1705" s="130" t="s">
        <v>2370</v>
      </c>
      <c r="H1705" s="130"/>
      <c r="I1705" s="130"/>
      <c r="J1705" s="124">
        <v>16.7014</v>
      </c>
    </row>
    <row r="1706" spans="1:10" ht="19.899999999999999" customHeight="1" x14ac:dyDescent="0.2">
      <c r="A1706" s="130"/>
      <c r="B1706" s="130"/>
      <c r="C1706" s="130"/>
      <c r="D1706" s="130"/>
      <c r="E1706" s="130"/>
      <c r="F1706" s="130"/>
      <c r="G1706" s="130" t="s">
        <v>2369</v>
      </c>
      <c r="H1706" s="130"/>
      <c r="I1706" s="130"/>
      <c r="J1706" s="124">
        <v>0</v>
      </c>
    </row>
    <row r="1707" spans="1:10" ht="19.899999999999999" customHeight="1" x14ac:dyDescent="0.2">
      <c r="A1707" s="130"/>
      <c r="B1707" s="130"/>
      <c r="C1707" s="130"/>
      <c r="D1707" s="130"/>
      <c r="E1707" s="130"/>
      <c r="F1707" s="130"/>
      <c r="G1707" s="130" t="s">
        <v>2368</v>
      </c>
      <c r="H1707" s="130"/>
      <c r="I1707" s="130"/>
      <c r="J1707" s="124">
        <v>0</v>
      </c>
    </row>
    <row r="1708" spans="1:10" ht="19.899999999999999" customHeight="1" x14ac:dyDescent="0.2">
      <c r="A1708" s="130"/>
      <c r="B1708" s="130"/>
      <c r="C1708" s="130"/>
      <c r="D1708" s="130"/>
      <c r="E1708" s="130"/>
      <c r="F1708" s="130"/>
      <c r="G1708" s="130" t="s">
        <v>2367</v>
      </c>
      <c r="H1708" s="130"/>
      <c r="I1708" s="130"/>
      <c r="J1708" s="124">
        <v>1</v>
      </c>
    </row>
    <row r="1709" spans="1:10" ht="19.899999999999999" customHeight="1" x14ac:dyDescent="0.2">
      <c r="A1709" s="130"/>
      <c r="B1709" s="130"/>
      <c r="C1709" s="130"/>
      <c r="D1709" s="130"/>
      <c r="E1709" s="130"/>
      <c r="F1709" s="130"/>
      <c r="G1709" s="130" t="s">
        <v>2366</v>
      </c>
      <c r="H1709" s="130"/>
      <c r="I1709" s="130"/>
      <c r="J1709" s="124">
        <v>16.7014</v>
      </c>
    </row>
    <row r="1710" spans="1:10" ht="19.899999999999999" customHeight="1" x14ac:dyDescent="0.2">
      <c r="A1710" s="117" t="s">
        <v>2365</v>
      </c>
      <c r="B1710" s="126" t="s">
        <v>6</v>
      </c>
      <c r="C1710" s="117" t="s">
        <v>5</v>
      </c>
      <c r="D1710" s="117" t="s">
        <v>1369</v>
      </c>
      <c r="E1710" s="126" t="s">
        <v>2354</v>
      </c>
      <c r="F1710" s="126" t="s">
        <v>2353</v>
      </c>
      <c r="G1710" s="143" t="s">
        <v>2352</v>
      </c>
      <c r="H1710" s="143"/>
      <c r="I1710" s="143"/>
      <c r="J1710" s="126" t="s">
        <v>2351</v>
      </c>
    </row>
    <row r="1711" spans="1:10" ht="24" customHeight="1" x14ac:dyDescent="0.2">
      <c r="A1711" s="113" t="s">
        <v>1859</v>
      </c>
      <c r="B1711" s="114" t="s">
        <v>1275</v>
      </c>
      <c r="C1711" s="113" t="s">
        <v>2348</v>
      </c>
      <c r="D1711" s="113" t="s">
        <v>2364</v>
      </c>
      <c r="E1711" s="111">
        <v>5.1999999999999998E-2</v>
      </c>
      <c r="F1711" s="112" t="s">
        <v>49</v>
      </c>
      <c r="G1711" s="145">
        <v>144.59520000000001</v>
      </c>
      <c r="H1711" s="145"/>
      <c r="I1711" s="139"/>
      <c r="J1711" s="127">
        <v>7.5190000000000001</v>
      </c>
    </row>
    <row r="1712" spans="1:10" ht="19.899999999999999" customHeight="1" x14ac:dyDescent="0.2">
      <c r="A1712" s="130"/>
      <c r="B1712" s="130"/>
      <c r="C1712" s="130"/>
      <c r="D1712" s="130"/>
      <c r="E1712" s="130"/>
      <c r="F1712" s="130"/>
      <c r="G1712" s="130" t="s">
        <v>2363</v>
      </c>
      <c r="H1712" s="130"/>
      <c r="I1712" s="130"/>
      <c r="J1712" s="124">
        <v>7.5190000000000001</v>
      </c>
    </row>
    <row r="1713" spans="1:10" ht="19.899999999999999" customHeight="1" x14ac:dyDescent="0.2">
      <c r="A1713" s="117" t="s">
        <v>2362</v>
      </c>
      <c r="B1713" s="126" t="s">
        <v>6</v>
      </c>
      <c r="C1713" s="117" t="s">
        <v>5</v>
      </c>
      <c r="D1713" s="117" t="s">
        <v>2361</v>
      </c>
      <c r="E1713" s="126" t="s">
        <v>2354</v>
      </c>
      <c r="F1713" s="126" t="s">
        <v>2353</v>
      </c>
      <c r="G1713" s="143" t="s">
        <v>2352</v>
      </c>
      <c r="H1713" s="143"/>
      <c r="I1713" s="143"/>
      <c r="J1713" s="126" t="s">
        <v>2351</v>
      </c>
    </row>
    <row r="1714" spans="1:10" ht="24" customHeight="1" x14ac:dyDescent="0.2">
      <c r="A1714" s="121" t="s">
        <v>2359</v>
      </c>
      <c r="B1714" s="122" t="s">
        <v>1275</v>
      </c>
      <c r="C1714" s="121">
        <v>1109669</v>
      </c>
      <c r="D1714" s="121" t="s">
        <v>2360</v>
      </c>
      <c r="E1714" s="119">
        <v>4.8999999999999998E-4</v>
      </c>
      <c r="F1714" s="120" t="s">
        <v>49</v>
      </c>
      <c r="G1714" s="144">
        <v>424.48</v>
      </c>
      <c r="H1714" s="144"/>
      <c r="I1714" s="138"/>
      <c r="J1714" s="125">
        <v>0.20799999999999999</v>
      </c>
    </row>
    <row r="1715" spans="1:10" ht="24" customHeight="1" x14ac:dyDescent="0.2">
      <c r="A1715" s="121" t="s">
        <v>2359</v>
      </c>
      <c r="B1715" s="122" t="s">
        <v>1275</v>
      </c>
      <c r="C1715" s="121">
        <v>4816145</v>
      </c>
      <c r="D1715" s="121" t="s">
        <v>2358</v>
      </c>
      <c r="E1715" s="119">
        <v>1</v>
      </c>
      <c r="F1715" s="120" t="s">
        <v>213</v>
      </c>
      <c r="G1715" s="144">
        <v>19.059999999999999</v>
      </c>
      <c r="H1715" s="144"/>
      <c r="I1715" s="138"/>
      <c r="J1715" s="125">
        <v>19.059999999999999</v>
      </c>
    </row>
    <row r="1716" spans="1:10" ht="19.899999999999999" customHeight="1" x14ac:dyDescent="0.2">
      <c r="A1716" s="130"/>
      <c r="B1716" s="130"/>
      <c r="C1716" s="130"/>
      <c r="D1716" s="130"/>
      <c r="E1716" s="130"/>
      <c r="F1716" s="130"/>
      <c r="G1716" s="130" t="s">
        <v>2357</v>
      </c>
      <c r="H1716" s="130"/>
      <c r="I1716" s="130"/>
      <c r="J1716" s="124">
        <v>19.268000000000001</v>
      </c>
    </row>
    <row r="1717" spans="1:10" ht="19.899999999999999" customHeight="1" x14ac:dyDescent="0.2">
      <c r="A1717" s="117" t="s">
        <v>2356</v>
      </c>
      <c r="B1717" s="126" t="s">
        <v>6</v>
      </c>
      <c r="C1717" s="117" t="s">
        <v>1859</v>
      </c>
      <c r="D1717" s="117" t="s">
        <v>2355</v>
      </c>
      <c r="E1717" s="126" t="s">
        <v>5</v>
      </c>
      <c r="F1717" s="126" t="s">
        <v>2354</v>
      </c>
      <c r="G1717" s="7" t="s">
        <v>2353</v>
      </c>
      <c r="H1717" s="143" t="s">
        <v>2352</v>
      </c>
      <c r="I1717" s="143"/>
      <c r="J1717" s="126" t="s">
        <v>2351</v>
      </c>
    </row>
    <row r="1718" spans="1:10" ht="36" customHeight="1" x14ac:dyDescent="0.2">
      <c r="A1718" s="121" t="s">
        <v>2349</v>
      </c>
      <c r="B1718" s="122" t="s">
        <v>1275</v>
      </c>
      <c r="C1718" s="121">
        <v>4816145</v>
      </c>
      <c r="D1718" s="121" t="s">
        <v>2350</v>
      </c>
      <c r="E1718" s="122">
        <v>5914655</v>
      </c>
      <c r="F1718" s="119">
        <v>7.5870000000000007E-2</v>
      </c>
      <c r="G1718" s="120" t="s">
        <v>2346</v>
      </c>
      <c r="H1718" s="144">
        <v>28.47</v>
      </c>
      <c r="I1718" s="138"/>
      <c r="J1718" s="125">
        <v>2.16</v>
      </c>
    </row>
    <row r="1719" spans="1:10" ht="36" customHeight="1" x14ac:dyDescent="0.2">
      <c r="A1719" s="121" t="s">
        <v>2349</v>
      </c>
      <c r="B1719" s="122" t="s">
        <v>1275</v>
      </c>
      <c r="C1719" s="121" t="s">
        <v>2348</v>
      </c>
      <c r="D1719" s="121" t="s">
        <v>2347</v>
      </c>
      <c r="E1719" s="122">
        <v>5914647</v>
      </c>
      <c r="F1719" s="119">
        <v>7.8E-2</v>
      </c>
      <c r="G1719" s="120" t="s">
        <v>2346</v>
      </c>
      <c r="H1719" s="144">
        <v>1.44</v>
      </c>
      <c r="I1719" s="138"/>
      <c r="J1719" s="125">
        <v>0.1123</v>
      </c>
    </row>
    <row r="1720" spans="1:10" ht="19.899999999999999" customHeight="1" x14ac:dyDescent="0.2">
      <c r="A1720" s="130"/>
      <c r="B1720" s="130"/>
      <c r="C1720" s="130"/>
      <c r="D1720" s="130"/>
      <c r="E1720" s="130"/>
      <c r="F1720" s="130"/>
      <c r="G1720" s="130" t="s">
        <v>2345</v>
      </c>
      <c r="H1720" s="130"/>
      <c r="I1720" s="130"/>
      <c r="J1720" s="124">
        <v>2.2723</v>
      </c>
    </row>
    <row r="1721" spans="1:10" x14ac:dyDescent="0.2">
      <c r="A1721" s="109"/>
      <c r="B1721" s="109"/>
      <c r="C1721" s="109"/>
      <c r="D1721" s="109"/>
      <c r="E1721" s="109" t="s">
        <v>1858</v>
      </c>
      <c r="F1721" s="108">
        <v>26.98</v>
      </c>
      <c r="G1721" s="109" t="s">
        <v>1857</v>
      </c>
      <c r="H1721" s="108">
        <v>0</v>
      </c>
      <c r="I1721" s="109" t="s">
        <v>1856</v>
      </c>
      <c r="J1721" s="108">
        <v>26.981482</v>
      </c>
    </row>
    <row r="1722" spans="1:10" ht="13.9" customHeight="1" x14ac:dyDescent="0.2">
      <c r="A1722" s="109"/>
      <c r="B1722" s="109"/>
      <c r="C1722" s="109"/>
      <c r="D1722" s="109"/>
      <c r="E1722" s="109" t="s">
        <v>1855</v>
      </c>
      <c r="F1722" s="108">
        <v>12.15</v>
      </c>
      <c r="G1722" s="109"/>
      <c r="H1722" s="140" t="s">
        <v>1854</v>
      </c>
      <c r="I1722" s="140"/>
      <c r="J1722" s="108">
        <v>57.91</v>
      </c>
    </row>
    <row r="1723" spans="1:10" ht="30" customHeight="1" thickBot="1" x14ac:dyDescent="0.25">
      <c r="A1723" s="100"/>
      <c r="B1723" s="100"/>
      <c r="C1723" s="100"/>
      <c r="D1723" s="100"/>
      <c r="E1723" s="100"/>
      <c r="F1723" s="100"/>
      <c r="G1723" s="100" t="s">
        <v>1853</v>
      </c>
      <c r="H1723" s="107">
        <v>20</v>
      </c>
      <c r="I1723" s="100" t="s">
        <v>1852</v>
      </c>
      <c r="J1723" s="102">
        <v>1158.2</v>
      </c>
    </row>
    <row r="1724" spans="1:10" ht="1.1499999999999999" customHeight="1" thickTop="1" x14ac:dyDescent="0.2">
      <c r="A1724" s="106"/>
      <c r="B1724" s="106"/>
      <c r="C1724" s="106"/>
      <c r="D1724" s="106"/>
      <c r="E1724" s="106"/>
      <c r="F1724" s="106"/>
      <c r="G1724" s="106"/>
      <c r="H1724" s="106"/>
      <c r="I1724" s="106"/>
      <c r="J1724" s="106"/>
    </row>
    <row r="1725" spans="1:10" ht="18" customHeight="1" x14ac:dyDescent="0.2">
      <c r="A1725" s="117" t="s">
        <v>408</v>
      </c>
      <c r="B1725" s="126" t="s">
        <v>5</v>
      </c>
      <c r="C1725" s="117" t="s">
        <v>6</v>
      </c>
      <c r="D1725" s="117" t="s">
        <v>7</v>
      </c>
      <c r="E1725" s="136" t="s">
        <v>1113</v>
      </c>
      <c r="F1725" s="136"/>
      <c r="G1725" s="7" t="s">
        <v>8</v>
      </c>
      <c r="H1725" s="126" t="s">
        <v>9</v>
      </c>
      <c r="I1725" s="126" t="s">
        <v>10</v>
      </c>
      <c r="J1725" s="126" t="s">
        <v>12</v>
      </c>
    </row>
    <row r="1726" spans="1:10" ht="24" customHeight="1" x14ac:dyDescent="0.2">
      <c r="A1726" s="116" t="s">
        <v>1861</v>
      </c>
      <c r="B1726" s="1" t="s">
        <v>409</v>
      </c>
      <c r="C1726" s="116" t="s">
        <v>25</v>
      </c>
      <c r="D1726" s="116" t="s">
        <v>410</v>
      </c>
      <c r="E1726" s="137" t="s">
        <v>1477</v>
      </c>
      <c r="F1726" s="137"/>
      <c r="G1726" s="2" t="s">
        <v>92</v>
      </c>
      <c r="H1726" s="115">
        <v>1</v>
      </c>
      <c r="I1726" s="61">
        <v>339.77</v>
      </c>
      <c r="J1726" s="61">
        <v>339.77</v>
      </c>
    </row>
    <row r="1727" spans="1:10" ht="24" customHeight="1" x14ac:dyDescent="0.2">
      <c r="A1727" s="121" t="s">
        <v>1888</v>
      </c>
      <c r="B1727" s="122" t="s">
        <v>1906</v>
      </c>
      <c r="C1727" s="121" t="s">
        <v>25</v>
      </c>
      <c r="D1727" s="121" t="s">
        <v>1905</v>
      </c>
      <c r="E1727" s="138" t="s">
        <v>1902</v>
      </c>
      <c r="F1727" s="138"/>
      <c r="G1727" s="120" t="s">
        <v>61</v>
      </c>
      <c r="H1727" s="119">
        <v>0.16</v>
      </c>
      <c r="I1727" s="118">
        <v>16.059999999999999</v>
      </c>
      <c r="J1727" s="118">
        <v>2.57</v>
      </c>
    </row>
    <row r="1728" spans="1:10" ht="36" customHeight="1" x14ac:dyDescent="0.2">
      <c r="A1728" s="113" t="s">
        <v>1859</v>
      </c>
      <c r="B1728" s="114" t="s">
        <v>2344</v>
      </c>
      <c r="C1728" s="113" t="s">
        <v>25</v>
      </c>
      <c r="D1728" s="113" t="s">
        <v>2343</v>
      </c>
      <c r="E1728" s="139" t="s">
        <v>1369</v>
      </c>
      <c r="F1728" s="139"/>
      <c r="G1728" s="112" t="s">
        <v>236</v>
      </c>
      <c r="H1728" s="111">
        <v>1</v>
      </c>
      <c r="I1728" s="110">
        <v>337.2</v>
      </c>
      <c r="J1728" s="110">
        <v>337.2</v>
      </c>
    </row>
    <row r="1729" spans="1:10" x14ac:dyDescent="0.2">
      <c r="A1729" s="109"/>
      <c r="B1729" s="109"/>
      <c r="C1729" s="109"/>
      <c r="D1729" s="109"/>
      <c r="E1729" s="109" t="s">
        <v>1858</v>
      </c>
      <c r="F1729" s="108">
        <v>1.7</v>
      </c>
      <c r="G1729" s="109" t="s">
        <v>1857</v>
      </c>
      <c r="H1729" s="108">
        <v>0</v>
      </c>
      <c r="I1729" s="109" t="s">
        <v>1856</v>
      </c>
      <c r="J1729" s="108">
        <v>1.7</v>
      </c>
    </row>
    <row r="1730" spans="1:10" ht="13.9" customHeight="1" x14ac:dyDescent="0.2">
      <c r="A1730" s="109"/>
      <c r="B1730" s="109"/>
      <c r="C1730" s="109"/>
      <c r="D1730" s="109"/>
      <c r="E1730" s="109" t="s">
        <v>1855</v>
      </c>
      <c r="F1730" s="108">
        <v>90.208934999999997</v>
      </c>
      <c r="G1730" s="109"/>
      <c r="H1730" s="140" t="s">
        <v>1854</v>
      </c>
      <c r="I1730" s="140"/>
      <c r="J1730" s="108">
        <v>429.98</v>
      </c>
    </row>
    <row r="1731" spans="1:10" ht="30" customHeight="1" thickBot="1" x14ac:dyDescent="0.25">
      <c r="A1731" s="100"/>
      <c r="B1731" s="100"/>
      <c r="C1731" s="100"/>
      <c r="D1731" s="100"/>
      <c r="E1731" s="100"/>
      <c r="F1731" s="100"/>
      <c r="G1731" s="100" t="s">
        <v>1853</v>
      </c>
      <c r="H1731" s="107">
        <v>20</v>
      </c>
      <c r="I1731" s="100" t="s">
        <v>1852</v>
      </c>
      <c r="J1731" s="102">
        <v>8599.6</v>
      </c>
    </row>
    <row r="1732" spans="1:10" ht="1.1499999999999999" customHeight="1" thickTop="1" x14ac:dyDescent="0.2">
      <c r="A1732" s="106"/>
      <c r="B1732" s="106"/>
      <c r="C1732" s="106"/>
      <c r="D1732" s="106"/>
      <c r="E1732" s="106"/>
      <c r="F1732" s="106"/>
      <c r="G1732" s="106"/>
      <c r="H1732" s="106"/>
      <c r="I1732" s="106"/>
      <c r="J1732" s="106"/>
    </row>
    <row r="1733" spans="1:10" ht="24" customHeight="1" x14ac:dyDescent="0.2">
      <c r="A1733" s="123" t="s">
        <v>412</v>
      </c>
      <c r="B1733" s="123"/>
      <c r="C1733" s="123"/>
      <c r="D1733" s="123" t="s">
        <v>413</v>
      </c>
      <c r="E1733" s="123"/>
      <c r="F1733" s="142"/>
      <c r="G1733" s="142"/>
      <c r="H1733" s="3"/>
      <c r="I1733" s="123"/>
      <c r="J1733" s="63">
        <v>2269.85</v>
      </c>
    </row>
    <row r="1734" spans="1:10" ht="18" customHeight="1" x14ac:dyDescent="0.2">
      <c r="A1734" s="117" t="s">
        <v>414</v>
      </c>
      <c r="B1734" s="126" t="s">
        <v>5</v>
      </c>
      <c r="C1734" s="117" t="s">
        <v>6</v>
      </c>
      <c r="D1734" s="117" t="s">
        <v>7</v>
      </c>
      <c r="E1734" s="136" t="s">
        <v>1113</v>
      </c>
      <c r="F1734" s="136"/>
      <c r="G1734" s="7" t="s">
        <v>8</v>
      </c>
      <c r="H1734" s="126" t="s">
        <v>9</v>
      </c>
      <c r="I1734" s="126" t="s">
        <v>10</v>
      </c>
      <c r="J1734" s="126" t="s">
        <v>12</v>
      </c>
    </row>
    <row r="1735" spans="1:10" ht="24" customHeight="1" x14ac:dyDescent="0.2">
      <c r="A1735" s="116" t="s">
        <v>1861</v>
      </c>
      <c r="B1735" s="1" t="s">
        <v>415</v>
      </c>
      <c r="C1735" s="116" t="s">
        <v>20</v>
      </c>
      <c r="D1735" s="116" t="s">
        <v>416</v>
      </c>
      <c r="E1735" s="137">
        <v>8</v>
      </c>
      <c r="F1735" s="137"/>
      <c r="G1735" s="2" t="s">
        <v>213</v>
      </c>
      <c r="H1735" s="115">
        <v>1</v>
      </c>
      <c r="I1735" s="61">
        <v>11.95</v>
      </c>
      <c r="J1735" s="61">
        <v>11.95</v>
      </c>
    </row>
    <row r="1736" spans="1:10" ht="24" customHeight="1" x14ac:dyDescent="0.2">
      <c r="A1736" s="113" t="s">
        <v>1859</v>
      </c>
      <c r="B1736" s="114" t="s">
        <v>1951</v>
      </c>
      <c r="C1736" s="113" t="s">
        <v>20</v>
      </c>
      <c r="D1736" s="113" t="s">
        <v>1950</v>
      </c>
      <c r="E1736" s="139" t="s">
        <v>1860</v>
      </c>
      <c r="F1736" s="139"/>
      <c r="G1736" s="112" t="s">
        <v>1864</v>
      </c>
      <c r="H1736" s="111">
        <v>0.24</v>
      </c>
      <c r="I1736" s="110">
        <v>10.62</v>
      </c>
      <c r="J1736" s="110">
        <v>2.5499999999999998</v>
      </c>
    </row>
    <row r="1737" spans="1:10" ht="24" customHeight="1" x14ac:dyDescent="0.2">
      <c r="A1737" s="113" t="s">
        <v>1859</v>
      </c>
      <c r="B1737" s="114" t="s">
        <v>1981</v>
      </c>
      <c r="C1737" s="113" t="s">
        <v>20</v>
      </c>
      <c r="D1737" s="113" t="s">
        <v>1980</v>
      </c>
      <c r="E1737" s="139" t="s">
        <v>1860</v>
      </c>
      <c r="F1737" s="139"/>
      <c r="G1737" s="112" t="s">
        <v>1864</v>
      </c>
      <c r="H1737" s="111">
        <v>0.24</v>
      </c>
      <c r="I1737" s="110">
        <v>15.97</v>
      </c>
      <c r="J1737" s="110">
        <v>3.83</v>
      </c>
    </row>
    <row r="1738" spans="1:10" ht="24" customHeight="1" x14ac:dyDescent="0.2">
      <c r="A1738" s="113" t="s">
        <v>1859</v>
      </c>
      <c r="B1738" s="114" t="s">
        <v>2342</v>
      </c>
      <c r="C1738" s="113" t="s">
        <v>20</v>
      </c>
      <c r="D1738" s="113" t="s">
        <v>2341</v>
      </c>
      <c r="E1738" s="139" t="s">
        <v>1369</v>
      </c>
      <c r="F1738" s="139"/>
      <c r="G1738" s="112" t="s">
        <v>213</v>
      </c>
      <c r="H1738" s="111">
        <v>1.01</v>
      </c>
      <c r="I1738" s="110">
        <v>5.51</v>
      </c>
      <c r="J1738" s="110">
        <v>5.57</v>
      </c>
    </row>
    <row r="1739" spans="1:10" x14ac:dyDescent="0.2">
      <c r="A1739" s="109"/>
      <c r="B1739" s="109"/>
      <c r="C1739" s="109"/>
      <c r="D1739" s="109"/>
      <c r="E1739" s="109" t="s">
        <v>1858</v>
      </c>
      <c r="F1739" s="108">
        <v>6.38</v>
      </c>
      <c r="G1739" s="109" t="s">
        <v>1857</v>
      </c>
      <c r="H1739" s="108">
        <v>0</v>
      </c>
      <c r="I1739" s="109" t="s">
        <v>1856</v>
      </c>
      <c r="J1739" s="108">
        <v>6.38</v>
      </c>
    </row>
    <row r="1740" spans="1:10" ht="13.9" customHeight="1" x14ac:dyDescent="0.2">
      <c r="A1740" s="109"/>
      <c r="B1740" s="109"/>
      <c r="C1740" s="109"/>
      <c r="D1740" s="109"/>
      <c r="E1740" s="109" t="s">
        <v>1855</v>
      </c>
      <c r="F1740" s="108">
        <v>3.1727249999999998</v>
      </c>
      <c r="G1740" s="109"/>
      <c r="H1740" s="140" t="s">
        <v>1854</v>
      </c>
      <c r="I1740" s="140"/>
      <c r="J1740" s="108">
        <v>15.12</v>
      </c>
    </row>
    <row r="1741" spans="1:10" ht="30" customHeight="1" thickBot="1" x14ac:dyDescent="0.25">
      <c r="A1741" s="100"/>
      <c r="B1741" s="100"/>
      <c r="C1741" s="100"/>
      <c r="D1741" s="100"/>
      <c r="E1741" s="100"/>
      <c r="F1741" s="100"/>
      <c r="G1741" s="100" t="s">
        <v>1853</v>
      </c>
      <c r="H1741" s="107">
        <v>1.85</v>
      </c>
      <c r="I1741" s="100" t="s">
        <v>1852</v>
      </c>
      <c r="J1741" s="102">
        <v>27.97</v>
      </c>
    </row>
    <row r="1742" spans="1:10" ht="1.1499999999999999" customHeight="1" thickTop="1" x14ac:dyDescent="0.2">
      <c r="A1742" s="106"/>
      <c r="B1742" s="106"/>
      <c r="C1742" s="106"/>
      <c r="D1742" s="106"/>
      <c r="E1742" s="106"/>
      <c r="F1742" s="106"/>
      <c r="G1742" s="106"/>
      <c r="H1742" s="106"/>
      <c r="I1742" s="106"/>
      <c r="J1742" s="106"/>
    </row>
    <row r="1743" spans="1:10" ht="18" customHeight="1" x14ac:dyDescent="0.2">
      <c r="A1743" s="117" t="s">
        <v>417</v>
      </c>
      <c r="B1743" s="126" t="s">
        <v>5</v>
      </c>
      <c r="C1743" s="117" t="s">
        <v>6</v>
      </c>
      <c r="D1743" s="117" t="s">
        <v>7</v>
      </c>
      <c r="E1743" s="136" t="s">
        <v>1113</v>
      </c>
      <c r="F1743" s="136"/>
      <c r="G1743" s="7" t="s">
        <v>8</v>
      </c>
      <c r="H1743" s="126" t="s">
        <v>9</v>
      </c>
      <c r="I1743" s="126" t="s">
        <v>10</v>
      </c>
      <c r="J1743" s="126" t="s">
        <v>12</v>
      </c>
    </row>
    <row r="1744" spans="1:10" ht="24" customHeight="1" x14ac:dyDescent="0.2">
      <c r="A1744" s="116" t="s">
        <v>1861</v>
      </c>
      <c r="B1744" s="1" t="s">
        <v>418</v>
      </c>
      <c r="C1744" s="116" t="s">
        <v>20</v>
      </c>
      <c r="D1744" s="116" t="s">
        <v>419</v>
      </c>
      <c r="E1744" s="137">
        <v>8</v>
      </c>
      <c r="F1744" s="137"/>
      <c r="G1744" s="2" t="s">
        <v>37</v>
      </c>
      <c r="H1744" s="115">
        <v>1</v>
      </c>
      <c r="I1744" s="61">
        <v>9.67</v>
      </c>
      <c r="J1744" s="61">
        <v>9.67</v>
      </c>
    </row>
    <row r="1745" spans="1:10" ht="24" customHeight="1" x14ac:dyDescent="0.2">
      <c r="A1745" s="113" t="s">
        <v>1859</v>
      </c>
      <c r="B1745" s="114" t="s">
        <v>1951</v>
      </c>
      <c r="C1745" s="113" t="s">
        <v>20</v>
      </c>
      <c r="D1745" s="113" t="s">
        <v>1950</v>
      </c>
      <c r="E1745" s="139" t="s">
        <v>1860</v>
      </c>
      <c r="F1745" s="139"/>
      <c r="G1745" s="112" t="s">
        <v>1864</v>
      </c>
      <c r="H1745" s="111">
        <v>0.28000000000000003</v>
      </c>
      <c r="I1745" s="110">
        <v>10.62</v>
      </c>
      <c r="J1745" s="110">
        <v>2.97</v>
      </c>
    </row>
    <row r="1746" spans="1:10" ht="24" customHeight="1" x14ac:dyDescent="0.2">
      <c r="A1746" s="113" t="s">
        <v>1859</v>
      </c>
      <c r="B1746" s="114" t="s">
        <v>1981</v>
      </c>
      <c r="C1746" s="113" t="s">
        <v>20</v>
      </c>
      <c r="D1746" s="113" t="s">
        <v>1980</v>
      </c>
      <c r="E1746" s="139" t="s">
        <v>1860</v>
      </c>
      <c r="F1746" s="139"/>
      <c r="G1746" s="112" t="s">
        <v>1864</v>
      </c>
      <c r="H1746" s="111">
        <v>0.28000000000000003</v>
      </c>
      <c r="I1746" s="110">
        <v>15.97</v>
      </c>
      <c r="J1746" s="110">
        <v>4.47</v>
      </c>
    </row>
    <row r="1747" spans="1:10" ht="24" customHeight="1" x14ac:dyDescent="0.2">
      <c r="A1747" s="113" t="s">
        <v>1859</v>
      </c>
      <c r="B1747" s="114" t="s">
        <v>2340</v>
      </c>
      <c r="C1747" s="113" t="s">
        <v>20</v>
      </c>
      <c r="D1747" s="113" t="s">
        <v>2339</v>
      </c>
      <c r="E1747" s="139" t="s">
        <v>1369</v>
      </c>
      <c r="F1747" s="139"/>
      <c r="G1747" s="112" t="s">
        <v>246</v>
      </c>
      <c r="H1747" s="111">
        <v>1</v>
      </c>
      <c r="I1747" s="110">
        <v>2.23</v>
      </c>
      <c r="J1747" s="110">
        <v>2.23</v>
      </c>
    </row>
    <row r="1748" spans="1:10" x14ac:dyDescent="0.2">
      <c r="A1748" s="109"/>
      <c r="B1748" s="109"/>
      <c r="C1748" s="109"/>
      <c r="D1748" s="109"/>
      <c r="E1748" s="109" t="s">
        <v>1858</v>
      </c>
      <c r="F1748" s="108">
        <v>7.44</v>
      </c>
      <c r="G1748" s="109" t="s">
        <v>1857</v>
      </c>
      <c r="H1748" s="108">
        <v>0</v>
      </c>
      <c r="I1748" s="109" t="s">
        <v>1856</v>
      </c>
      <c r="J1748" s="108">
        <v>7.44</v>
      </c>
    </row>
    <row r="1749" spans="1:10" ht="13.9" customHeight="1" x14ac:dyDescent="0.2">
      <c r="A1749" s="109"/>
      <c r="B1749" s="109"/>
      <c r="C1749" s="109"/>
      <c r="D1749" s="109"/>
      <c r="E1749" s="109" t="s">
        <v>1855</v>
      </c>
      <c r="F1749" s="108">
        <v>2.5673849999999998</v>
      </c>
      <c r="G1749" s="109"/>
      <c r="H1749" s="140" t="s">
        <v>1854</v>
      </c>
      <c r="I1749" s="140"/>
      <c r="J1749" s="108">
        <v>12.24</v>
      </c>
    </row>
    <row r="1750" spans="1:10" ht="30" customHeight="1" thickBot="1" x14ac:dyDescent="0.25">
      <c r="A1750" s="100"/>
      <c r="B1750" s="100"/>
      <c r="C1750" s="100"/>
      <c r="D1750" s="100"/>
      <c r="E1750" s="100"/>
      <c r="F1750" s="100"/>
      <c r="G1750" s="100" t="s">
        <v>1853</v>
      </c>
      <c r="H1750" s="107">
        <v>2</v>
      </c>
      <c r="I1750" s="100" t="s">
        <v>1852</v>
      </c>
      <c r="J1750" s="102">
        <v>24.48</v>
      </c>
    </row>
    <row r="1751" spans="1:10" ht="1.1499999999999999" customHeight="1" thickTop="1" x14ac:dyDescent="0.2">
      <c r="A1751" s="106"/>
      <c r="B1751" s="106"/>
      <c r="C1751" s="106"/>
      <c r="D1751" s="106"/>
      <c r="E1751" s="106"/>
      <c r="F1751" s="106"/>
      <c r="G1751" s="106"/>
      <c r="H1751" s="106"/>
      <c r="I1751" s="106"/>
      <c r="J1751" s="106"/>
    </row>
    <row r="1752" spans="1:10" ht="18" customHeight="1" x14ac:dyDescent="0.2">
      <c r="A1752" s="117" t="s">
        <v>420</v>
      </c>
      <c r="B1752" s="126" t="s">
        <v>5</v>
      </c>
      <c r="C1752" s="117" t="s">
        <v>6</v>
      </c>
      <c r="D1752" s="117" t="s">
        <v>7</v>
      </c>
      <c r="E1752" s="136" t="s">
        <v>1113</v>
      </c>
      <c r="F1752" s="136"/>
      <c r="G1752" s="7" t="s">
        <v>8</v>
      </c>
      <c r="H1752" s="126" t="s">
        <v>9</v>
      </c>
      <c r="I1752" s="126" t="s">
        <v>10</v>
      </c>
      <c r="J1752" s="126" t="s">
        <v>12</v>
      </c>
    </row>
    <row r="1753" spans="1:10" ht="24" customHeight="1" x14ac:dyDescent="0.2">
      <c r="A1753" s="116" t="s">
        <v>1861</v>
      </c>
      <c r="B1753" s="1" t="s">
        <v>421</v>
      </c>
      <c r="C1753" s="116" t="s">
        <v>20</v>
      </c>
      <c r="D1753" s="116" t="s">
        <v>422</v>
      </c>
      <c r="E1753" s="137">
        <v>8</v>
      </c>
      <c r="F1753" s="137"/>
      <c r="G1753" s="2" t="s">
        <v>213</v>
      </c>
      <c r="H1753" s="115">
        <v>1</v>
      </c>
      <c r="I1753" s="61">
        <v>16.170000000000002</v>
      </c>
      <c r="J1753" s="61">
        <v>16.170000000000002</v>
      </c>
    </row>
    <row r="1754" spans="1:10" ht="24" customHeight="1" x14ac:dyDescent="0.2">
      <c r="A1754" s="113" t="s">
        <v>1859</v>
      </c>
      <c r="B1754" s="114" t="s">
        <v>1981</v>
      </c>
      <c r="C1754" s="113" t="s">
        <v>20</v>
      </c>
      <c r="D1754" s="113" t="s">
        <v>1980</v>
      </c>
      <c r="E1754" s="139" t="s">
        <v>1860</v>
      </c>
      <c r="F1754" s="139"/>
      <c r="G1754" s="112" t="s">
        <v>1864</v>
      </c>
      <c r="H1754" s="111">
        <v>0.3</v>
      </c>
      <c r="I1754" s="110">
        <v>15.97</v>
      </c>
      <c r="J1754" s="110">
        <v>4.79</v>
      </c>
    </row>
    <row r="1755" spans="1:10" ht="24" customHeight="1" x14ac:dyDescent="0.2">
      <c r="A1755" s="113" t="s">
        <v>1859</v>
      </c>
      <c r="B1755" s="114" t="s">
        <v>1951</v>
      </c>
      <c r="C1755" s="113" t="s">
        <v>20</v>
      </c>
      <c r="D1755" s="113" t="s">
        <v>1950</v>
      </c>
      <c r="E1755" s="139" t="s">
        <v>1860</v>
      </c>
      <c r="F1755" s="139"/>
      <c r="G1755" s="112" t="s">
        <v>1864</v>
      </c>
      <c r="H1755" s="111">
        <v>0.3</v>
      </c>
      <c r="I1755" s="110">
        <v>10.62</v>
      </c>
      <c r="J1755" s="110">
        <v>3.19</v>
      </c>
    </row>
    <row r="1756" spans="1:10" ht="24" customHeight="1" x14ac:dyDescent="0.2">
      <c r="A1756" s="113" t="s">
        <v>1859</v>
      </c>
      <c r="B1756" s="114" t="s">
        <v>2338</v>
      </c>
      <c r="C1756" s="113" t="s">
        <v>20</v>
      </c>
      <c r="D1756" s="113" t="s">
        <v>2337</v>
      </c>
      <c r="E1756" s="139" t="s">
        <v>1369</v>
      </c>
      <c r="F1756" s="139"/>
      <c r="G1756" s="112" t="s">
        <v>213</v>
      </c>
      <c r="H1756" s="111">
        <v>1.01</v>
      </c>
      <c r="I1756" s="110">
        <v>8.11</v>
      </c>
      <c r="J1756" s="110">
        <v>8.19</v>
      </c>
    </row>
    <row r="1757" spans="1:10" x14ac:dyDescent="0.2">
      <c r="A1757" s="109"/>
      <c r="B1757" s="109"/>
      <c r="C1757" s="109"/>
      <c r="D1757" s="109"/>
      <c r="E1757" s="109" t="s">
        <v>1858</v>
      </c>
      <c r="F1757" s="108">
        <v>7.98</v>
      </c>
      <c r="G1757" s="109" t="s">
        <v>1857</v>
      </c>
      <c r="H1757" s="108">
        <v>0</v>
      </c>
      <c r="I1757" s="109" t="s">
        <v>1856</v>
      </c>
      <c r="J1757" s="108">
        <v>7.98</v>
      </c>
    </row>
    <row r="1758" spans="1:10" ht="13.9" customHeight="1" x14ac:dyDescent="0.2">
      <c r="A1758" s="109"/>
      <c r="B1758" s="109"/>
      <c r="C1758" s="109"/>
      <c r="D1758" s="109"/>
      <c r="E1758" s="109" t="s">
        <v>1855</v>
      </c>
      <c r="F1758" s="108">
        <v>4.2931350000000004</v>
      </c>
      <c r="G1758" s="109"/>
      <c r="H1758" s="140" t="s">
        <v>1854</v>
      </c>
      <c r="I1758" s="140"/>
      <c r="J1758" s="108">
        <v>20.46</v>
      </c>
    </row>
    <row r="1759" spans="1:10" ht="30" customHeight="1" thickBot="1" x14ac:dyDescent="0.25">
      <c r="A1759" s="100"/>
      <c r="B1759" s="100"/>
      <c r="C1759" s="100"/>
      <c r="D1759" s="100"/>
      <c r="E1759" s="100"/>
      <c r="F1759" s="100"/>
      <c r="G1759" s="100" t="s">
        <v>1853</v>
      </c>
      <c r="H1759" s="107">
        <v>16.329999999999998</v>
      </c>
      <c r="I1759" s="100" t="s">
        <v>1852</v>
      </c>
      <c r="J1759" s="102">
        <v>334.11</v>
      </c>
    </row>
    <row r="1760" spans="1:10" ht="1.1499999999999999" customHeight="1" thickTop="1" x14ac:dyDescent="0.2">
      <c r="A1760" s="106"/>
      <c r="B1760" s="106"/>
      <c r="C1760" s="106"/>
      <c r="D1760" s="106"/>
      <c r="E1760" s="106"/>
      <c r="F1760" s="106"/>
      <c r="G1760" s="106"/>
      <c r="H1760" s="106"/>
      <c r="I1760" s="106"/>
      <c r="J1760" s="106"/>
    </row>
    <row r="1761" spans="1:10" ht="18" customHeight="1" x14ac:dyDescent="0.2">
      <c r="A1761" s="117" t="s">
        <v>423</v>
      </c>
      <c r="B1761" s="126" t="s">
        <v>5</v>
      </c>
      <c r="C1761" s="117" t="s">
        <v>6</v>
      </c>
      <c r="D1761" s="117" t="s">
        <v>7</v>
      </c>
      <c r="E1761" s="136" t="s">
        <v>1113</v>
      </c>
      <c r="F1761" s="136"/>
      <c r="G1761" s="7" t="s">
        <v>8</v>
      </c>
      <c r="H1761" s="126" t="s">
        <v>9</v>
      </c>
      <c r="I1761" s="126" t="s">
        <v>10</v>
      </c>
      <c r="J1761" s="126" t="s">
        <v>12</v>
      </c>
    </row>
    <row r="1762" spans="1:10" ht="24" customHeight="1" x14ac:dyDescent="0.2">
      <c r="A1762" s="116" t="s">
        <v>1861</v>
      </c>
      <c r="B1762" s="1" t="s">
        <v>424</v>
      </c>
      <c r="C1762" s="116" t="s">
        <v>20</v>
      </c>
      <c r="D1762" s="116" t="s">
        <v>425</v>
      </c>
      <c r="E1762" s="137">
        <v>8</v>
      </c>
      <c r="F1762" s="137"/>
      <c r="G1762" s="2" t="s">
        <v>37</v>
      </c>
      <c r="H1762" s="115">
        <v>1</v>
      </c>
      <c r="I1762" s="61">
        <v>6.75</v>
      </c>
      <c r="J1762" s="61">
        <v>6.75</v>
      </c>
    </row>
    <row r="1763" spans="1:10" ht="24" customHeight="1" x14ac:dyDescent="0.2">
      <c r="A1763" s="113" t="s">
        <v>1859</v>
      </c>
      <c r="B1763" s="114" t="s">
        <v>2336</v>
      </c>
      <c r="C1763" s="113" t="s">
        <v>20</v>
      </c>
      <c r="D1763" s="113" t="s">
        <v>2335</v>
      </c>
      <c r="E1763" s="139" t="s">
        <v>1369</v>
      </c>
      <c r="F1763" s="139"/>
      <c r="G1763" s="112" t="s">
        <v>246</v>
      </c>
      <c r="H1763" s="111">
        <v>1</v>
      </c>
      <c r="I1763" s="110">
        <v>3.02</v>
      </c>
      <c r="J1763" s="110">
        <v>3.02</v>
      </c>
    </row>
    <row r="1764" spans="1:10" ht="24" customHeight="1" x14ac:dyDescent="0.2">
      <c r="A1764" s="113" t="s">
        <v>1859</v>
      </c>
      <c r="B1764" s="114" t="s">
        <v>1981</v>
      </c>
      <c r="C1764" s="113" t="s">
        <v>20</v>
      </c>
      <c r="D1764" s="113" t="s">
        <v>1980</v>
      </c>
      <c r="E1764" s="139" t="s">
        <v>1860</v>
      </c>
      <c r="F1764" s="139"/>
      <c r="G1764" s="112" t="s">
        <v>1864</v>
      </c>
      <c r="H1764" s="111">
        <v>0.14000000000000001</v>
      </c>
      <c r="I1764" s="110">
        <v>15.97</v>
      </c>
      <c r="J1764" s="110">
        <v>2.2400000000000002</v>
      </c>
    </row>
    <row r="1765" spans="1:10" ht="24" customHeight="1" x14ac:dyDescent="0.2">
      <c r="A1765" s="113" t="s">
        <v>1859</v>
      </c>
      <c r="B1765" s="114" t="s">
        <v>1951</v>
      </c>
      <c r="C1765" s="113" t="s">
        <v>20</v>
      </c>
      <c r="D1765" s="113" t="s">
        <v>1950</v>
      </c>
      <c r="E1765" s="139" t="s">
        <v>1860</v>
      </c>
      <c r="F1765" s="139"/>
      <c r="G1765" s="112" t="s">
        <v>1864</v>
      </c>
      <c r="H1765" s="111">
        <v>0.14000000000000001</v>
      </c>
      <c r="I1765" s="110">
        <v>10.62</v>
      </c>
      <c r="J1765" s="110">
        <v>1.49</v>
      </c>
    </row>
    <row r="1766" spans="1:10" x14ac:dyDescent="0.2">
      <c r="A1766" s="109"/>
      <c r="B1766" s="109"/>
      <c r="C1766" s="109"/>
      <c r="D1766" s="109"/>
      <c r="E1766" s="109" t="s">
        <v>1858</v>
      </c>
      <c r="F1766" s="108">
        <v>3.73</v>
      </c>
      <c r="G1766" s="109" t="s">
        <v>1857</v>
      </c>
      <c r="H1766" s="108">
        <v>0</v>
      </c>
      <c r="I1766" s="109" t="s">
        <v>1856</v>
      </c>
      <c r="J1766" s="108">
        <v>3.73</v>
      </c>
    </row>
    <row r="1767" spans="1:10" ht="13.9" customHeight="1" x14ac:dyDescent="0.2">
      <c r="A1767" s="109"/>
      <c r="B1767" s="109"/>
      <c r="C1767" s="109"/>
      <c r="D1767" s="109"/>
      <c r="E1767" s="109" t="s">
        <v>1855</v>
      </c>
      <c r="F1767" s="108">
        <v>1.792125</v>
      </c>
      <c r="G1767" s="109"/>
      <c r="H1767" s="140" t="s">
        <v>1854</v>
      </c>
      <c r="I1767" s="140"/>
      <c r="J1767" s="108">
        <v>8.5399999999999991</v>
      </c>
    </row>
    <row r="1768" spans="1:10" ht="30" customHeight="1" thickBot="1" x14ac:dyDescent="0.25">
      <c r="A1768" s="100"/>
      <c r="B1768" s="100"/>
      <c r="C1768" s="100"/>
      <c r="D1768" s="100"/>
      <c r="E1768" s="100"/>
      <c r="F1768" s="100"/>
      <c r="G1768" s="100" t="s">
        <v>1853</v>
      </c>
      <c r="H1768" s="107">
        <v>4</v>
      </c>
      <c r="I1768" s="100" t="s">
        <v>1852</v>
      </c>
      <c r="J1768" s="102">
        <v>34.159999999999997</v>
      </c>
    </row>
    <row r="1769" spans="1:10" ht="1.1499999999999999" customHeight="1" thickTop="1" x14ac:dyDescent="0.2">
      <c r="A1769" s="106"/>
      <c r="B1769" s="106"/>
      <c r="C1769" s="106"/>
      <c r="D1769" s="106"/>
      <c r="E1769" s="106"/>
      <c r="F1769" s="106"/>
      <c r="G1769" s="106"/>
      <c r="H1769" s="106"/>
      <c r="I1769" s="106"/>
      <c r="J1769" s="106"/>
    </row>
    <row r="1770" spans="1:10" ht="18" customHeight="1" x14ac:dyDescent="0.2">
      <c r="A1770" s="117" t="s">
        <v>426</v>
      </c>
      <c r="B1770" s="126" t="s">
        <v>5</v>
      </c>
      <c r="C1770" s="117" t="s">
        <v>6</v>
      </c>
      <c r="D1770" s="117" t="s">
        <v>7</v>
      </c>
      <c r="E1770" s="136" t="s">
        <v>1113</v>
      </c>
      <c r="F1770" s="136"/>
      <c r="G1770" s="7" t="s">
        <v>8</v>
      </c>
      <c r="H1770" s="126" t="s">
        <v>9</v>
      </c>
      <c r="I1770" s="126" t="s">
        <v>10</v>
      </c>
      <c r="J1770" s="126" t="s">
        <v>12</v>
      </c>
    </row>
    <row r="1771" spans="1:10" ht="24" customHeight="1" x14ac:dyDescent="0.2">
      <c r="A1771" s="116" t="s">
        <v>1861</v>
      </c>
      <c r="B1771" s="1" t="s">
        <v>427</v>
      </c>
      <c r="C1771" s="116" t="s">
        <v>20</v>
      </c>
      <c r="D1771" s="116" t="s">
        <v>428</v>
      </c>
      <c r="E1771" s="137">
        <v>8</v>
      </c>
      <c r="F1771" s="137"/>
      <c r="G1771" s="2" t="s">
        <v>37</v>
      </c>
      <c r="H1771" s="115">
        <v>1</v>
      </c>
      <c r="I1771" s="61">
        <v>10.71</v>
      </c>
      <c r="J1771" s="61">
        <v>10.71</v>
      </c>
    </row>
    <row r="1772" spans="1:10" ht="24" customHeight="1" x14ac:dyDescent="0.2">
      <c r="A1772" s="113" t="s">
        <v>1859</v>
      </c>
      <c r="B1772" s="114" t="s">
        <v>2334</v>
      </c>
      <c r="C1772" s="113" t="s">
        <v>20</v>
      </c>
      <c r="D1772" s="113" t="s">
        <v>2333</v>
      </c>
      <c r="E1772" s="139" t="s">
        <v>1369</v>
      </c>
      <c r="F1772" s="139"/>
      <c r="G1772" s="112" t="s">
        <v>246</v>
      </c>
      <c r="H1772" s="111">
        <v>1</v>
      </c>
      <c r="I1772" s="110">
        <v>3.27</v>
      </c>
      <c r="J1772" s="110">
        <v>3.27</v>
      </c>
    </row>
    <row r="1773" spans="1:10" ht="24" customHeight="1" x14ac:dyDescent="0.2">
      <c r="A1773" s="113" t="s">
        <v>1859</v>
      </c>
      <c r="B1773" s="114" t="s">
        <v>1981</v>
      </c>
      <c r="C1773" s="113" t="s">
        <v>20</v>
      </c>
      <c r="D1773" s="113" t="s">
        <v>1980</v>
      </c>
      <c r="E1773" s="139" t="s">
        <v>1860</v>
      </c>
      <c r="F1773" s="139"/>
      <c r="G1773" s="112" t="s">
        <v>1864</v>
      </c>
      <c r="H1773" s="111">
        <v>0.28000000000000003</v>
      </c>
      <c r="I1773" s="110">
        <v>15.97</v>
      </c>
      <c r="J1773" s="110">
        <v>4.47</v>
      </c>
    </row>
    <row r="1774" spans="1:10" ht="24" customHeight="1" x14ac:dyDescent="0.2">
      <c r="A1774" s="113" t="s">
        <v>1859</v>
      </c>
      <c r="B1774" s="114" t="s">
        <v>1951</v>
      </c>
      <c r="C1774" s="113" t="s">
        <v>20</v>
      </c>
      <c r="D1774" s="113" t="s">
        <v>1950</v>
      </c>
      <c r="E1774" s="139" t="s">
        <v>1860</v>
      </c>
      <c r="F1774" s="139"/>
      <c r="G1774" s="112" t="s">
        <v>1864</v>
      </c>
      <c r="H1774" s="111">
        <v>0.28000000000000003</v>
      </c>
      <c r="I1774" s="110">
        <v>10.62</v>
      </c>
      <c r="J1774" s="110">
        <v>2.97</v>
      </c>
    </row>
    <row r="1775" spans="1:10" x14ac:dyDescent="0.2">
      <c r="A1775" s="109"/>
      <c r="B1775" s="109"/>
      <c r="C1775" s="109"/>
      <c r="D1775" s="109"/>
      <c r="E1775" s="109" t="s">
        <v>1858</v>
      </c>
      <c r="F1775" s="108">
        <v>7.44</v>
      </c>
      <c r="G1775" s="109" t="s">
        <v>1857</v>
      </c>
      <c r="H1775" s="108">
        <v>0</v>
      </c>
      <c r="I1775" s="109" t="s">
        <v>1856</v>
      </c>
      <c r="J1775" s="108">
        <v>7.44</v>
      </c>
    </row>
    <row r="1776" spans="1:10" ht="13.9" customHeight="1" x14ac:dyDescent="0.2">
      <c r="A1776" s="109"/>
      <c r="B1776" s="109"/>
      <c r="C1776" s="109"/>
      <c r="D1776" s="109"/>
      <c r="E1776" s="109" t="s">
        <v>1855</v>
      </c>
      <c r="F1776" s="108">
        <v>2.8435049999999999</v>
      </c>
      <c r="G1776" s="109"/>
      <c r="H1776" s="140" t="s">
        <v>1854</v>
      </c>
      <c r="I1776" s="140"/>
      <c r="J1776" s="108">
        <v>13.55</v>
      </c>
    </row>
    <row r="1777" spans="1:10" ht="30" customHeight="1" thickBot="1" x14ac:dyDescent="0.25">
      <c r="A1777" s="100"/>
      <c r="B1777" s="100"/>
      <c r="C1777" s="100"/>
      <c r="D1777" s="100"/>
      <c r="E1777" s="100"/>
      <c r="F1777" s="100"/>
      <c r="G1777" s="100" t="s">
        <v>1853</v>
      </c>
      <c r="H1777" s="107">
        <v>3</v>
      </c>
      <c r="I1777" s="100" t="s">
        <v>1852</v>
      </c>
      <c r="J1777" s="102">
        <v>40.65</v>
      </c>
    </row>
    <row r="1778" spans="1:10" ht="1.1499999999999999" customHeight="1" thickTop="1" x14ac:dyDescent="0.2">
      <c r="A1778" s="106"/>
      <c r="B1778" s="106"/>
      <c r="C1778" s="106"/>
      <c r="D1778" s="106"/>
      <c r="E1778" s="106"/>
      <c r="F1778" s="106"/>
      <c r="G1778" s="106"/>
      <c r="H1778" s="106"/>
      <c r="I1778" s="106"/>
      <c r="J1778" s="106"/>
    </row>
    <row r="1779" spans="1:10" ht="18" customHeight="1" x14ac:dyDescent="0.2">
      <c r="A1779" s="117" t="s">
        <v>429</v>
      </c>
      <c r="B1779" s="126" t="s">
        <v>5</v>
      </c>
      <c r="C1779" s="117" t="s">
        <v>6</v>
      </c>
      <c r="D1779" s="117" t="s">
        <v>7</v>
      </c>
      <c r="E1779" s="136" t="s">
        <v>1113</v>
      </c>
      <c r="F1779" s="136"/>
      <c r="G1779" s="7" t="s">
        <v>8</v>
      </c>
      <c r="H1779" s="126" t="s">
        <v>9</v>
      </c>
      <c r="I1779" s="126" t="s">
        <v>10</v>
      </c>
      <c r="J1779" s="126" t="s">
        <v>12</v>
      </c>
    </row>
    <row r="1780" spans="1:10" ht="24" customHeight="1" x14ac:dyDescent="0.2">
      <c r="A1780" s="116" t="s">
        <v>1861</v>
      </c>
      <c r="B1780" s="1" t="s">
        <v>430</v>
      </c>
      <c r="C1780" s="116" t="s">
        <v>20</v>
      </c>
      <c r="D1780" s="116" t="s">
        <v>431</v>
      </c>
      <c r="E1780" s="137">
        <v>8</v>
      </c>
      <c r="F1780" s="137"/>
      <c r="G1780" s="2" t="s">
        <v>37</v>
      </c>
      <c r="H1780" s="115">
        <v>1</v>
      </c>
      <c r="I1780" s="61">
        <v>25.21</v>
      </c>
      <c r="J1780" s="61">
        <v>25.21</v>
      </c>
    </row>
    <row r="1781" spans="1:10" ht="24" customHeight="1" x14ac:dyDescent="0.2">
      <c r="A1781" s="113" t="s">
        <v>1859</v>
      </c>
      <c r="B1781" s="114" t="s">
        <v>2332</v>
      </c>
      <c r="C1781" s="113" t="s">
        <v>20</v>
      </c>
      <c r="D1781" s="113" t="s">
        <v>2331</v>
      </c>
      <c r="E1781" s="139" t="s">
        <v>1369</v>
      </c>
      <c r="F1781" s="139"/>
      <c r="G1781" s="112" t="s">
        <v>246</v>
      </c>
      <c r="H1781" s="111">
        <v>1</v>
      </c>
      <c r="I1781" s="110">
        <v>19.36</v>
      </c>
      <c r="J1781" s="110">
        <v>19.36</v>
      </c>
    </row>
    <row r="1782" spans="1:10" ht="24" customHeight="1" x14ac:dyDescent="0.2">
      <c r="A1782" s="113" t="s">
        <v>1859</v>
      </c>
      <c r="B1782" s="114" t="s">
        <v>1981</v>
      </c>
      <c r="C1782" s="113" t="s">
        <v>20</v>
      </c>
      <c r="D1782" s="113" t="s">
        <v>1980</v>
      </c>
      <c r="E1782" s="139" t="s">
        <v>1860</v>
      </c>
      <c r="F1782" s="139"/>
      <c r="G1782" s="112" t="s">
        <v>1864</v>
      </c>
      <c r="H1782" s="111">
        <v>0.22</v>
      </c>
      <c r="I1782" s="110">
        <v>15.97</v>
      </c>
      <c r="J1782" s="110">
        <v>3.51</v>
      </c>
    </row>
    <row r="1783" spans="1:10" ht="24" customHeight="1" x14ac:dyDescent="0.2">
      <c r="A1783" s="113" t="s">
        <v>1859</v>
      </c>
      <c r="B1783" s="114" t="s">
        <v>1951</v>
      </c>
      <c r="C1783" s="113" t="s">
        <v>20</v>
      </c>
      <c r="D1783" s="113" t="s">
        <v>1950</v>
      </c>
      <c r="E1783" s="139" t="s">
        <v>1860</v>
      </c>
      <c r="F1783" s="139"/>
      <c r="G1783" s="112" t="s">
        <v>1864</v>
      </c>
      <c r="H1783" s="111">
        <v>0.22</v>
      </c>
      <c r="I1783" s="110">
        <v>10.62</v>
      </c>
      <c r="J1783" s="110">
        <v>2.34</v>
      </c>
    </row>
    <row r="1784" spans="1:10" x14ac:dyDescent="0.2">
      <c r="A1784" s="109"/>
      <c r="B1784" s="109"/>
      <c r="C1784" s="109"/>
      <c r="D1784" s="109"/>
      <c r="E1784" s="109" t="s">
        <v>1858</v>
      </c>
      <c r="F1784" s="108">
        <v>5.85</v>
      </c>
      <c r="G1784" s="109" t="s">
        <v>1857</v>
      </c>
      <c r="H1784" s="108">
        <v>0</v>
      </c>
      <c r="I1784" s="109" t="s">
        <v>1856</v>
      </c>
      <c r="J1784" s="108">
        <v>5.85</v>
      </c>
    </row>
    <row r="1785" spans="1:10" ht="13.9" customHeight="1" x14ac:dyDescent="0.2">
      <c r="A1785" s="109"/>
      <c r="B1785" s="109"/>
      <c r="C1785" s="109"/>
      <c r="D1785" s="109"/>
      <c r="E1785" s="109" t="s">
        <v>1855</v>
      </c>
      <c r="F1785" s="108">
        <v>6.6932549999999997</v>
      </c>
      <c r="G1785" s="109"/>
      <c r="H1785" s="140" t="s">
        <v>1854</v>
      </c>
      <c r="I1785" s="140"/>
      <c r="J1785" s="108">
        <v>31.9</v>
      </c>
    </row>
    <row r="1786" spans="1:10" ht="30" customHeight="1" thickBot="1" x14ac:dyDescent="0.25">
      <c r="A1786" s="100"/>
      <c r="B1786" s="100"/>
      <c r="C1786" s="100"/>
      <c r="D1786" s="100"/>
      <c r="E1786" s="100"/>
      <c r="F1786" s="100"/>
      <c r="G1786" s="100" t="s">
        <v>1853</v>
      </c>
      <c r="H1786" s="107">
        <v>3</v>
      </c>
      <c r="I1786" s="100" t="s">
        <v>1852</v>
      </c>
      <c r="J1786" s="102">
        <v>95.7</v>
      </c>
    </row>
    <row r="1787" spans="1:10" ht="1.1499999999999999" customHeight="1" thickTop="1" x14ac:dyDescent="0.2">
      <c r="A1787" s="106"/>
      <c r="B1787" s="106"/>
      <c r="C1787" s="106"/>
      <c r="D1787" s="106"/>
      <c r="E1787" s="106"/>
      <c r="F1787" s="106"/>
      <c r="G1787" s="106"/>
      <c r="H1787" s="106"/>
      <c r="I1787" s="106"/>
      <c r="J1787" s="106"/>
    </row>
    <row r="1788" spans="1:10" ht="18" customHeight="1" x14ac:dyDescent="0.2">
      <c r="A1788" s="117" t="s">
        <v>432</v>
      </c>
      <c r="B1788" s="126" t="s">
        <v>5</v>
      </c>
      <c r="C1788" s="117" t="s">
        <v>6</v>
      </c>
      <c r="D1788" s="117" t="s">
        <v>7</v>
      </c>
      <c r="E1788" s="136" t="s">
        <v>1113</v>
      </c>
      <c r="F1788" s="136"/>
      <c r="G1788" s="7" t="s">
        <v>8</v>
      </c>
      <c r="H1788" s="126" t="s">
        <v>9</v>
      </c>
      <c r="I1788" s="126" t="s">
        <v>10</v>
      </c>
      <c r="J1788" s="126" t="s">
        <v>12</v>
      </c>
    </row>
    <row r="1789" spans="1:10" ht="24" customHeight="1" x14ac:dyDescent="0.2">
      <c r="A1789" s="116" t="s">
        <v>1861</v>
      </c>
      <c r="B1789" s="1" t="s">
        <v>433</v>
      </c>
      <c r="C1789" s="116" t="s">
        <v>20</v>
      </c>
      <c r="D1789" s="116" t="s">
        <v>434</v>
      </c>
      <c r="E1789" s="137">
        <v>8</v>
      </c>
      <c r="F1789" s="137"/>
      <c r="G1789" s="2" t="s">
        <v>37</v>
      </c>
      <c r="H1789" s="115">
        <v>1</v>
      </c>
      <c r="I1789" s="61">
        <v>18.39</v>
      </c>
      <c r="J1789" s="61">
        <v>18.39</v>
      </c>
    </row>
    <row r="1790" spans="1:10" ht="24" customHeight="1" x14ac:dyDescent="0.2">
      <c r="A1790" s="113" t="s">
        <v>1859</v>
      </c>
      <c r="B1790" s="114" t="s">
        <v>2330</v>
      </c>
      <c r="C1790" s="113" t="s">
        <v>20</v>
      </c>
      <c r="D1790" s="113" t="s">
        <v>2329</v>
      </c>
      <c r="E1790" s="139" t="s">
        <v>1369</v>
      </c>
      <c r="F1790" s="139"/>
      <c r="G1790" s="112" t="s">
        <v>246</v>
      </c>
      <c r="H1790" s="111">
        <v>1</v>
      </c>
      <c r="I1790" s="110">
        <v>7.75</v>
      </c>
      <c r="J1790" s="110">
        <v>7.75</v>
      </c>
    </row>
    <row r="1791" spans="1:10" ht="24" customHeight="1" x14ac:dyDescent="0.2">
      <c r="A1791" s="113" t="s">
        <v>1859</v>
      </c>
      <c r="B1791" s="114" t="s">
        <v>1981</v>
      </c>
      <c r="C1791" s="113" t="s">
        <v>20</v>
      </c>
      <c r="D1791" s="113" t="s">
        <v>1980</v>
      </c>
      <c r="E1791" s="139" t="s">
        <v>1860</v>
      </c>
      <c r="F1791" s="139"/>
      <c r="G1791" s="112" t="s">
        <v>1864</v>
      </c>
      <c r="H1791" s="111">
        <v>0.4</v>
      </c>
      <c r="I1791" s="110">
        <v>15.97</v>
      </c>
      <c r="J1791" s="110">
        <v>6.39</v>
      </c>
    </row>
    <row r="1792" spans="1:10" ht="24" customHeight="1" x14ac:dyDescent="0.2">
      <c r="A1792" s="113" t="s">
        <v>1859</v>
      </c>
      <c r="B1792" s="114" t="s">
        <v>1951</v>
      </c>
      <c r="C1792" s="113" t="s">
        <v>20</v>
      </c>
      <c r="D1792" s="113" t="s">
        <v>1950</v>
      </c>
      <c r="E1792" s="139" t="s">
        <v>1860</v>
      </c>
      <c r="F1792" s="139"/>
      <c r="G1792" s="112" t="s">
        <v>1864</v>
      </c>
      <c r="H1792" s="111">
        <v>0.4</v>
      </c>
      <c r="I1792" s="110">
        <v>10.62</v>
      </c>
      <c r="J1792" s="110">
        <v>4.25</v>
      </c>
    </row>
    <row r="1793" spans="1:10" x14ac:dyDescent="0.2">
      <c r="A1793" s="109"/>
      <c r="B1793" s="109"/>
      <c r="C1793" s="109"/>
      <c r="D1793" s="109"/>
      <c r="E1793" s="109" t="s">
        <v>1858</v>
      </c>
      <c r="F1793" s="108">
        <v>10.64</v>
      </c>
      <c r="G1793" s="109" t="s">
        <v>1857</v>
      </c>
      <c r="H1793" s="108">
        <v>0</v>
      </c>
      <c r="I1793" s="109" t="s">
        <v>1856</v>
      </c>
      <c r="J1793" s="108">
        <v>10.64</v>
      </c>
    </row>
    <row r="1794" spans="1:10" ht="13.9" customHeight="1" x14ac:dyDescent="0.2">
      <c r="A1794" s="109"/>
      <c r="B1794" s="109"/>
      <c r="C1794" s="109"/>
      <c r="D1794" s="109"/>
      <c r="E1794" s="109" t="s">
        <v>1855</v>
      </c>
      <c r="F1794" s="108">
        <v>4.8825450000000004</v>
      </c>
      <c r="G1794" s="109"/>
      <c r="H1794" s="140" t="s">
        <v>1854</v>
      </c>
      <c r="I1794" s="140"/>
      <c r="J1794" s="108">
        <v>23.27</v>
      </c>
    </row>
    <row r="1795" spans="1:10" ht="30" customHeight="1" thickBot="1" x14ac:dyDescent="0.25">
      <c r="A1795" s="100"/>
      <c r="B1795" s="100"/>
      <c r="C1795" s="100"/>
      <c r="D1795" s="100"/>
      <c r="E1795" s="100"/>
      <c r="F1795" s="100"/>
      <c r="G1795" s="100" t="s">
        <v>1853</v>
      </c>
      <c r="H1795" s="107">
        <v>2</v>
      </c>
      <c r="I1795" s="100" t="s">
        <v>1852</v>
      </c>
      <c r="J1795" s="102">
        <v>46.54</v>
      </c>
    </row>
    <row r="1796" spans="1:10" ht="1.1499999999999999" customHeight="1" thickTop="1" x14ac:dyDescent="0.2">
      <c r="A1796" s="106"/>
      <c r="B1796" s="106"/>
      <c r="C1796" s="106"/>
      <c r="D1796" s="106"/>
      <c r="E1796" s="106"/>
      <c r="F1796" s="106"/>
      <c r="G1796" s="106"/>
      <c r="H1796" s="106"/>
      <c r="I1796" s="106"/>
      <c r="J1796" s="106"/>
    </row>
    <row r="1797" spans="1:10" ht="18" customHeight="1" x14ac:dyDescent="0.2">
      <c r="A1797" s="117" t="s">
        <v>435</v>
      </c>
      <c r="B1797" s="126" t="s">
        <v>5</v>
      </c>
      <c r="C1797" s="117" t="s">
        <v>6</v>
      </c>
      <c r="D1797" s="117" t="s">
        <v>7</v>
      </c>
      <c r="E1797" s="136" t="s">
        <v>1113</v>
      </c>
      <c r="F1797" s="136"/>
      <c r="G1797" s="7" t="s">
        <v>8</v>
      </c>
      <c r="H1797" s="126" t="s">
        <v>9</v>
      </c>
      <c r="I1797" s="126" t="s">
        <v>10</v>
      </c>
      <c r="J1797" s="126" t="s">
        <v>12</v>
      </c>
    </row>
    <row r="1798" spans="1:10" ht="24" customHeight="1" x14ac:dyDescent="0.2">
      <c r="A1798" s="116" t="s">
        <v>1861</v>
      </c>
      <c r="B1798" s="1" t="s">
        <v>436</v>
      </c>
      <c r="C1798" s="116" t="s">
        <v>20</v>
      </c>
      <c r="D1798" s="116" t="s">
        <v>437</v>
      </c>
      <c r="E1798" s="137">
        <v>8</v>
      </c>
      <c r="F1798" s="137"/>
      <c r="G1798" s="2" t="s">
        <v>37</v>
      </c>
      <c r="H1798" s="115">
        <v>1</v>
      </c>
      <c r="I1798" s="61">
        <v>12.21</v>
      </c>
      <c r="J1798" s="61">
        <v>12.21</v>
      </c>
    </row>
    <row r="1799" spans="1:10" ht="24" customHeight="1" x14ac:dyDescent="0.2">
      <c r="A1799" s="113" t="s">
        <v>1859</v>
      </c>
      <c r="B1799" s="114" t="s">
        <v>2328</v>
      </c>
      <c r="C1799" s="113" t="s">
        <v>20</v>
      </c>
      <c r="D1799" s="113" t="s">
        <v>2327</v>
      </c>
      <c r="E1799" s="139" t="s">
        <v>1369</v>
      </c>
      <c r="F1799" s="139"/>
      <c r="G1799" s="112" t="s">
        <v>246</v>
      </c>
      <c r="H1799" s="111">
        <v>1</v>
      </c>
      <c r="I1799" s="110">
        <v>4.7699999999999996</v>
      </c>
      <c r="J1799" s="110">
        <v>4.7699999999999996</v>
      </c>
    </row>
    <row r="1800" spans="1:10" ht="24" customHeight="1" x14ac:dyDescent="0.2">
      <c r="A1800" s="113" t="s">
        <v>1859</v>
      </c>
      <c r="B1800" s="114" t="s">
        <v>1981</v>
      </c>
      <c r="C1800" s="113" t="s">
        <v>20</v>
      </c>
      <c r="D1800" s="113" t="s">
        <v>1980</v>
      </c>
      <c r="E1800" s="139" t="s">
        <v>1860</v>
      </c>
      <c r="F1800" s="139"/>
      <c r="G1800" s="112" t="s">
        <v>1864</v>
      </c>
      <c r="H1800" s="111">
        <v>0.28000000000000003</v>
      </c>
      <c r="I1800" s="110">
        <v>15.97</v>
      </c>
      <c r="J1800" s="110">
        <v>4.47</v>
      </c>
    </row>
    <row r="1801" spans="1:10" ht="24" customHeight="1" x14ac:dyDescent="0.2">
      <c r="A1801" s="113" t="s">
        <v>1859</v>
      </c>
      <c r="B1801" s="114" t="s">
        <v>1951</v>
      </c>
      <c r="C1801" s="113" t="s">
        <v>20</v>
      </c>
      <c r="D1801" s="113" t="s">
        <v>1950</v>
      </c>
      <c r="E1801" s="139" t="s">
        <v>1860</v>
      </c>
      <c r="F1801" s="139"/>
      <c r="G1801" s="112" t="s">
        <v>1864</v>
      </c>
      <c r="H1801" s="111">
        <v>0.28000000000000003</v>
      </c>
      <c r="I1801" s="110">
        <v>10.62</v>
      </c>
      <c r="J1801" s="110">
        <v>2.97</v>
      </c>
    </row>
    <row r="1802" spans="1:10" x14ac:dyDescent="0.2">
      <c r="A1802" s="109"/>
      <c r="B1802" s="109"/>
      <c r="C1802" s="109"/>
      <c r="D1802" s="109"/>
      <c r="E1802" s="109" t="s">
        <v>1858</v>
      </c>
      <c r="F1802" s="108">
        <v>7.44</v>
      </c>
      <c r="G1802" s="109" t="s">
        <v>1857</v>
      </c>
      <c r="H1802" s="108">
        <v>0</v>
      </c>
      <c r="I1802" s="109" t="s">
        <v>1856</v>
      </c>
      <c r="J1802" s="108">
        <v>7.44</v>
      </c>
    </row>
    <row r="1803" spans="1:10" ht="13.9" customHeight="1" x14ac:dyDescent="0.2">
      <c r="A1803" s="109"/>
      <c r="B1803" s="109"/>
      <c r="C1803" s="109"/>
      <c r="D1803" s="109"/>
      <c r="E1803" s="109" t="s">
        <v>1855</v>
      </c>
      <c r="F1803" s="108">
        <v>3.2417549999999999</v>
      </c>
      <c r="G1803" s="109"/>
      <c r="H1803" s="140" t="s">
        <v>1854</v>
      </c>
      <c r="I1803" s="140"/>
      <c r="J1803" s="108">
        <v>15.45</v>
      </c>
    </row>
    <row r="1804" spans="1:10" ht="30" customHeight="1" thickBot="1" x14ac:dyDescent="0.25">
      <c r="A1804" s="100"/>
      <c r="B1804" s="100"/>
      <c r="C1804" s="100"/>
      <c r="D1804" s="100"/>
      <c r="E1804" s="100"/>
      <c r="F1804" s="100"/>
      <c r="G1804" s="100" t="s">
        <v>1853</v>
      </c>
      <c r="H1804" s="107">
        <v>10</v>
      </c>
      <c r="I1804" s="100" t="s">
        <v>1852</v>
      </c>
      <c r="J1804" s="102">
        <v>154.5</v>
      </c>
    </row>
    <row r="1805" spans="1:10" ht="1.1499999999999999" customHeight="1" thickTop="1" x14ac:dyDescent="0.2">
      <c r="A1805" s="106"/>
      <c r="B1805" s="106"/>
      <c r="C1805" s="106"/>
      <c r="D1805" s="106"/>
      <c r="E1805" s="106"/>
      <c r="F1805" s="106"/>
      <c r="G1805" s="106"/>
      <c r="H1805" s="106"/>
      <c r="I1805" s="106"/>
      <c r="J1805" s="106"/>
    </row>
    <row r="1806" spans="1:10" ht="18" customHeight="1" x14ac:dyDescent="0.2">
      <c r="A1806" s="117" t="s">
        <v>438</v>
      </c>
      <c r="B1806" s="126" t="s">
        <v>5</v>
      </c>
      <c r="C1806" s="117" t="s">
        <v>6</v>
      </c>
      <c r="D1806" s="117" t="s">
        <v>7</v>
      </c>
      <c r="E1806" s="136" t="s">
        <v>1113</v>
      </c>
      <c r="F1806" s="136"/>
      <c r="G1806" s="7" t="s">
        <v>8</v>
      </c>
      <c r="H1806" s="126" t="s">
        <v>9</v>
      </c>
      <c r="I1806" s="126" t="s">
        <v>10</v>
      </c>
      <c r="J1806" s="126" t="s">
        <v>12</v>
      </c>
    </row>
    <row r="1807" spans="1:10" ht="24" customHeight="1" x14ac:dyDescent="0.2">
      <c r="A1807" s="116" t="s">
        <v>1861</v>
      </c>
      <c r="B1807" s="1" t="s">
        <v>439</v>
      </c>
      <c r="C1807" s="116" t="s">
        <v>20</v>
      </c>
      <c r="D1807" s="116" t="s">
        <v>440</v>
      </c>
      <c r="E1807" s="137">
        <v>8</v>
      </c>
      <c r="F1807" s="137"/>
      <c r="G1807" s="2" t="s">
        <v>37</v>
      </c>
      <c r="H1807" s="115">
        <v>1</v>
      </c>
      <c r="I1807" s="61">
        <v>20.65</v>
      </c>
      <c r="J1807" s="61">
        <v>20.65</v>
      </c>
    </row>
    <row r="1808" spans="1:10" ht="24" customHeight="1" x14ac:dyDescent="0.2">
      <c r="A1808" s="113" t="s">
        <v>1859</v>
      </c>
      <c r="B1808" s="114" t="s">
        <v>2326</v>
      </c>
      <c r="C1808" s="113" t="s">
        <v>20</v>
      </c>
      <c r="D1808" s="113" t="s">
        <v>2325</v>
      </c>
      <c r="E1808" s="139" t="s">
        <v>1369</v>
      </c>
      <c r="F1808" s="139"/>
      <c r="G1808" s="112" t="s">
        <v>246</v>
      </c>
      <c r="H1808" s="111">
        <v>1</v>
      </c>
      <c r="I1808" s="110">
        <v>8.68</v>
      </c>
      <c r="J1808" s="110">
        <v>8.68</v>
      </c>
    </row>
    <row r="1809" spans="1:10" ht="24" customHeight="1" x14ac:dyDescent="0.2">
      <c r="A1809" s="113" t="s">
        <v>1859</v>
      </c>
      <c r="B1809" s="114" t="s">
        <v>1981</v>
      </c>
      <c r="C1809" s="113" t="s">
        <v>20</v>
      </c>
      <c r="D1809" s="113" t="s">
        <v>1980</v>
      </c>
      <c r="E1809" s="139" t="s">
        <v>1860</v>
      </c>
      <c r="F1809" s="139"/>
      <c r="G1809" s="112" t="s">
        <v>1864</v>
      </c>
      <c r="H1809" s="111">
        <v>0.45</v>
      </c>
      <c r="I1809" s="110">
        <v>15.97</v>
      </c>
      <c r="J1809" s="110">
        <v>7.19</v>
      </c>
    </row>
    <row r="1810" spans="1:10" ht="24" customHeight="1" x14ac:dyDescent="0.2">
      <c r="A1810" s="113" t="s">
        <v>1859</v>
      </c>
      <c r="B1810" s="114" t="s">
        <v>1951</v>
      </c>
      <c r="C1810" s="113" t="s">
        <v>20</v>
      </c>
      <c r="D1810" s="113" t="s">
        <v>1950</v>
      </c>
      <c r="E1810" s="139" t="s">
        <v>1860</v>
      </c>
      <c r="F1810" s="139"/>
      <c r="G1810" s="112" t="s">
        <v>1864</v>
      </c>
      <c r="H1810" s="111">
        <v>0.45</v>
      </c>
      <c r="I1810" s="110">
        <v>10.62</v>
      </c>
      <c r="J1810" s="110">
        <v>4.78</v>
      </c>
    </row>
    <row r="1811" spans="1:10" x14ac:dyDescent="0.2">
      <c r="A1811" s="109"/>
      <c r="B1811" s="109"/>
      <c r="C1811" s="109"/>
      <c r="D1811" s="109"/>
      <c r="E1811" s="109" t="s">
        <v>1858</v>
      </c>
      <c r="F1811" s="108">
        <v>11.97</v>
      </c>
      <c r="G1811" s="109" t="s">
        <v>1857</v>
      </c>
      <c r="H1811" s="108">
        <v>0</v>
      </c>
      <c r="I1811" s="109" t="s">
        <v>1856</v>
      </c>
      <c r="J1811" s="108">
        <v>11.97</v>
      </c>
    </row>
    <row r="1812" spans="1:10" ht="13.9" customHeight="1" x14ac:dyDescent="0.2">
      <c r="A1812" s="109"/>
      <c r="B1812" s="109"/>
      <c r="C1812" s="109"/>
      <c r="D1812" s="109"/>
      <c r="E1812" s="109" t="s">
        <v>1855</v>
      </c>
      <c r="F1812" s="108">
        <v>5.4825749999999998</v>
      </c>
      <c r="G1812" s="109"/>
      <c r="H1812" s="140" t="s">
        <v>1854</v>
      </c>
      <c r="I1812" s="140"/>
      <c r="J1812" s="108">
        <v>26.13</v>
      </c>
    </row>
    <row r="1813" spans="1:10" ht="30" customHeight="1" thickBot="1" x14ac:dyDescent="0.25">
      <c r="A1813" s="100"/>
      <c r="B1813" s="100"/>
      <c r="C1813" s="100"/>
      <c r="D1813" s="100"/>
      <c r="E1813" s="100"/>
      <c r="F1813" s="100"/>
      <c r="G1813" s="100" t="s">
        <v>1853</v>
      </c>
      <c r="H1813" s="107">
        <v>3</v>
      </c>
      <c r="I1813" s="100" t="s">
        <v>1852</v>
      </c>
      <c r="J1813" s="102">
        <v>78.39</v>
      </c>
    </row>
    <row r="1814" spans="1:10" ht="1.1499999999999999" customHeight="1" thickTop="1" x14ac:dyDescent="0.2">
      <c r="A1814" s="106"/>
      <c r="B1814" s="106"/>
      <c r="C1814" s="106"/>
      <c r="D1814" s="106"/>
      <c r="E1814" s="106"/>
      <c r="F1814" s="106"/>
      <c r="G1814" s="106"/>
      <c r="H1814" s="106"/>
      <c r="I1814" s="106"/>
      <c r="J1814" s="106"/>
    </row>
    <row r="1815" spans="1:10" ht="18" customHeight="1" x14ac:dyDescent="0.2">
      <c r="A1815" s="117" t="s">
        <v>441</v>
      </c>
      <c r="B1815" s="126" t="s">
        <v>5</v>
      </c>
      <c r="C1815" s="117" t="s">
        <v>6</v>
      </c>
      <c r="D1815" s="117" t="s">
        <v>7</v>
      </c>
      <c r="E1815" s="136" t="s">
        <v>1113</v>
      </c>
      <c r="F1815" s="136"/>
      <c r="G1815" s="7" t="s">
        <v>8</v>
      </c>
      <c r="H1815" s="126" t="s">
        <v>9</v>
      </c>
      <c r="I1815" s="126" t="s">
        <v>10</v>
      </c>
      <c r="J1815" s="126" t="s">
        <v>12</v>
      </c>
    </row>
    <row r="1816" spans="1:10" ht="24" customHeight="1" x14ac:dyDescent="0.2">
      <c r="A1816" s="116" t="s">
        <v>1861</v>
      </c>
      <c r="B1816" s="1" t="s">
        <v>442</v>
      </c>
      <c r="C1816" s="116" t="s">
        <v>20</v>
      </c>
      <c r="D1816" s="116" t="s">
        <v>443</v>
      </c>
      <c r="E1816" s="137">
        <v>8</v>
      </c>
      <c r="F1816" s="137"/>
      <c r="G1816" s="2" t="s">
        <v>37</v>
      </c>
      <c r="H1816" s="115">
        <v>1</v>
      </c>
      <c r="I1816" s="61">
        <v>12.72</v>
      </c>
      <c r="J1816" s="61">
        <v>12.72</v>
      </c>
    </row>
    <row r="1817" spans="1:10" ht="24" customHeight="1" x14ac:dyDescent="0.2">
      <c r="A1817" s="113" t="s">
        <v>1859</v>
      </c>
      <c r="B1817" s="114" t="s">
        <v>1951</v>
      </c>
      <c r="C1817" s="113" t="s">
        <v>20</v>
      </c>
      <c r="D1817" s="113" t="s">
        <v>1950</v>
      </c>
      <c r="E1817" s="139" t="s">
        <v>1860</v>
      </c>
      <c r="F1817" s="139"/>
      <c r="G1817" s="112" t="s">
        <v>1864</v>
      </c>
      <c r="H1817" s="111">
        <v>0.23</v>
      </c>
      <c r="I1817" s="110">
        <v>10.62</v>
      </c>
      <c r="J1817" s="110">
        <v>2.44</v>
      </c>
    </row>
    <row r="1818" spans="1:10" ht="24" customHeight="1" x14ac:dyDescent="0.2">
      <c r="A1818" s="113" t="s">
        <v>1859</v>
      </c>
      <c r="B1818" s="114" t="s">
        <v>1981</v>
      </c>
      <c r="C1818" s="113" t="s">
        <v>20</v>
      </c>
      <c r="D1818" s="113" t="s">
        <v>1980</v>
      </c>
      <c r="E1818" s="139" t="s">
        <v>1860</v>
      </c>
      <c r="F1818" s="139"/>
      <c r="G1818" s="112" t="s">
        <v>1864</v>
      </c>
      <c r="H1818" s="111">
        <v>0.23</v>
      </c>
      <c r="I1818" s="110">
        <v>15.97</v>
      </c>
      <c r="J1818" s="110">
        <v>3.67</v>
      </c>
    </row>
    <row r="1819" spans="1:10" ht="24" customHeight="1" x14ac:dyDescent="0.2">
      <c r="A1819" s="113" t="s">
        <v>1859</v>
      </c>
      <c r="B1819" s="114" t="s">
        <v>2324</v>
      </c>
      <c r="C1819" s="113" t="s">
        <v>20</v>
      </c>
      <c r="D1819" s="113" t="s">
        <v>2323</v>
      </c>
      <c r="E1819" s="139" t="s">
        <v>1369</v>
      </c>
      <c r="F1819" s="139"/>
      <c r="G1819" s="112" t="s">
        <v>246</v>
      </c>
      <c r="H1819" s="111">
        <v>1</v>
      </c>
      <c r="I1819" s="110">
        <v>6.61</v>
      </c>
      <c r="J1819" s="110">
        <v>6.61</v>
      </c>
    </row>
    <row r="1820" spans="1:10" x14ac:dyDescent="0.2">
      <c r="A1820" s="109"/>
      <c r="B1820" s="109"/>
      <c r="C1820" s="109"/>
      <c r="D1820" s="109"/>
      <c r="E1820" s="109" t="s">
        <v>1858</v>
      </c>
      <c r="F1820" s="108">
        <v>6.11</v>
      </c>
      <c r="G1820" s="109" t="s">
        <v>1857</v>
      </c>
      <c r="H1820" s="108">
        <v>0</v>
      </c>
      <c r="I1820" s="109" t="s">
        <v>1856</v>
      </c>
      <c r="J1820" s="108">
        <v>6.11</v>
      </c>
    </row>
    <row r="1821" spans="1:10" ht="13.9" customHeight="1" x14ac:dyDescent="0.2">
      <c r="A1821" s="109"/>
      <c r="B1821" s="109"/>
      <c r="C1821" s="109"/>
      <c r="D1821" s="109"/>
      <c r="E1821" s="109" t="s">
        <v>1855</v>
      </c>
      <c r="F1821" s="108">
        <v>3.3771599999999999</v>
      </c>
      <c r="G1821" s="109"/>
      <c r="H1821" s="140" t="s">
        <v>1854</v>
      </c>
      <c r="I1821" s="140"/>
      <c r="J1821" s="108">
        <v>16.100000000000001</v>
      </c>
    </row>
    <row r="1822" spans="1:10" ht="30" customHeight="1" thickBot="1" x14ac:dyDescent="0.25">
      <c r="A1822" s="100"/>
      <c r="B1822" s="100"/>
      <c r="C1822" s="100"/>
      <c r="D1822" s="100"/>
      <c r="E1822" s="100"/>
      <c r="F1822" s="100"/>
      <c r="G1822" s="100" t="s">
        <v>1853</v>
      </c>
      <c r="H1822" s="107">
        <v>6</v>
      </c>
      <c r="I1822" s="100" t="s">
        <v>1852</v>
      </c>
      <c r="J1822" s="102">
        <v>96.6</v>
      </c>
    </row>
    <row r="1823" spans="1:10" ht="1.1499999999999999" customHeight="1" thickTop="1" x14ac:dyDescent="0.2">
      <c r="A1823" s="106"/>
      <c r="B1823" s="106"/>
      <c r="C1823" s="106"/>
      <c r="D1823" s="106"/>
      <c r="E1823" s="106"/>
      <c r="F1823" s="106"/>
      <c r="G1823" s="106"/>
      <c r="H1823" s="106"/>
      <c r="I1823" s="106"/>
      <c r="J1823" s="106"/>
    </row>
    <row r="1824" spans="1:10" ht="18" customHeight="1" x14ac:dyDescent="0.2">
      <c r="A1824" s="117" t="s">
        <v>444</v>
      </c>
      <c r="B1824" s="126" t="s">
        <v>5</v>
      </c>
      <c r="C1824" s="117" t="s">
        <v>6</v>
      </c>
      <c r="D1824" s="117" t="s">
        <v>7</v>
      </c>
      <c r="E1824" s="136" t="s">
        <v>1113</v>
      </c>
      <c r="F1824" s="136"/>
      <c r="G1824" s="7" t="s">
        <v>8</v>
      </c>
      <c r="H1824" s="126" t="s">
        <v>9</v>
      </c>
      <c r="I1824" s="126" t="s">
        <v>10</v>
      </c>
      <c r="J1824" s="126" t="s">
        <v>12</v>
      </c>
    </row>
    <row r="1825" spans="1:10" ht="24" customHeight="1" x14ac:dyDescent="0.2">
      <c r="A1825" s="116" t="s">
        <v>1861</v>
      </c>
      <c r="B1825" s="1" t="s">
        <v>446</v>
      </c>
      <c r="C1825" s="116" t="s">
        <v>20</v>
      </c>
      <c r="D1825" s="116" t="s">
        <v>447</v>
      </c>
      <c r="E1825" s="137">
        <v>8</v>
      </c>
      <c r="F1825" s="137"/>
      <c r="G1825" s="2" t="s">
        <v>37</v>
      </c>
      <c r="H1825" s="115">
        <v>1</v>
      </c>
      <c r="I1825" s="61">
        <v>16.12</v>
      </c>
      <c r="J1825" s="61">
        <v>16.12</v>
      </c>
    </row>
    <row r="1826" spans="1:10" ht="24" customHeight="1" x14ac:dyDescent="0.2">
      <c r="A1826" s="113" t="s">
        <v>1859</v>
      </c>
      <c r="B1826" s="114" t="s">
        <v>2322</v>
      </c>
      <c r="C1826" s="113" t="s">
        <v>20</v>
      </c>
      <c r="D1826" s="113" t="s">
        <v>2321</v>
      </c>
      <c r="E1826" s="139" t="s">
        <v>1369</v>
      </c>
      <c r="F1826" s="139"/>
      <c r="G1826" s="112" t="s">
        <v>246</v>
      </c>
      <c r="H1826" s="111">
        <v>1</v>
      </c>
      <c r="I1826" s="110">
        <v>6.55</v>
      </c>
      <c r="J1826" s="110">
        <v>6.55</v>
      </c>
    </row>
    <row r="1827" spans="1:10" ht="24" customHeight="1" x14ac:dyDescent="0.2">
      <c r="A1827" s="113" t="s">
        <v>1859</v>
      </c>
      <c r="B1827" s="114" t="s">
        <v>1981</v>
      </c>
      <c r="C1827" s="113" t="s">
        <v>20</v>
      </c>
      <c r="D1827" s="113" t="s">
        <v>1980</v>
      </c>
      <c r="E1827" s="139" t="s">
        <v>1860</v>
      </c>
      <c r="F1827" s="139"/>
      <c r="G1827" s="112" t="s">
        <v>1864</v>
      </c>
      <c r="H1827" s="111">
        <v>0.36</v>
      </c>
      <c r="I1827" s="110">
        <v>15.97</v>
      </c>
      <c r="J1827" s="110">
        <v>5.75</v>
      </c>
    </row>
    <row r="1828" spans="1:10" ht="24" customHeight="1" x14ac:dyDescent="0.2">
      <c r="A1828" s="113" t="s">
        <v>1859</v>
      </c>
      <c r="B1828" s="114" t="s">
        <v>1951</v>
      </c>
      <c r="C1828" s="113" t="s">
        <v>20</v>
      </c>
      <c r="D1828" s="113" t="s">
        <v>1950</v>
      </c>
      <c r="E1828" s="139" t="s">
        <v>1860</v>
      </c>
      <c r="F1828" s="139"/>
      <c r="G1828" s="112" t="s">
        <v>1864</v>
      </c>
      <c r="H1828" s="111">
        <v>0.36</v>
      </c>
      <c r="I1828" s="110">
        <v>10.62</v>
      </c>
      <c r="J1828" s="110">
        <v>3.82</v>
      </c>
    </row>
    <row r="1829" spans="1:10" x14ac:dyDescent="0.2">
      <c r="A1829" s="109"/>
      <c r="B1829" s="109"/>
      <c r="C1829" s="109"/>
      <c r="D1829" s="109"/>
      <c r="E1829" s="109" t="s">
        <v>1858</v>
      </c>
      <c r="F1829" s="108">
        <v>9.57</v>
      </c>
      <c r="G1829" s="109" t="s">
        <v>1857</v>
      </c>
      <c r="H1829" s="108">
        <v>0</v>
      </c>
      <c r="I1829" s="109" t="s">
        <v>1856</v>
      </c>
      <c r="J1829" s="108">
        <v>9.57</v>
      </c>
    </row>
    <row r="1830" spans="1:10" ht="13.9" customHeight="1" x14ac:dyDescent="0.2">
      <c r="A1830" s="109"/>
      <c r="B1830" s="109"/>
      <c r="C1830" s="109"/>
      <c r="D1830" s="109"/>
      <c r="E1830" s="109" t="s">
        <v>1855</v>
      </c>
      <c r="F1830" s="108">
        <v>4.2798600000000002</v>
      </c>
      <c r="G1830" s="109"/>
      <c r="H1830" s="140" t="s">
        <v>1854</v>
      </c>
      <c r="I1830" s="140"/>
      <c r="J1830" s="108">
        <v>20.399999999999999</v>
      </c>
    </row>
    <row r="1831" spans="1:10" ht="30" customHeight="1" thickBot="1" x14ac:dyDescent="0.25">
      <c r="A1831" s="100"/>
      <c r="B1831" s="100"/>
      <c r="C1831" s="100"/>
      <c r="D1831" s="100"/>
      <c r="E1831" s="100"/>
      <c r="F1831" s="100"/>
      <c r="G1831" s="100" t="s">
        <v>1853</v>
      </c>
      <c r="H1831" s="107">
        <v>2</v>
      </c>
      <c r="I1831" s="100" t="s">
        <v>1852</v>
      </c>
      <c r="J1831" s="102">
        <v>40.799999999999997</v>
      </c>
    </row>
    <row r="1832" spans="1:10" ht="1.1499999999999999" customHeight="1" thickTop="1" x14ac:dyDescent="0.2">
      <c r="A1832" s="106"/>
      <c r="B1832" s="106"/>
      <c r="C1832" s="106"/>
      <c r="D1832" s="106"/>
      <c r="E1832" s="106"/>
      <c r="F1832" s="106"/>
      <c r="G1832" s="106"/>
      <c r="H1832" s="106"/>
      <c r="I1832" s="106"/>
      <c r="J1832" s="106"/>
    </row>
    <row r="1833" spans="1:10" ht="18" customHeight="1" x14ac:dyDescent="0.2">
      <c r="A1833" s="117" t="s">
        <v>445</v>
      </c>
      <c r="B1833" s="126" t="s">
        <v>5</v>
      </c>
      <c r="C1833" s="117" t="s">
        <v>6</v>
      </c>
      <c r="D1833" s="117" t="s">
        <v>7</v>
      </c>
      <c r="E1833" s="136" t="s">
        <v>1113</v>
      </c>
      <c r="F1833" s="136"/>
      <c r="G1833" s="7" t="s">
        <v>8</v>
      </c>
      <c r="H1833" s="126" t="s">
        <v>9</v>
      </c>
      <c r="I1833" s="126" t="s">
        <v>10</v>
      </c>
      <c r="J1833" s="126" t="s">
        <v>12</v>
      </c>
    </row>
    <row r="1834" spans="1:10" ht="24" customHeight="1" x14ac:dyDescent="0.2">
      <c r="A1834" s="116" t="s">
        <v>1861</v>
      </c>
      <c r="B1834" s="1" t="s">
        <v>449</v>
      </c>
      <c r="C1834" s="116" t="s">
        <v>20</v>
      </c>
      <c r="D1834" s="116" t="s">
        <v>450</v>
      </c>
      <c r="E1834" s="137">
        <v>8</v>
      </c>
      <c r="F1834" s="137"/>
      <c r="G1834" s="2" t="s">
        <v>37</v>
      </c>
      <c r="H1834" s="115">
        <v>1</v>
      </c>
      <c r="I1834" s="61">
        <v>48.55</v>
      </c>
      <c r="J1834" s="61">
        <v>48.55</v>
      </c>
    </row>
    <row r="1835" spans="1:10" ht="24" customHeight="1" x14ac:dyDescent="0.2">
      <c r="A1835" s="113" t="s">
        <v>1859</v>
      </c>
      <c r="B1835" s="114" t="s">
        <v>2320</v>
      </c>
      <c r="C1835" s="113" t="s">
        <v>20</v>
      </c>
      <c r="D1835" s="113" t="s">
        <v>2319</v>
      </c>
      <c r="E1835" s="139" t="s">
        <v>1369</v>
      </c>
      <c r="F1835" s="139"/>
      <c r="G1835" s="112" t="s">
        <v>246</v>
      </c>
      <c r="H1835" s="111">
        <v>1</v>
      </c>
      <c r="I1835" s="110">
        <v>36.31</v>
      </c>
      <c r="J1835" s="110">
        <v>36.31</v>
      </c>
    </row>
    <row r="1836" spans="1:10" ht="24" customHeight="1" x14ac:dyDescent="0.2">
      <c r="A1836" s="113" t="s">
        <v>1859</v>
      </c>
      <c r="B1836" s="114" t="s">
        <v>1981</v>
      </c>
      <c r="C1836" s="113" t="s">
        <v>20</v>
      </c>
      <c r="D1836" s="113" t="s">
        <v>1980</v>
      </c>
      <c r="E1836" s="139" t="s">
        <v>1860</v>
      </c>
      <c r="F1836" s="139"/>
      <c r="G1836" s="112" t="s">
        <v>1864</v>
      </c>
      <c r="H1836" s="111">
        <v>0.46</v>
      </c>
      <c r="I1836" s="110">
        <v>15.97</v>
      </c>
      <c r="J1836" s="110">
        <v>7.35</v>
      </c>
    </row>
    <row r="1837" spans="1:10" ht="24" customHeight="1" x14ac:dyDescent="0.2">
      <c r="A1837" s="113" t="s">
        <v>1859</v>
      </c>
      <c r="B1837" s="114" t="s">
        <v>1951</v>
      </c>
      <c r="C1837" s="113" t="s">
        <v>20</v>
      </c>
      <c r="D1837" s="113" t="s">
        <v>1950</v>
      </c>
      <c r="E1837" s="139" t="s">
        <v>1860</v>
      </c>
      <c r="F1837" s="139"/>
      <c r="G1837" s="112" t="s">
        <v>1864</v>
      </c>
      <c r="H1837" s="111">
        <v>0.46</v>
      </c>
      <c r="I1837" s="110">
        <v>10.62</v>
      </c>
      <c r="J1837" s="110">
        <v>4.8899999999999997</v>
      </c>
    </row>
    <row r="1838" spans="1:10" x14ac:dyDescent="0.2">
      <c r="A1838" s="109"/>
      <c r="B1838" s="109"/>
      <c r="C1838" s="109"/>
      <c r="D1838" s="109"/>
      <c r="E1838" s="109" t="s">
        <v>1858</v>
      </c>
      <c r="F1838" s="108">
        <v>12.24</v>
      </c>
      <c r="G1838" s="109" t="s">
        <v>1857</v>
      </c>
      <c r="H1838" s="108">
        <v>0</v>
      </c>
      <c r="I1838" s="109" t="s">
        <v>1856</v>
      </c>
      <c r="J1838" s="108">
        <v>12.24</v>
      </c>
    </row>
    <row r="1839" spans="1:10" ht="13.9" customHeight="1" x14ac:dyDescent="0.2">
      <c r="A1839" s="109"/>
      <c r="B1839" s="109"/>
      <c r="C1839" s="109"/>
      <c r="D1839" s="109"/>
      <c r="E1839" s="109" t="s">
        <v>1855</v>
      </c>
      <c r="F1839" s="108">
        <v>12.890025</v>
      </c>
      <c r="G1839" s="109"/>
      <c r="H1839" s="140" t="s">
        <v>1854</v>
      </c>
      <c r="I1839" s="140"/>
      <c r="J1839" s="108">
        <v>61.44</v>
      </c>
    </row>
    <row r="1840" spans="1:10" ht="30" customHeight="1" thickBot="1" x14ac:dyDescent="0.25">
      <c r="A1840" s="100"/>
      <c r="B1840" s="100"/>
      <c r="C1840" s="100"/>
      <c r="D1840" s="100"/>
      <c r="E1840" s="100"/>
      <c r="F1840" s="100"/>
      <c r="G1840" s="100" t="s">
        <v>1853</v>
      </c>
      <c r="H1840" s="107">
        <v>3</v>
      </c>
      <c r="I1840" s="100" t="s">
        <v>1852</v>
      </c>
      <c r="J1840" s="102">
        <v>184.32</v>
      </c>
    </row>
    <row r="1841" spans="1:10" ht="1.1499999999999999" customHeight="1" thickTop="1" x14ac:dyDescent="0.2">
      <c r="A1841" s="106"/>
      <c r="B1841" s="106"/>
      <c r="C1841" s="106"/>
      <c r="D1841" s="106"/>
      <c r="E1841" s="106"/>
      <c r="F1841" s="106"/>
      <c r="G1841" s="106"/>
      <c r="H1841" s="106"/>
      <c r="I1841" s="106"/>
      <c r="J1841" s="106"/>
    </row>
    <row r="1842" spans="1:10" ht="18" customHeight="1" x14ac:dyDescent="0.2">
      <c r="A1842" s="117" t="s">
        <v>448</v>
      </c>
      <c r="B1842" s="126" t="s">
        <v>5</v>
      </c>
      <c r="C1842" s="117" t="s">
        <v>6</v>
      </c>
      <c r="D1842" s="117" t="s">
        <v>7</v>
      </c>
      <c r="E1842" s="136" t="s">
        <v>1113</v>
      </c>
      <c r="F1842" s="136"/>
      <c r="G1842" s="7" t="s">
        <v>8</v>
      </c>
      <c r="H1842" s="126" t="s">
        <v>9</v>
      </c>
      <c r="I1842" s="126" t="s">
        <v>10</v>
      </c>
      <c r="J1842" s="126" t="s">
        <v>12</v>
      </c>
    </row>
    <row r="1843" spans="1:10" ht="24" customHeight="1" x14ac:dyDescent="0.2">
      <c r="A1843" s="116" t="s">
        <v>1861</v>
      </c>
      <c r="B1843" s="1" t="s">
        <v>395</v>
      </c>
      <c r="C1843" s="116" t="s">
        <v>20</v>
      </c>
      <c r="D1843" s="116" t="s">
        <v>396</v>
      </c>
      <c r="E1843" s="137">
        <v>8</v>
      </c>
      <c r="F1843" s="137"/>
      <c r="G1843" s="2" t="s">
        <v>37</v>
      </c>
      <c r="H1843" s="115">
        <v>1</v>
      </c>
      <c r="I1843" s="61">
        <v>20.6</v>
      </c>
      <c r="J1843" s="61">
        <v>20.6</v>
      </c>
    </row>
    <row r="1844" spans="1:10" ht="24" customHeight="1" x14ac:dyDescent="0.2">
      <c r="A1844" s="113" t="s">
        <v>1859</v>
      </c>
      <c r="B1844" s="114" t="s">
        <v>1951</v>
      </c>
      <c r="C1844" s="113" t="s">
        <v>20</v>
      </c>
      <c r="D1844" s="113" t="s">
        <v>1950</v>
      </c>
      <c r="E1844" s="139" t="s">
        <v>1860</v>
      </c>
      <c r="F1844" s="139"/>
      <c r="G1844" s="112" t="s">
        <v>1864</v>
      </c>
      <c r="H1844" s="111">
        <v>0.45</v>
      </c>
      <c r="I1844" s="110">
        <v>10.62</v>
      </c>
      <c r="J1844" s="110">
        <v>4.78</v>
      </c>
    </row>
    <row r="1845" spans="1:10" ht="24" customHeight="1" x14ac:dyDescent="0.2">
      <c r="A1845" s="113" t="s">
        <v>1859</v>
      </c>
      <c r="B1845" s="114" t="s">
        <v>1981</v>
      </c>
      <c r="C1845" s="113" t="s">
        <v>20</v>
      </c>
      <c r="D1845" s="113" t="s">
        <v>1980</v>
      </c>
      <c r="E1845" s="139" t="s">
        <v>1860</v>
      </c>
      <c r="F1845" s="139"/>
      <c r="G1845" s="112" t="s">
        <v>1864</v>
      </c>
      <c r="H1845" s="111">
        <v>0.45</v>
      </c>
      <c r="I1845" s="110">
        <v>15.97</v>
      </c>
      <c r="J1845" s="110">
        <v>7.19</v>
      </c>
    </row>
    <row r="1846" spans="1:10" ht="24" customHeight="1" x14ac:dyDescent="0.2">
      <c r="A1846" s="113" t="s">
        <v>1859</v>
      </c>
      <c r="B1846" s="114" t="s">
        <v>2318</v>
      </c>
      <c r="C1846" s="113" t="s">
        <v>20</v>
      </c>
      <c r="D1846" s="113" t="s">
        <v>2317</v>
      </c>
      <c r="E1846" s="139" t="s">
        <v>1369</v>
      </c>
      <c r="F1846" s="139"/>
      <c r="G1846" s="112" t="s">
        <v>246</v>
      </c>
      <c r="H1846" s="111">
        <v>1</v>
      </c>
      <c r="I1846" s="110">
        <v>8.6300000000000008</v>
      </c>
      <c r="J1846" s="110">
        <v>8.6300000000000008</v>
      </c>
    </row>
    <row r="1847" spans="1:10" x14ac:dyDescent="0.2">
      <c r="A1847" s="109"/>
      <c r="B1847" s="109"/>
      <c r="C1847" s="109"/>
      <c r="D1847" s="109"/>
      <c r="E1847" s="109" t="s">
        <v>1858</v>
      </c>
      <c r="F1847" s="108">
        <v>11.97</v>
      </c>
      <c r="G1847" s="109" t="s">
        <v>1857</v>
      </c>
      <c r="H1847" s="108">
        <v>0</v>
      </c>
      <c r="I1847" s="109" t="s">
        <v>1856</v>
      </c>
      <c r="J1847" s="108">
        <v>11.97</v>
      </c>
    </row>
    <row r="1848" spans="1:10" ht="13.9" customHeight="1" x14ac:dyDescent="0.2">
      <c r="A1848" s="109"/>
      <c r="B1848" s="109"/>
      <c r="C1848" s="109"/>
      <c r="D1848" s="109"/>
      <c r="E1848" s="109" t="s">
        <v>1855</v>
      </c>
      <c r="F1848" s="108">
        <v>5.4692999999999996</v>
      </c>
      <c r="G1848" s="109"/>
      <c r="H1848" s="140" t="s">
        <v>1854</v>
      </c>
      <c r="I1848" s="140"/>
      <c r="J1848" s="108">
        <v>26.07</v>
      </c>
    </row>
    <row r="1849" spans="1:10" ht="30" customHeight="1" thickBot="1" x14ac:dyDescent="0.25">
      <c r="A1849" s="100"/>
      <c r="B1849" s="100"/>
      <c r="C1849" s="100"/>
      <c r="D1849" s="100"/>
      <c r="E1849" s="100"/>
      <c r="F1849" s="100"/>
      <c r="G1849" s="100" t="s">
        <v>1853</v>
      </c>
      <c r="H1849" s="107">
        <v>3</v>
      </c>
      <c r="I1849" s="100" t="s">
        <v>1852</v>
      </c>
      <c r="J1849" s="102">
        <v>78.209999999999994</v>
      </c>
    </row>
    <row r="1850" spans="1:10" ht="1.1499999999999999" customHeight="1" thickTop="1" x14ac:dyDescent="0.2">
      <c r="A1850" s="106"/>
      <c r="B1850" s="106"/>
      <c r="C1850" s="106"/>
      <c r="D1850" s="106"/>
      <c r="E1850" s="106"/>
      <c r="F1850" s="106"/>
      <c r="G1850" s="106"/>
      <c r="H1850" s="106"/>
      <c r="I1850" s="106"/>
      <c r="J1850" s="106"/>
    </row>
    <row r="1851" spans="1:10" ht="18" customHeight="1" x14ac:dyDescent="0.2">
      <c r="A1851" s="117" t="s">
        <v>451</v>
      </c>
      <c r="B1851" s="126" t="s">
        <v>5</v>
      </c>
      <c r="C1851" s="117" t="s">
        <v>6</v>
      </c>
      <c r="D1851" s="117" t="s">
        <v>7</v>
      </c>
      <c r="E1851" s="136" t="s">
        <v>1113</v>
      </c>
      <c r="F1851" s="136"/>
      <c r="G1851" s="7" t="s">
        <v>8</v>
      </c>
      <c r="H1851" s="126" t="s">
        <v>9</v>
      </c>
      <c r="I1851" s="126" t="s">
        <v>10</v>
      </c>
      <c r="J1851" s="126" t="s">
        <v>12</v>
      </c>
    </row>
    <row r="1852" spans="1:10" ht="36" customHeight="1" x14ac:dyDescent="0.2">
      <c r="A1852" s="116" t="s">
        <v>1861</v>
      </c>
      <c r="B1852" s="1" t="s">
        <v>453</v>
      </c>
      <c r="C1852" s="116" t="s">
        <v>20</v>
      </c>
      <c r="D1852" s="116" t="s">
        <v>454</v>
      </c>
      <c r="E1852" s="137">
        <v>8</v>
      </c>
      <c r="F1852" s="137"/>
      <c r="G1852" s="2" t="s">
        <v>246</v>
      </c>
      <c r="H1852" s="115">
        <v>1</v>
      </c>
      <c r="I1852" s="61">
        <v>329.31</v>
      </c>
      <c r="J1852" s="61">
        <v>329.31</v>
      </c>
    </row>
    <row r="1853" spans="1:10" ht="36" customHeight="1" x14ac:dyDescent="0.2">
      <c r="A1853" s="113" t="s">
        <v>1859</v>
      </c>
      <c r="B1853" s="114" t="s">
        <v>2316</v>
      </c>
      <c r="C1853" s="113" t="s">
        <v>20</v>
      </c>
      <c r="D1853" s="113" t="s">
        <v>2315</v>
      </c>
      <c r="E1853" s="139" t="s">
        <v>1369</v>
      </c>
      <c r="F1853" s="139"/>
      <c r="G1853" s="112" t="s">
        <v>246</v>
      </c>
      <c r="H1853" s="111">
        <v>1</v>
      </c>
      <c r="I1853" s="110">
        <v>305.91000000000003</v>
      </c>
      <c r="J1853" s="110">
        <v>305.91000000000003</v>
      </c>
    </row>
    <row r="1854" spans="1:10" ht="24" customHeight="1" x14ac:dyDescent="0.2">
      <c r="A1854" s="113" t="s">
        <v>1859</v>
      </c>
      <c r="B1854" s="114" t="s">
        <v>1981</v>
      </c>
      <c r="C1854" s="113" t="s">
        <v>20</v>
      </c>
      <c r="D1854" s="113" t="s">
        <v>1980</v>
      </c>
      <c r="E1854" s="139" t="s">
        <v>1860</v>
      </c>
      <c r="F1854" s="139"/>
      <c r="G1854" s="112" t="s">
        <v>1864</v>
      </c>
      <c r="H1854" s="111">
        <v>0.88</v>
      </c>
      <c r="I1854" s="110">
        <v>15.97</v>
      </c>
      <c r="J1854" s="110">
        <v>14.05</v>
      </c>
    </row>
    <row r="1855" spans="1:10" ht="24" customHeight="1" x14ac:dyDescent="0.2">
      <c r="A1855" s="113" t="s">
        <v>1859</v>
      </c>
      <c r="B1855" s="114" t="s">
        <v>1951</v>
      </c>
      <c r="C1855" s="113" t="s">
        <v>20</v>
      </c>
      <c r="D1855" s="113" t="s">
        <v>1950</v>
      </c>
      <c r="E1855" s="139" t="s">
        <v>1860</v>
      </c>
      <c r="F1855" s="139"/>
      <c r="G1855" s="112" t="s">
        <v>1864</v>
      </c>
      <c r="H1855" s="111">
        <v>0.88</v>
      </c>
      <c r="I1855" s="110">
        <v>10.62</v>
      </c>
      <c r="J1855" s="110">
        <v>9.35</v>
      </c>
    </row>
    <row r="1856" spans="1:10" x14ac:dyDescent="0.2">
      <c r="A1856" s="109"/>
      <c r="B1856" s="109"/>
      <c r="C1856" s="109"/>
      <c r="D1856" s="109"/>
      <c r="E1856" s="109" t="s">
        <v>1858</v>
      </c>
      <c r="F1856" s="108">
        <v>23.4</v>
      </c>
      <c r="G1856" s="109" t="s">
        <v>1857</v>
      </c>
      <c r="H1856" s="108">
        <v>0</v>
      </c>
      <c r="I1856" s="109" t="s">
        <v>1856</v>
      </c>
      <c r="J1856" s="108">
        <v>23.4</v>
      </c>
    </row>
    <row r="1857" spans="1:10" ht="13.9" customHeight="1" x14ac:dyDescent="0.2">
      <c r="A1857" s="109"/>
      <c r="B1857" s="109"/>
      <c r="C1857" s="109"/>
      <c r="D1857" s="109"/>
      <c r="E1857" s="109" t="s">
        <v>1855</v>
      </c>
      <c r="F1857" s="108">
        <v>87.431804999999997</v>
      </c>
      <c r="G1857" s="109"/>
      <c r="H1857" s="140" t="s">
        <v>1854</v>
      </c>
      <c r="I1857" s="140"/>
      <c r="J1857" s="108">
        <v>416.74</v>
      </c>
    </row>
    <row r="1858" spans="1:10" ht="30" customHeight="1" thickBot="1" x14ac:dyDescent="0.25">
      <c r="A1858" s="100"/>
      <c r="B1858" s="100"/>
      <c r="C1858" s="100"/>
      <c r="D1858" s="100"/>
      <c r="E1858" s="100"/>
      <c r="F1858" s="100"/>
      <c r="G1858" s="100" t="s">
        <v>1853</v>
      </c>
      <c r="H1858" s="107">
        <v>2</v>
      </c>
      <c r="I1858" s="100" t="s">
        <v>1852</v>
      </c>
      <c r="J1858" s="102">
        <v>833.48</v>
      </c>
    </row>
    <row r="1859" spans="1:10" ht="1.1499999999999999" customHeight="1" thickTop="1" x14ac:dyDescent="0.2">
      <c r="A1859" s="106"/>
      <c r="B1859" s="106"/>
      <c r="C1859" s="106"/>
      <c r="D1859" s="106"/>
      <c r="E1859" s="106"/>
      <c r="F1859" s="106"/>
      <c r="G1859" s="106"/>
      <c r="H1859" s="106"/>
      <c r="I1859" s="106"/>
      <c r="J1859" s="106"/>
    </row>
    <row r="1860" spans="1:10" ht="18" customHeight="1" x14ac:dyDescent="0.2">
      <c r="A1860" s="117" t="s">
        <v>452</v>
      </c>
      <c r="B1860" s="126" t="s">
        <v>5</v>
      </c>
      <c r="C1860" s="117" t="s">
        <v>6</v>
      </c>
      <c r="D1860" s="117" t="s">
        <v>7</v>
      </c>
      <c r="E1860" s="136" t="s">
        <v>1113</v>
      </c>
      <c r="F1860" s="136"/>
      <c r="G1860" s="7" t="s">
        <v>8</v>
      </c>
      <c r="H1860" s="126" t="s">
        <v>9</v>
      </c>
      <c r="I1860" s="126" t="s">
        <v>10</v>
      </c>
      <c r="J1860" s="126" t="s">
        <v>12</v>
      </c>
    </row>
    <row r="1861" spans="1:10" ht="24" customHeight="1" x14ac:dyDescent="0.2">
      <c r="A1861" s="116" t="s">
        <v>1861</v>
      </c>
      <c r="B1861" s="1" t="s">
        <v>455</v>
      </c>
      <c r="C1861" s="116" t="s">
        <v>20</v>
      </c>
      <c r="D1861" s="116" t="s">
        <v>456</v>
      </c>
      <c r="E1861" s="137">
        <v>8</v>
      </c>
      <c r="F1861" s="137"/>
      <c r="G1861" s="2" t="s">
        <v>37</v>
      </c>
      <c r="H1861" s="115">
        <v>1</v>
      </c>
      <c r="I1861" s="61">
        <v>12.15</v>
      </c>
      <c r="J1861" s="61">
        <v>12.15</v>
      </c>
    </row>
    <row r="1862" spans="1:10" ht="24" customHeight="1" x14ac:dyDescent="0.2">
      <c r="A1862" s="113" t="s">
        <v>1859</v>
      </c>
      <c r="B1862" s="114" t="s">
        <v>2314</v>
      </c>
      <c r="C1862" s="113" t="s">
        <v>20</v>
      </c>
      <c r="D1862" s="113" t="s">
        <v>2313</v>
      </c>
      <c r="E1862" s="139" t="s">
        <v>1369</v>
      </c>
      <c r="F1862" s="139"/>
      <c r="G1862" s="112" t="s">
        <v>246</v>
      </c>
      <c r="H1862" s="111">
        <v>1</v>
      </c>
      <c r="I1862" s="110">
        <v>10.02</v>
      </c>
      <c r="J1862" s="110">
        <v>10.02</v>
      </c>
    </row>
    <row r="1863" spans="1:10" ht="24" customHeight="1" x14ac:dyDescent="0.2">
      <c r="A1863" s="113" t="s">
        <v>1859</v>
      </c>
      <c r="B1863" s="114" t="s">
        <v>1981</v>
      </c>
      <c r="C1863" s="113" t="s">
        <v>20</v>
      </c>
      <c r="D1863" s="113" t="s">
        <v>1980</v>
      </c>
      <c r="E1863" s="139" t="s">
        <v>1860</v>
      </c>
      <c r="F1863" s="139"/>
      <c r="G1863" s="112" t="s">
        <v>1864</v>
      </c>
      <c r="H1863" s="111">
        <v>0.08</v>
      </c>
      <c r="I1863" s="110">
        <v>15.97</v>
      </c>
      <c r="J1863" s="110">
        <v>1.28</v>
      </c>
    </row>
    <row r="1864" spans="1:10" ht="24" customHeight="1" x14ac:dyDescent="0.2">
      <c r="A1864" s="113" t="s">
        <v>1859</v>
      </c>
      <c r="B1864" s="114" t="s">
        <v>1951</v>
      </c>
      <c r="C1864" s="113" t="s">
        <v>20</v>
      </c>
      <c r="D1864" s="113" t="s">
        <v>1950</v>
      </c>
      <c r="E1864" s="139" t="s">
        <v>1860</v>
      </c>
      <c r="F1864" s="139"/>
      <c r="G1864" s="112" t="s">
        <v>1864</v>
      </c>
      <c r="H1864" s="111">
        <v>0.08</v>
      </c>
      <c r="I1864" s="110">
        <v>10.62</v>
      </c>
      <c r="J1864" s="110">
        <v>0.85</v>
      </c>
    </row>
    <row r="1865" spans="1:10" x14ac:dyDescent="0.2">
      <c r="A1865" s="109"/>
      <c r="B1865" s="109"/>
      <c r="C1865" s="109"/>
      <c r="D1865" s="109"/>
      <c r="E1865" s="109" t="s">
        <v>1858</v>
      </c>
      <c r="F1865" s="108">
        <v>2.13</v>
      </c>
      <c r="G1865" s="109" t="s">
        <v>1857</v>
      </c>
      <c r="H1865" s="108">
        <v>0</v>
      </c>
      <c r="I1865" s="109" t="s">
        <v>1856</v>
      </c>
      <c r="J1865" s="108">
        <v>2.13</v>
      </c>
    </row>
    <row r="1866" spans="1:10" ht="13.9" customHeight="1" x14ac:dyDescent="0.2">
      <c r="A1866" s="109"/>
      <c r="B1866" s="109"/>
      <c r="C1866" s="109"/>
      <c r="D1866" s="109"/>
      <c r="E1866" s="109" t="s">
        <v>1855</v>
      </c>
      <c r="F1866" s="108">
        <v>3.2258249999999999</v>
      </c>
      <c r="G1866" s="109"/>
      <c r="H1866" s="140" t="s">
        <v>1854</v>
      </c>
      <c r="I1866" s="140"/>
      <c r="J1866" s="108">
        <v>15.38</v>
      </c>
    </row>
    <row r="1867" spans="1:10" ht="30" customHeight="1" thickBot="1" x14ac:dyDescent="0.25">
      <c r="A1867" s="100"/>
      <c r="B1867" s="100"/>
      <c r="C1867" s="100"/>
      <c r="D1867" s="100"/>
      <c r="E1867" s="100"/>
      <c r="F1867" s="100"/>
      <c r="G1867" s="100" t="s">
        <v>1853</v>
      </c>
      <c r="H1867" s="107">
        <v>13</v>
      </c>
      <c r="I1867" s="100" t="s">
        <v>1852</v>
      </c>
      <c r="J1867" s="102">
        <v>199.94</v>
      </c>
    </row>
    <row r="1868" spans="1:10" ht="1.1499999999999999" customHeight="1" thickTop="1" x14ac:dyDescent="0.2">
      <c r="A1868" s="106"/>
      <c r="B1868" s="106"/>
      <c r="C1868" s="106"/>
      <c r="D1868" s="106"/>
      <c r="E1868" s="106"/>
      <c r="F1868" s="106"/>
      <c r="G1868" s="106"/>
      <c r="H1868" s="106"/>
      <c r="I1868" s="106"/>
      <c r="J1868" s="106"/>
    </row>
    <row r="1869" spans="1:10" ht="24" customHeight="1" x14ac:dyDescent="0.2">
      <c r="A1869" s="123" t="s">
        <v>457</v>
      </c>
      <c r="B1869" s="123"/>
      <c r="C1869" s="123"/>
      <c r="D1869" s="123" t="s">
        <v>458</v>
      </c>
      <c r="E1869" s="123"/>
      <c r="F1869" s="142"/>
      <c r="G1869" s="142"/>
      <c r="H1869" s="3"/>
      <c r="I1869" s="123"/>
      <c r="J1869" s="63">
        <v>2772.69</v>
      </c>
    </row>
    <row r="1870" spans="1:10" ht="18" customHeight="1" x14ac:dyDescent="0.2">
      <c r="A1870" s="117" t="s">
        <v>459</v>
      </c>
      <c r="B1870" s="126" t="s">
        <v>5</v>
      </c>
      <c r="C1870" s="117" t="s">
        <v>6</v>
      </c>
      <c r="D1870" s="117" t="s">
        <v>7</v>
      </c>
      <c r="E1870" s="136" t="s">
        <v>1113</v>
      </c>
      <c r="F1870" s="136"/>
      <c r="G1870" s="7" t="s">
        <v>8</v>
      </c>
      <c r="H1870" s="126" t="s">
        <v>9</v>
      </c>
      <c r="I1870" s="126" t="s">
        <v>10</v>
      </c>
      <c r="J1870" s="126" t="s">
        <v>12</v>
      </c>
    </row>
    <row r="1871" spans="1:10" ht="24" customHeight="1" x14ac:dyDescent="0.2">
      <c r="A1871" s="116" t="s">
        <v>1861</v>
      </c>
      <c r="B1871" s="1" t="s">
        <v>460</v>
      </c>
      <c r="C1871" s="116" t="s">
        <v>20</v>
      </c>
      <c r="D1871" s="116" t="s">
        <v>461</v>
      </c>
      <c r="E1871" s="137">
        <v>9</v>
      </c>
      <c r="F1871" s="137"/>
      <c r="G1871" s="2" t="s">
        <v>246</v>
      </c>
      <c r="H1871" s="115">
        <v>1</v>
      </c>
      <c r="I1871" s="61">
        <v>30.35</v>
      </c>
      <c r="J1871" s="61">
        <v>30.35</v>
      </c>
    </row>
    <row r="1872" spans="1:10" ht="24" customHeight="1" x14ac:dyDescent="0.2">
      <c r="A1872" s="113" t="s">
        <v>1859</v>
      </c>
      <c r="B1872" s="114" t="s">
        <v>2312</v>
      </c>
      <c r="C1872" s="113" t="s">
        <v>20</v>
      </c>
      <c r="D1872" s="113" t="s">
        <v>2311</v>
      </c>
      <c r="E1872" s="139" t="s">
        <v>1369</v>
      </c>
      <c r="F1872" s="139"/>
      <c r="G1872" s="112" t="s">
        <v>246</v>
      </c>
      <c r="H1872" s="111">
        <v>1</v>
      </c>
      <c r="I1872" s="110">
        <v>29.34</v>
      </c>
      <c r="J1872" s="110">
        <v>29.34</v>
      </c>
    </row>
    <row r="1873" spans="1:10" ht="24" customHeight="1" x14ac:dyDescent="0.2">
      <c r="A1873" s="113" t="s">
        <v>1859</v>
      </c>
      <c r="B1873" s="114" t="s">
        <v>1981</v>
      </c>
      <c r="C1873" s="113" t="s">
        <v>20</v>
      </c>
      <c r="D1873" s="113" t="s">
        <v>1980</v>
      </c>
      <c r="E1873" s="139" t="s">
        <v>1860</v>
      </c>
      <c r="F1873" s="139"/>
      <c r="G1873" s="112" t="s">
        <v>1864</v>
      </c>
      <c r="H1873" s="111">
        <v>8.3000000000000001E-3</v>
      </c>
      <c r="I1873" s="110">
        <v>15.97</v>
      </c>
      <c r="J1873" s="110">
        <v>0.13</v>
      </c>
    </row>
    <row r="1874" spans="1:10" ht="24" customHeight="1" x14ac:dyDescent="0.2">
      <c r="A1874" s="113" t="s">
        <v>1859</v>
      </c>
      <c r="B1874" s="114" t="s">
        <v>1951</v>
      </c>
      <c r="C1874" s="113" t="s">
        <v>20</v>
      </c>
      <c r="D1874" s="113" t="s">
        <v>1950</v>
      </c>
      <c r="E1874" s="139" t="s">
        <v>1860</v>
      </c>
      <c r="F1874" s="139"/>
      <c r="G1874" s="112" t="s">
        <v>1864</v>
      </c>
      <c r="H1874" s="111">
        <v>8.3299999999999999E-2</v>
      </c>
      <c r="I1874" s="110">
        <v>10.62</v>
      </c>
      <c r="J1874" s="110">
        <v>0.88</v>
      </c>
    </row>
    <row r="1875" spans="1:10" x14ac:dyDescent="0.2">
      <c r="A1875" s="109"/>
      <c r="B1875" s="109"/>
      <c r="C1875" s="109"/>
      <c r="D1875" s="109"/>
      <c r="E1875" s="109" t="s">
        <v>1858</v>
      </c>
      <c r="F1875" s="108">
        <v>1.01</v>
      </c>
      <c r="G1875" s="109" t="s">
        <v>1857</v>
      </c>
      <c r="H1875" s="108">
        <v>0</v>
      </c>
      <c r="I1875" s="109" t="s">
        <v>1856</v>
      </c>
      <c r="J1875" s="108">
        <v>1.01</v>
      </c>
    </row>
    <row r="1876" spans="1:10" ht="13.9" customHeight="1" x14ac:dyDescent="0.2">
      <c r="A1876" s="109"/>
      <c r="B1876" s="109"/>
      <c r="C1876" s="109"/>
      <c r="D1876" s="109"/>
      <c r="E1876" s="109" t="s">
        <v>1855</v>
      </c>
      <c r="F1876" s="108">
        <v>8.0579249999999991</v>
      </c>
      <c r="G1876" s="109"/>
      <c r="H1876" s="140" t="s">
        <v>1854</v>
      </c>
      <c r="I1876" s="140"/>
      <c r="J1876" s="108">
        <v>38.409999999999997</v>
      </c>
    </row>
    <row r="1877" spans="1:10" ht="30" customHeight="1" thickBot="1" x14ac:dyDescent="0.25">
      <c r="A1877" s="100"/>
      <c r="B1877" s="100"/>
      <c r="C1877" s="100"/>
      <c r="D1877" s="100"/>
      <c r="E1877" s="100"/>
      <c r="F1877" s="100"/>
      <c r="G1877" s="100" t="s">
        <v>1853</v>
      </c>
      <c r="H1877" s="107">
        <v>25</v>
      </c>
      <c r="I1877" s="100" t="s">
        <v>1852</v>
      </c>
      <c r="J1877" s="102">
        <v>960.25</v>
      </c>
    </row>
    <row r="1878" spans="1:10" ht="1.1499999999999999" customHeight="1" thickTop="1" x14ac:dyDescent="0.2">
      <c r="A1878" s="106"/>
      <c r="B1878" s="106"/>
      <c r="C1878" s="106"/>
      <c r="D1878" s="106"/>
      <c r="E1878" s="106"/>
      <c r="F1878" s="106"/>
      <c r="G1878" s="106"/>
      <c r="H1878" s="106"/>
      <c r="I1878" s="106"/>
      <c r="J1878" s="106"/>
    </row>
    <row r="1879" spans="1:10" ht="18" customHeight="1" x14ac:dyDescent="0.2">
      <c r="A1879" s="117" t="s">
        <v>462</v>
      </c>
      <c r="B1879" s="126" t="s">
        <v>5</v>
      </c>
      <c r="C1879" s="117" t="s">
        <v>6</v>
      </c>
      <c r="D1879" s="117" t="s">
        <v>7</v>
      </c>
      <c r="E1879" s="136" t="s">
        <v>1113</v>
      </c>
      <c r="F1879" s="136"/>
      <c r="G1879" s="7" t="s">
        <v>8</v>
      </c>
      <c r="H1879" s="126" t="s">
        <v>9</v>
      </c>
      <c r="I1879" s="126" t="s">
        <v>10</v>
      </c>
      <c r="J1879" s="126" t="s">
        <v>12</v>
      </c>
    </row>
    <row r="1880" spans="1:10" ht="24" customHeight="1" x14ac:dyDescent="0.2">
      <c r="A1880" s="116" t="s">
        <v>1861</v>
      </c>
      <c r="B1880" s="1" t="s">
        <v>463</v>
      </c>
      <c r="C1880" s="116" t="s">
        <v>20</v>
      </c>
      <c r="D1880" s="116" t="s">
        <v>464</v>
      </c>
      <c r="E1880" s="137">
        <v>8</v>
      </c>
      <c r="F1880" s="137"/>
      <c r="G1880" s="2" t="s">
        <v>246</v>
      </c>
      <c r="H1880" s="115">
        <v>1</v>
      </c>
      <c r="I1880" s="61">
        <v>204.6</v>
      </c>
      <c r="J1880" s="61">
        <v>204.6</v>
      </c>
    </row>
    <row r="1881" spans="1:10" ht="24" customHeight="1" x14ac:dyDescent="0.2">
      <c r="A1881" s="113" t="s">
        <v>1859</v>
      </c>
      <c r="B1881" s="114" t="s">
        <v>2310</v>
      </c>
      <c r="C1881" s="113" t="s">
        <v>20</v>
      </c>
      <c r="D1881" s="113" t="s">
        <v>2309</v>
      </c>
      <c r="E1881" s="139" t="s">
        <v>1369</v>
      </c>
      <c r="F1881" s="139"/>
      <c r="G1881" s="112" t="s">
        <v>246</v>
      </c>
      <c r="H1881" s="111">
        <v>2</v>
      </c>
      <c r="I1881" s="110">
        <v>0.47</v>
      </c>
      <c r="J1881" s="110">
        <v>0.94</v>
      </c>
    </row>
    <row r="1882" spans="1:10" ht="24" customHeight="1" x14ac:dyDescent="0.2">
      <c r="A1882" s="113" t="s">
        <v>1859</v>
      </c>
      <c r="B1882" s="114" t="s">
        <v>2308</v>
      </c>
      <c r="C1882" s="113" t="s">
        <v>20</v>
      </c>
      <c r="D1882" s="113" t="s">
        <v>2307</v>
      </c>
      <c r="E1882" s="139" t="s">
        <v>1369</v>
      </c>
      <c r="F1882" s="139"/>
      <c r="G1882" s="112" t="s">
        <v>246</v>
      </c>
      <c r="H1882" s="111">
        <v>1</v>
      </c>
      <c r="I1882" s="110">
        <v>191.69</v>
      </c>
      <c r="J1882" s="110">
        <v>191.69</v>
      </c>
    </row>
    <row r="1883" spans="1:10" ht="24" customHeight="1" x14ac:dyDescent="0.2">
      <c r="A1883" s="113" t="s">
        <v>1859</v>
      </c>
      <c r="B1883" s="114" t="s">
        <v>1866</v>
      </c>
      <c r="C1883" s="113" t="s">
        <v>20</v>
      </c>
      <c r="D1883" s="113" t="s">
        <v>1865</v>
      </c>
      <c r="E1883" s="139" t="s">
        <v>1860</v>
      </c>
      <c r="F1883" s="139"/>
      <c r="G1883" s="112" t="s">
        <v>1864</v>
      </c>
      <c r="H1883" s="111">
        <v>0.45</v>
      </c>
      <c r="I1883" s="110">
        <v>15.97</v>
      </c>
      <c r="J1883" s="110">
        <v>7.19</v>
      </c>
    </row>
    <row r="1884" spans="1:10" ht="24" customHeight="1" x14ac:dyDescent="0.2">
      <c r="A1884" s="113" t="s">
        <v>1859</v>
      </c>
      <c r="B1884" s="114" t="s">
        <v>1872</v>
      </c>
      <c r="C1884" s="113" t="s">
        <v>20</v>
      </c>
      <c r="D1884" s="113" t="s">
        <v>1871</v>
      </c>
      <c r="E1884" s="139" t="s">
        <v>1860</v>
      </c>
      <c r="F1884" s="139"/>
      <c r="G1884" s="112" t="s">
        <v>1864</v>
      </c>
      <c r="H1884" s="111">
        <v>0.45</v>
      </c>
      <c r="I1884" s="110">
        <v>10.62</v>
      </c>
      <c r="J1884" s="110">
        <v>4.78</v>
      </c>
    </row>
    <row r="1885" spans="1:10" x14ac:dyDescent="0.2">
      <c r="A1885" s="109"/>
      <c r="B1885" s="109"/>
      <c r="C1885" s="109"/>
      <c r="D1885" s="109"/>
      <c r="E1885" s="109" t="s">
        <v>1858</v>
      </c>
      <c r="F1885" s="108">
        <v>11.97</v>
      </c>
      <c r="G1885" s="109" t="s">
        <v>1857</v>
      </c>
      <c r="H1885" s="108">
        <v>0</v>
      </c>
      <c r="I1885" s="109" t="s">
        <v>1856</v>
      </c>
      <c r="J1885" s="108">
        <v>11.97</v>
      </c>
    </row>
    <row r="1886" spans="1:10" ht="13.9" customHeight="1" x14ac:dyDescent="0.2">
      <c r="A1886" s="109"/>
      <c r="B1886" s="109"/>
      <c r="C1886" s="109"/>
      <c r="D1886" s="109"/>
      <c r="E1886" s="109" t="s">
        <v>1855</v>
      </c>
      <c r="F1886" s="108">
        <v>54.321300000000001</v>
      </c>
      <c r="G1886" s="109"/>
      <c r="H1886" s="140" t="s">
        <v>1854</v>
      </c>
      <c r="I1886" s="140"/>
      <c r="J1886" s="108">
        <v>258.92</v>
      </c>
    </row>
    <row r="1887" spans="1:10" ht="30" customHeight="1" thickBot="1" x14ac:dyDescent="0.25">
      <c r="A1887" s="100"/>
      <c r="B1887" s="100"/>
      <c r="C1887" s="100"/>
      <c r="D1887" s="100"/>
      <c r="E1887" s="100"/>
      <c r="F1887" s="100"/>
      <c r="G1887" s="100" t="s">
        <v>1853</v>
      </c>
      <c r="H1887" s="107">
        <v>7</v>
      </c>
      <c r="I1887" s="100" t="s">
        <v>1852</v>
      </c>
      <c r="J1887" s="102">
        <v>1812.44</v>
      </c>
    </row>
    <row r="1888" spans="1:10" ht="1.1499999999999999" customHeight="1" thickTop="1" x14ac:dyDescent="0.2">
      <c r="A1888" s="106"/>
      <c r="B1888" s="106"/>
      <c r="C1888" s="106"/>
      <c r="D1888" s="106"/>
      <c r="E1888" s="106"/>
      <c r="F1888" s="106"/>
      <c r="G1888" s="106"/>
      <c r="H1888" s="106"/>
      <c r="I1888" s="106"/>
      <c r="J1888" s="106"/>
    </row>
    <row r="1889" spans="1:10" ht="24" customHeight="1" x14ac:dyDescent="0.2">
      <c r="A1889" s="123" t="s">
        <v>465</v>
      </c>
      <c r="B1889" s="123"/>
      <c r="C1889" s="123"/>
      <c r="D1889" s="123" t="s">
        <v>466</v>
      </c>
      <c r="E1889" s="123"/>
      <c r="F1889" s="142"/>
      <c r="G1889" s="142"/>
      <c r="H1889" s="3"/>
      <c r="I1889" s="123"/>
      <c r="J1889" s="63">
        <v>2739.75</v>
      </c>
    </row>
    <row r="1890" spans="1:10" ht="18" customHeight="1" x14ac:dyDescent="0.2">
      <c r="A1890" s="117" t="s">
        <v>467</v>
      </c>
      <c r="B1890" s="126" t="s">
        <v>5</v>
      </c>
      <c r="C1890" s="117" t="s">
        <v>6</v>
      </c>
      <c r="D1890" s="117" t="s">
        <v>7</v>
      </c>
      <c r="E1890" s="136" t="s">
        <v>1113</v>
      </c>
      <c r="F1890" s="136"/>
      <c r="G1890" s="7" t="s">
        <v>8</v>
      </c>
      <c r="H1890" s="126" t="s">
        <v>9</v>
      </c>
      <c r="I1890" s="126" t="s">
        <v>10</v>
      </c>
      <c r="J1890" s="126" t="s">
        <v>12</v>
      </c>
    </row>
    <row r="1891" spans="1:10" ht="24" customHeight="1" x14ac:dyDescent="0.2">
      <c r="A1891" s="116" t="s">
        <v>1861</v>
      </c>
      <c r="B1891" s="1" t="s">
        <v>468</v>
      </c>
      <c r="C1891" s="116" t="s">
        <v>20</v>
      </c>
      <c r="D1891" s="116" t="s">
        <v>469</v>
      </c>
      <c r="E1891" s="137">
        <v>8</v>
      </c>
      <c r="F1891" s="137"/>
      <c r="G1891" s="2" t="s">
        <v>213</v>
      </c>
      <c r="H1891" s="115">
        <v>1</v>
      </c>
      <c r="I1891" s="61">
        <v>23.97</v>
      </c>
      <c r="J1891" s="61">
        <v>23.97</v>
      </c>
    </row>
    <row r="1892" spans="1:10" ht="24" customHeight="1" x14ac:dyDescent="0.2">
      <c r="A1892" s="113" t="s">
        <v>1859</v>
      </c>
      <c r="B1892" s="114" t="s">
        <v>1981</v>
      </c>
      <c r="C1892" s="113" t="s">
        <v>20</v>
      </c>
      <c r="D1892" s="113" t="s">
        <v>1980</v>
      </c>
      <c r="E1892" s="139" t="s">
        <v>1860</v>
      </c>
      <c r="F1892" s="139"/>
      <c r="G1892" s="112" t="s">
        <v>1864</v>
      </c>
      <c r="H1892" s="111">
        <v>0.223</v>
      </c>
      <c r="I1892" s="110">
        <v>15.97</v>
      </c>
      <c r="J1892" s="110">
        <v>3.56</v>
      </c>
    </row>
    <row r="1893" spans="1:10" ht="24" customHeight="1" x14ac:dyDescent="0.2">
      <c r="A1893" s="113" t="s">
        <v>1859</v>
      </c>
      <c r="B1893" s="114" t="s">
        <v>1951</v>
      </c>
      <c r="C1893" s="113" t="s">
        <v>20</v>
      </c>
      <c r="D1893" s="113" t="s">
        <v>1950</v>
      </c>
      <c r="E1893" s="139" t="s">
        <v>1860</v>
      </c>
      <c r="F1893" s="139"/>
      <c r="G1893" s="112" t="s">
        <v>1864</v>
      </c>
      <c r="H1893" s="111">
        <v>0.223</v>
      </c>
      <c r="I1893" s="110">
        <v>10.62</v>
      </c>
      <c r="J1893" s="110">
        <v>2.37</v>
      </c>
    </row>
    <row r="1894" spans="1:10" ht="24" customHeight="1" x14ac:dyDescent="0.2">
      <c r="A1894" s="113" t="s">
        <v>1859</v>
      </c>
      <c r="B1894" s="114" t="s">
        <v>2306</v>
      </c>
      <c r="C1894" s="113" t="s">
        <v>20</v>
      </c>
      <c r="D1894" s="113" t="s">
        <v>2305</v>
      </c>
      <c r="E1894" s="139" t="s">
        <v>1369</v>
      </c>
      <c r="F1894" s="139"/>
      <c r="G1894" s="112" t="s">
        <v>213</v>
      </c>
      <c r="H1894" s="111">
        <v>1.01</v>
      </c>
      <c r="I1894" s="110">
        <v>17.86</v>
      </c>
      <c r="J1894" s="110">
        <v>18.04</v>
      </c>
    </row>
    <row r="1895" spans="1:10" x14ac:dyDescent="0.2">
      <c r="A1895" s="109"/>
      <c r="B1895" s="109"/>
      <c r="C1895" s="109"/>
      <c r="D1895" s="109"/>
      <c r="E1895" s="109" t="s">
        <v>1858</v>
      </c>
      <c r="F1895" s="108">
        <v>5.93</v>
      </c>
      <c r="G1895" s="109" t="s">
        <v>1857</v>
      </c>
      <c r="H1895" s="108">
        <v>0</v>
      </c>
      <c r="I1895" s="109" t="s">
        <v>1856</v>
      </c>
      <c r="J1895" s="108">
        <v>5.93</v>
      </c>
    </row>
    <row r="1896" spans="1:10" ht="13.9" customHeight="1" x14ac:dyDescent="0.2">
      <c r="A1896" s="109"/>
      <c r="B1896" s="109"/>
      <c r="C1896" s="109"/>
      <c r="D1896" s="109"/>
      <c r="E1896" s="109" t="s">
        <v>1855</v>
      </c>
      <c r="F1896" s="108">
        <v>6.3640350000000003</v>
      </c>
      <c r="G1896" s="109"/>
      <c r="H1896" s="140" t="s">
        <v>1854</v>
      </c>
      <c r="I1896" s="140"/>
      <c r="J1896" s="108">
        <v>30.33</v>
      </c>
    </row>
    <row r="1897" spans="1:10" ht="30" customHeight="1" thickBot="1" x14ac:dyDescent="0.25">
      <c r="A1897" s="100"/>
      <c r="B1897" s="100"/>
      <c r="C1897" s="100"/>
      <c r="D1897" s="100"/>
      <c r="E1897" s="100"/>
      <c r="F1897" s="100"/>
      <c r="G1897" s="100" t="s">
        <v>1853</v>
      </c>
      <c r="H1897" s="107">
        <v>8.2200000000000006</v>
      </c>
      <c r="I1897" s="100" t="s">
        <v>1852</v>
      </c>
      <c r="J1897" s="102">
        <v>249.31</v>
      </c>
    </row>
    <row r="1898" spans="1:10" ht="1.1499999999999999" customHeight="1" thickTop="1" x14ac:dyDescent="0.2">
      <c r="A1898" s="106"/>
      <c r="B1898" s="106"/>
      <c r="C1898" s="106"/>
      <c r="D1898" s="106"/>
      <c r="E1898" s="106"/>
      <c r="F1898" s="106"/>
      <c r="G1898" s="106"/>
      <c r="H1898" s="106"/>
      <c r="I1898" s="106"/>
      <c r="J1898" s="106"/>
    </row>
    <row r="1899" spans="1:10" ht="18" customHeight="1" x14ac:dyDescent="0.2">
      <c r="A1899" s="117" t="s">
        <v>470</v>
      </c>
      <c r="B1899" s="126" t="s">
        <v>5</v>
      </c>
      <c r="C1899" s="117" t="s">
        <v>6</v>
      </c>
      <c r="D1899" s="117" t="s">
        <v>7</v>
      </c>
      <c r="E1899" s="136" t="s">
        <v>1113</v>
      </c>
      <c r="F1899" s="136"/>
      <c r="G1899" s="7" t="s">
        <v>8</v>
      </c>
      <c r="H1899" s="126" t="s">
        <v>9</v>
      </c>
      <c r="I1899" s="126" t="s">
        <v>10</v>
      </c>
      <c r="J1899" s="126" t="s">
        <v>12</v>
      </c>
    </row>
    <row r="1900" spans="1:10" ht="24" customHeight="1" x14ac:dyDescent="0.2">
      <c r="A1900" s="116" t="s">
        <v>1861</v>
      </c>
      <c r="B1900" s="1" t="s">
        <v>472</v>
      </c>
      <c r="C1900" s="116" t="s">
        <v>20</v>
      </c>
      <c r="D1900" s="116" t="s">
        <v>473</v>
      </c>
      <c r="E1900" s="137">
        <v>8</v>
      </c>
      <c r="F1900" s="137"/>
      <c r="G1900" s="2" t="s">
        <v>37</v>
      </c>
      <c r="H1900" s="115">
        <v>1</v>
      </c>
      <c r="I1900" s="61">
        <v>20.96</v>
      </c>
      <c r="J1900" s="61">
        <v>20.96</v>
      </c>
    </row>
    <row r="1901" spans="1:10" ht="24" customHeight="1" x14ac:dyDescent="0.2">
      <c r="A1901" s="113" t="s">
        <v>1859</v>
      </c>
      <c r="B1901" s="114" t="s">
        <v>1951</v>
      </c>
      <c r="C1901" s="113" t="s">
        <v>20</v>
      </c>
      <c r="D1901" s="113" t="s">
        <v>1950</v>
      </c>
      <c r="E1901" s="139" t="s">
        <v>1860</v>
      </c>
      <c r="F1901" s="139"/>
      <c r="G1901" s="112" t="s">
        <v>1864</v>
      </c>
      <c r="H1901" s="111">
        <v>0.3</v>
      </c>
      <c r="I1901" s="110">
        <v>10.62</v>
      </c>
      <c r="J1901" s="110">
        <v>3.19</v>
      </c>
    </row>
    <row r="1902" spans="1:10" ht="24" customHeight="1" x14ac:dyDescent="0.2">
      <c r="A1902" s="113" t="s">
        <v>1859</v>
      </c>
      <c r="B1902" s="114" t="s">
        <v>1981</v>
      </c>
      <c r="C1902" s="113" t="s">
        <v>20</v>
      </c>
      <c r="D1902" s="113" t="s">
        <v>1980</v>
      </c>
      <c r="E1902" s="139" t="s">
        <v>1860</v>
      </c>
      <c r="F1902" s="139"/>
      <c r="G1902" s="112" t="s">
        <v>1864</v>
      </c>
      <c r="H1902" s="111">
        <v>0.3</v>
      </c>
      <c r="I1902" s="110">
        <v>15.97</v>
      </c>
      <c r="J1902" s="110">
        <v>4.79</v>
      </c>
    </row>
    <row r="1903" spans="1:10" ht="24" customHeight="1" x14ac:dyDescent="0.2">
      <c r="A1903" s="113" t="s">
        <v>1859</v>
      </c>
      <c r="B1903" s="114" t="s">
        <v>2304</v>
      </c>
      <c r="C1903" s="113" t="s">
        <v>20</v>
      </c>
      <c r="D1903" s="113" t="s">
        <v>2303</v>
      </c>
      <c r="E1903" s="139" t="s">
        <v>1369</v>
      </c>
      <c r="F1903" s="139"/>
      <c r="G1903" s="112" t="s">
        <v>246</v>
      </c>
      <c r="H1903" s="111">
        <v>1</v>
      </c>
      <c r="I1903" s="110">
        <v>12.98</v>
      </c>
      <c r="J1903" s="110">
        <v>12.98</v>
      </c>
    </row>
    <row r="1904" spans="1:10" x14ac:dyDescent="0.2">
      <c r="A1904" s="109"/>
      <c r="B1904" s="109"/>
      <c r="C1904" s="109"/>
      <c r="D1904" s="109"/>
      <c r="E1904" s="109" t="s">
        <v>1858</v>
      </c>
      <c r="F1904" s="108">
        <v>7.98</v>
      </c>
      <c r="G1904" s="109" t="s">
        <v>1857</v>
      </c>
      <c r="H1904" s="108">
        <v>0</v>
      </c>
      <c r="I1904" s="109" t="s">
        <v>1856</v>
      </c>
      <c r="J1904" s="108">
        <v>7.98</v>
      </c>
    </row>
    <row r="1905" spans="1:10" ht="13.9" customHeight="1" x14ac:dyDescent="0.2">
      <c r="A1905" s="109"/>
      <c r="B1905" s="109"/>
      <c r="C1905" s="109"/>
      <c r="D1905" s="109"/>
      <c r="E1905" s="109" t="s">
        <v>1855</v>
      </c>
      <c r="F1905" s="108">
        <v>5.5648799999999996</v>
      </c>
      <c r="G1905" s="109"/>
      <c r="H1905" s="140" t="s">
        <v>1854</v>
      </c>
      <c r="I1905" s="140"/>
      <c r="J1905" s="108">
        <v>26.52</v>
      </c>
    </row>
    <row r="1906" spans="1:10" ht="30" customHeight="1" thickBot="1" x14ac:dyDescent="0.25">
      <c r="A1906" s="100"/>
      <c r="B1906" s="100"/>
      <c r="C1906" s="100"/>
      <c r="D1906" s="100"/>
      <c r="E1906" s="100"/>
      <c r="F1906" s="100"/>
      <c r="G1906" s="100" t="s">
        <v>1853</v>
      </c>
      <c r="H1906" s="107">
        <v>5</v>
      </c>
      <c r="I1906" s="100" t="s">
        <v>1852</v>
      </c>
      <c r="J1906" s="102">
        <v>132.6</v>
      </c>
    </row>
    <row r="1907" spans="1:10" ht="1.1499999999999999" customHeight="1" thickTop="1" x14ac:dyDescent="0.2">
      <c r="A1907" s="106"/>
      <c r="B1907" s="106"/>
      <c r="C1907" s="106"/>
      <c r="D1907" s="106"/>
      <c r="E1907" s="106"/>
      <c r="F1907" s="106"/>
      <c r="G1907" s="106"/>
      <c r="H1907" s="106"/>
      <c r="I1907" s="106"/>
      <c r="J1907" s="106"/>
    </row>
    <row r="1908" spans="1:10" ht="18" customHeight="1" x14ac:dyDescent="0.2">
      <c r="A1908" s="117" t="s">
        <v>471</v>
      </c>
      <c r="B1908" s="126" t="s">
        <v>5</v>
      </c>
      <c r="C1908" s="117" t="s">
        <v>6</v>
      </c>
      <c r="D1908" s="117" t="s">
        <v>7</v>
      </c>
      <c r="E1908" s="136" t="s">
        <v>1113</v>
      </c>
      <c r="F1908" s="136"/>
      <c r="G1908" s="7" t="s">
        <v>8</v>
      </c>
      <c r="H1908" s="126" t="s">
        <v>9</v>
      </c>
      <c r="I1908" s="126" t="s">
        <v>10</v>
      </c>
      <c r="J1908" s="126" t="s">
        <v>12</v>
      </c>
    </row>
    <row r="1909" spans="1:10" ht="24" customHeight="1" x14ac:dyDescent="0.2">
      <c r="A1909" s="116" t="s">
        <v>1861</v>
      </c>
      <c r="B1909" s="1" t="s">
        <v>475</v>
      </c>
      <c r="C1909" s="116" t="s">
        <v>20</v>
      </c>
      <c r="D1909" s="116" t="s">
        <v>476</v>
      </c>
      <c r="E1909" s="137">
        <v>8</v>
      </c>
      <c r="F1909" s="137"/>
      <c r="G1909" s="2" t="s">
        <v>37</v>
      </c>
      <c r="H1909" s="115">
        <v>1</v>
      </c>
      <c r="I1909" s="61">
        <v>19.440000000000001</v>
      </c>
      <c r="J1909" s="61">
        <v>19.440000000000001</v>
      </c>
    </row>
    <row r="1910" spans="1:10" ht="24" customHeight="1" x14ac:dyDescent="0.2">
      <c r="A1910" s="113" t="s">
        <v>1859</v>
      </c>
      <c r="B1910" s="114" t="s">
        <v>2302</v>
      </c>
      <c r="C1910" s="113" t="s">
        <v>20</v>
      </c>
      <c r="D1910" s="113" t="s">
        <v>2301</v>
      </c>
      <c r="E1910" s="139" t="s">
        <v>1369</v>
      </c>
      <c r="F1910" s="139"/>
      <c r="G1910" s="112" t="s">
        <v>246</v>
      </c>
      <c r="H1910" s="111">
        <v>1</v>
      </c>
      <c r="I1910" s="110">
        <v>11.46</v>
      </c>
      <c r="J1910" s="110">
        <v>11.46</v>
      </c>
    </row>
    <row r="1911" spans="1:10" ht="24" customHeight="1" x14ac:dyDescent="0.2">
      <c r="A1911" s="113" t="s">
        <v>1859</v>
      </c>
      <c r="B1911" s="114" t="s">
        <v>1981</v>
      </c>
      <c r="C1911" s="113" t="s">
        <v>20</v>
      </c>
      <c r="D1911" s="113" t="s">
        <v>1980</v>
      </c>
      <c r="E1911" s="139" t="s">
        <v>1860</v>
      </c>
      <c r="F1911" s="139"/>
      <c r="G1911" s="112" t="s">
        <v>1864</v>
      </c>
      <c r="H1911" s="111">
        <v>0.3</v>
      </c>
      <c r="I1911" s="110">
        <v>15.97</v>
      </c>
      <c r="J1911" s="110">
        <v>4.79</v>
      </c>
    </row>
    <row r="1912" spans="1:10" ht="24" customHeight="1" x14ac:dyDescent="0.2">
      <c r="A1912" s="113" t="s">
        <v>1859</v>
      </c>
      <c r="B1912" s="114" t="s">
        <v>1951</v>
      </c>
      <c r="C1912" s="113" t="s">
        <v>20</v>
      </c>
      <c r="D1912" s="113" t="s">
        <v>1950</v>
      </c>
      <c r="E1912" s="139" t="s">
        <v>1860</v>
      </c>
      <c r="F1912" s="139"/>
      <c r="G1912" s="112" t="s">
        <v>1864</v>
      </c>
      <c r="H1912" s="111">
        <v>0.3</v>
      </c>
      <c r="I1912" s="110">
        <v>10.62</v>
      </c>
      <c r="J1912" s="110">
        <v>3.19</v>
      </c>
    </row>
    <row r="1913" spans="1:10" x14ac:dyDescent="0.2">
      <c r="A1913" s="109"/>
      <c r="B1913" s="109"/>
      <c r="C1913" s="109"/>
      <c r="D1913" s="109"/>
      <c r="E1913" s="109" t="s">
        <v>1858</v>
      </c>
      <c r="F1913" s="108">
        <v>7.98</v>
      </c>
      <c r="G1913" s="109" t="s">
        <v>1857</v>
      </c>
      <c r="H1913" s="108">
        <v>0</v>
      </c>
      <c r="I1913" s="109" t="s">
        <v>1856</v>
      </c>
      <c r="J1913" s="108">
        <v>7.98</v>
      </c>
    </row>
    <row r="1914" spans="1:10" ht="13.9" customHeight="1" x14ac:dyDescent="0.2">
      <c r="A1914" s="109"/>
      <c r="B1914" s="109"/>
      <c r="C1914" s="109"/>
      <c r="D1914" s="109"/>
      <c r="E1914" s="109" t="s">
        <v>1855</v>
      </c>
      <c r="F1914" s="108">
        <v>5.1613199999999999</v>
      </c>
      <c r="G1914" s="109"/>
      <c r="H1914" s="140" t="s">
        <v>1854</v>
      </c>
      <c r="I1914" s="140"/>
      <c r="J1914" s="108">
        <v>24.6</v>
      </c>
    </row>
    <row r="1915" spans="1:10" ht="30" customHeight="1" thickBot="1" x14ac:dyDescent="0.25">
      <c r="A1915" s="100"/>
      <c r="B1915" s="100"/>
      <c r="C1915" s="100"/>
      <c r="D1915" s="100"/>
      <c r="E1915" s="100"/>
      <c r="F1915" s="100"/>
      <c r="G1915" s="100" t="s">
        <v>1853</v>
      </c>
      <c r="H1915" s="107">
        <v>4</v>
      </c>
      <c r="I1915" s="100" t="s">
        <v>1852</v>
      </c>
      <c r="J1915" s="102">
        <v>98.4</v>
      </c>
    </row>
    <row r="1916" spans="1:10" ht="1.1499999999999999" customHeight="1" thickTop="1" x14ac:dyDescent="0.2">
      <c r="A1916" s="106"/>
      <c r="B1916" s="106"/>
      <c r="C1916" s="106"/>
      <c r="D1916" s="106"/>
      <c r="E1916" s="106"/>
      <c r="F1916" s="106"/>
      <c r="G1916" s="106"/>
      <c r="H1916" s="106"/>
      <c r="I1916" s="106"/>
      <c r="J1916" s="106"/>
    </row>
    <row r="1917" spans="1:10" ht="18" customHeight="1" x14ac:dyDescent="0.2">
      <c r="A1917" s="117" t="s">
        <v>474</v>
      </c>
      <c r="B1917" s="126" t="s">
        <v>5</v>
      </c>
      <c r="C1917" s="117" t="s">
        <v>6</v>
      </c>
      <c r="D1917" s="117" t="s">
        <v>7</v>
      </c>
      <c r="E1917" s="136" t="s">
        <v>1113</v>
      </c>
      <c r="F1917" s="136"/>
      <c r="G1917" s="7" t="s">
        <v>8</v>
      </c>
      <c r="H1917" s="126" t="s">
        <v>9</v>
      </c>
      <c r="I1917" s="126" t="s">
        <v>10</v>
      </c>
      <c r="J1917" s="126" t="s">
        <v>12</v>
      </c>
    </row>
    <row r="1918" spans="1:10" ht="24" customHeight="1" x14ac:dyDescent="0.2">
      <c r="A1918" s="116" t="s">
        <v>1861</v>
      </c>
      <c r="B1918" s="1" t="s">
        <v>478</v>
      </c>
      <c r="C1918" s="116" t="s">
        <v>20</v>
      </c>
      <c r="D1918" s="116" t="s">
        <v>479</v>
      </c>
      <c r="E1918" s="137">
        <v>8</v>
      </c>
      <c r="F1918" s="137"/>
      <c r="G1918" s="2" t="s">
        <v>37</v>
      </c>
      <c r="H1918" s="115">
        <v>1</v>
      </c>
      <c r="I1918" s="61">
        <v>5.71</v>
      </c>
      <c r="J1918" s="61">
        <v>5.71</v>
      </c>
    </row>
    <row r="1919" spans="1:10" ht="24" customHeight="1" x14ac:dyDescent="0.2">
      <c r="A1919" s="113" t="s">
        <v>1859</v>
      </c>
      <c r="B1919" s="114" t="s">
        <v>1951</v>
      </c>
      <c r="C1919" s="113" t="s">
        <v>20</v>
      </c>
      <c r="D1919" s="113" t="s">
        <v>1950</v>
      </c>
      <c r="E1919" s="139" t="s">
        <v>1860</v>
      </c>
      <c r="F1919" s="139"/>
      <c r="G1919" s="112" t="s">
        <v>1864</v>
      </c>
      <c r="H1919" s="111">
        <v>0.18</v>
      </c>
      <c r="I1919" s="110">
        <v>10.62</v>
      </c>
      <c r="J1919" s="110">
        <v>1.91</v>
      </c>
    </row>
    <row r="1920" spans="1:10" ht="24" customHeight="1" x14ac:dyDescent="0.2">
      <c r="A1920" s="113" t="s">
        <v>1859</v>
      </c>
      <c r="B1920" s="114" t="s">
        <v>1981</v>
      </c>
      <c r="C1920" s="113" t="s">
        <v>20</v>
      </c>
      <c r="D1920" s="113" t="s">
        <v>1980</v>
      </c>
      <c r="E1920" s="139" t="s">
        <v>1860</v>
      </c>
      <c r="F1920" s="139"/>
      <c r="G1920" s="112" t="s">
        <v>1864</v>
      </c>
      <c r="H1920" s="111">
        <v>0.18</v>
      </c>
      <c r="I1920" s="110">
        <v>15.97</v>
      </c>
      <c r="J1920" s="110">
        <v>2.87</v>
      </c>
    </row>
    <row r="1921" spans="1:10" ht="24" customHeight="1" x14ac:dyDescent="0.2">
      <c r="A1921" s="113" t="s">
        <v>1859</v>
      </c>
      <c r="B1921" s="114" t="s">
        <v>2300</v>
      </c>
      <c r="C1921" s="113" t="s">
        <v>20</v>
      </c>
      <c r="D1921" s="113" t="s">
        <v>479</v>
      </c>
      <c r="E1921" s="139" t="s">
        <v>1369</v>
      </c>
      <c r="F1921" s="139"/>
      <c r="G1921" s="112" t="s">
        <v>246</v>
      </c>
      <c r="H1921" s="111">
        <v>1</v>
      </c>
      <c r="I1921" s="110">
        <v>0.93</v>
      </c>
      <c r="J1921" s="110">
        <v>0.93</v>
      </c>
    </row>
    <row r="1922" spans="1:10" x14ac:dyDescent="0.2">
      <c r="A1922" s="109"/>
      <c r="B1922" s="109"/>
      <c r="C1922" s="109"/>
      <c r="D1922" s="109"/>
      <c r="E1922" s="109" t="s">
        <v>1858</v>
      </c>
      <c r="F1922" s="108">
        <v>4.78</v>
      </c>
      <c r="G1922" s="109" t="s">
        <v>1857</v>
      </c>
      <c r="H1922" s="108">
        <v>0</v>
      </c>
      <c r="I1922" s="109" t="s">
        <v>1856</v>
      </c>
      <c r="J1922" s="108">
        <v>4.78</v>
      </c>
    </row>
    <row r="1923" spans="1:10" ht="13.9" customHeight="1" x14ac:dyDescent="0.2">
      <c r="A1923" s="109"/>
      <c r="B1923" s="109"/>
      <c r="C1923" s="109"/>
      <c r="D1923" s="109"/>
      <c r="E1923" s="109" t="s">
        <v>1855</v>
      </c>
      <c r="F1923" s="108">
        <v>1.516005</v>
      </c>
      <c r="G1923" s="109"/>
      <c r="H1923" s="140" t="s">
        <v>1854</v>
      </c>
      <c r="I1923" s="140"/>
      <c r="J1923" s="108">
        <v>7.23</v>
      </c>
    </row>
    <row r="1924" spans="1:10" ht="30" customHeight="1" thickBot="1" x14ac:dyDescent="0.25">
      <c r="A1924" s="100"/>
      <c r="B1924" s="100"/>
      <c r="C1924" s="100"/>
      <c r="D1924" s="100"/>
      <c r="E1924" s="100"/>
      <c r="F1924" s="100"/>
      <c r="G1924" s="100" t="s">
        <v>1853</v>
      </c>
      <c r="H1924" s="107">
        <v>10</v>
      </c>
      <c r="I1924" s="100" t="s">
        <v>1852</v>
      </c>
      <c r="J1924" s="102">
        <v>72.3</v>
      </c>
    </row>
    <row r="1925" spans="1:10" ht="1.1499999999999999" customHeight="1" thickTop="1" x14ac:dyDescent="0.2">
      <c r="A1925" s="106"/>
      <c r="B1925" s="106"/>
      <c r="C1925" s="106"/>
      <c r="D1925" s="106"/>
      <c r="E1925" s="106"/>
      <c r="F1925" s="106"/>
      <c r="G1925" s="106"/>
      <c r="H1925" s="106"/>
      <c r="I1925" s="106"/>
      <c r="J1925" s="106"/>
    </row>
    <row r="1926" spans="1:10" ht="18" customHeight="1" x14ac:dyDescent="0.2">
      <c r="A1926" s="117" t="s">
        <v>477</v>
      </c>
      <c r="B1926" s="126" t="s">
        <v>5</v>
      </c>
      <c r="C1926" s="117" t="s">
        <v>6</v>
      </c>
      <c r="D1926" s="117" t="s">
        <v>7</v>
      </c>
      <c r="E1926" s="136" t="s">
        <v>1113</v>
      </c>
      <c r="F1926" s="136"/>
      <c r="G1926" s="7" t="s">
        <v>8</v>
      </c>
      <c r="H1926" s="126" t="s">
        <v>9</v>
      </c>
      <c r="I1926" s="126" t="s">
        <v>10</v>
      </c>
      <c r="J1926" s="126" t="s">
        <v>12</v>
      </c>
    </row>
    <row r="1927" spans="1:10" ht="24" customHeight="1" x14ac:dyDescent="0.2">
      <c r="A1927" s="116" t="s">
        <v>1861</v>
      </c>
      <c r="B1927" s="1" t="s">
        <v>481</v>
      </c>
      <c r="C1927" s="116" t="s">
        <v>20</v>
      </c>
      <c r="D1927" s="116" t="s">
        <v>482</v>
      </c>
      <c r="E1927" s="137">
        <v>8</v>
      </c>
      <c r="F1927" s="137"/>
      <c r="G1927" s="2" t="s">
        <v>37</v>
      </c>
      <c r="H1927" s="115">
        <v>1</v>
      </c>
      <c r="I1927" s="61">
        <v>9.6300000000000008</v>
      </c>
      <c r="J1927" s="61">
        <v>9.6300000000000008</v>
      </c>
    </row>
    <row r="1928" spans="1:10" ht="24" customHeight="1" x14ac:dyDescent="0.2">
      <c r="A1928" s="113" t="s">
        <v>1859</v>
      </c>
      <c r="B1928" s="114" t="s">
        <v>1951</v>
      </c>
      <c r="C1928" s="113" t="s">
        <v>20</v>
      </c>
      <c r="D1928" s="113" t="s">
        <v>1950</v>
      </c>
      <c r="E1928" s="139" t="s">
        <v>1860</v>
      </c>
      <c r="F1928" s="139"/>
      <c r="G1928" s="112" t="s">
        <v>1864</v>
      </c>
      <c r="H1928" s="111">
        <v>0.14000000000000001</v>
      </c>
      <c r="I1928" s="110">
        <v>10.62</v>
      </c>
      <c r="J1928" s="110">
        <v>1.49</v>
      </c>
    </row>
    <row r="1929" spans="1:10" ht="24" customHeight="1" x14ac:dyDescent="0.2">
      <c r="A1929" s="113" t="s">
        <v>1859</v>
      </c>
      <c r="B1929" s="114" t="s">
        <v>1981</v>
      </c>
      <c r="C1929" s="113" t="s">
        <v>20</v>
      </c>
      <c r="D1929" s="113" t="s">
        <v>1980</v>
      </c>
      <c r="E1929" s="139" t="s">
        <v>1860</v>
      </c>
      <c r="F1929" s="139"/>
      <c r="G1929" s="112" t="s">
        <v>1864</v>
      </c>
      <c r="H1929" s="111">
        <v>0.14000000000000001</v>
      </c>
      <c r="I1929" s="110">
        <v>15.97</v>
      </c>
      <c r="J1929" s="110">
        <v>2.2400000000000002</v>
      </c>
    </row>
    <row r="1930" spans="1:10" ht="24" customHeight="1" x14ac:dyDescent="0.2">
      <c r="A1930" s="113" t="s">
        <v>1859</v>
      </c>
      <c r="B1930" s="114" t="s">
        <v>2299</v>
      </c>
      <c r="C1930" s="113" t="s">
        <v>20</v>
      </c>
      <c r="D1930" s="113" t="s">
        <v>2298</v>
      </c>
      <c r="E1930" s="139" t="s">
        <v>1369</v>
      </c>
      <c r="F1930" s="139"/>
      <c r="G1930" s="112" t="s">
        <v>246</v>
      </c>
      <c r="H1930" s="111">
        <v>1</v>
      </c>
      <c r="I1930" s="110">
        <v>5.9</v>
      </c>
      <c r="J1930" s="110">
        <v>5.9</v>
      </c>
    </row>
    <row r="1931" spans="1:10" x14ac:dyDescent="0.2">
      <c r="A1931" s="109"/>
      <c r="B1931" s="109"/>
      <c r="C1931" s="109"/>
      <c r="D1931" s="109"/>
      <c r="E1931" s="109" t="s">
        <v>1858</v>
      </c>
      <c r="F1931" s="108">
        <v>3.73</v>
      </c>
      <c r="G1931" s="109" t="s">
        <v>1857</v>
      </c>
      <c r="H1931" s="108">
        <v>0</v>
      </c>
      <c r="I1931" s="109" t="s">
        <v>1856</v>
      </c>
      <c r="J1931" s="108">
        <v>3.73</v>
      </c>
    </row>
    <row r="1932" spans="1:10" ht="13.9" customHeight="1" x14ac:dyDescent="0.2">
      <c r="A1932" s="109"/>
      <c r="B1932" s="109"/>
      <c r="C1932" s="109"/>
      <c r="D1932" s="109"/>
      <c r="E1932" s="109" t="s">
        <v>1855</v>
      </c>
      <c r="F1932" s="108">
        <v>2.556765</v>
      </c>
      <c r="G1932" s="109"/>
      <c r="H1932" s="140" t="s">
        <v>1854</v>
      </c>
      <c r="I1932" s="140"/>
      <c r="J1932" s="108">
        <v>12.19</v>
      </c>
    </row>
    <row r="1933" spans="1:10" ht="30" customHeight="1" thickBot="1" x14ac:dyDescent="0.25">
      <c r="A1933" s="100"/>
      <c r="B1933" s="100"/>
      <c r="C1933" s="100"/>
      <c r="D1933" s="100"/>
      <c r="E1933" s="100"/>
      <c r="F1933" s="100"/>
      <c r="G1933" s="100" t="s">
        <v>1853</v>
      </c>
      <c r="H1933" s="107">
        <v>1</v>
      </c>
      <c r="I1933" s="100" t="s">
        <v>1852</v>
      </c>
      <c r="J1933" s="102">
        <v>12.19</v>
      </c>
    </row>
    <row r="1934" spans="1:10" ht="1.1499999999999999" customHeight="1" thickTop="1" x14ac:dyDescent="0.2">
      <c r="A1934" s="106"/>
      <c r="B1934" s="106"/>
      <c r="C1934" s="106"/>
      <c r="D1934" s="106"/>
      <c r="E1934" s="106"/>
      <c r="F1934" s="106"/>
      <c r="G1934" s="106"/>
      <c r="H1934" s="106"/>
      <c r="I1934" s="106"/>
      <c r="J1934" s="106"/>
    </row>
    <row r="1935" spans="1:10" ht="18" customHeight="1" x14ac:dyDescent="0.2">
      <c r="A1935" s="117" t="s">
        <v>480</v>
      </c>
      <c r="B1935" s="126" t="s">
        <v>5</v>
      </c>
      <c r="C1935" s="117" t="s">
        <v>6</v>
      </c>
      <c r="D1935" s="117" t="s">
        <v>7</v>
      </c>
      <c r="E1935" s="136" t="s">
        <v>1113</v>
      </c>
      <c r="F1935" s="136"/>
      <c r="G1935" s="7" t="s">
        <v>8</v>
      </c>
      <c r="H1935" s="126" t="s">
        <v>9</v>
      </c>
      <c r="I1935" s="126" t="s">
        <v>10</v>
      </c>
      <c r="J1935" s="126" t="s">
        <v>12</v>
      </c>
    </row>
    <row r="1936" spans="1:10" ht="24" customHeight="1" x14ac:dyDescent="0.2">
      <c r="A1936" s="116" t="s">
        <v>1861</v>
      </c>
      <c r="B1936" s="1" t="s">
        <v>484</v>
      </c>
      <c r="C1936" s="116" t="s">
        <v>20</v>
      </c>
      <c r="D1936" s="116" t="s">
        <v>485</v>
      </c>
      <c r="E1936" s="137">
        <v>8</v>
      </c>
      <c r="F1936" s="137"/>
      <c r="G1936" s="2" t="s">
        <v>37</v>
      </c>
      <c r="H1936" s="115">
        <v>1</v>
      </c>
      <c r="I1936" s="61">
        <v>34.619999999999997</v>
      </c>
      <c r="J1936" s="61">
        <v>34.619999999999997</v>
      </c>
    </row>
    <row r="1937" spans="1:10" ht="24" customHeight="1" x14ac:dyDescent="0.2">
      <c r="A1937" s="113" t="s">
        <v>1859</v>
      </c>
      <c r="B1937" s="114" t="s">
        <v>2297</v>
      </c>
      <c r="C1937" s="113" t="s">
        <v>20</v>
      </c>
      <c r="D1937" s="113" t="s">
        <v>2296</v>
      </c>
      <c r="E1937" s="139" t="s">
        <v>1369</v>
      </c>
      <c r="F1937" s="139"/>
      <c r="G1937" s="112" t="s">
        <v>246</v>
      </c>
      <c r="H1937" s="111">
        <v>1</v>
      </c>
      <c r="I1937" s="110">
        <v>23.98</v>
      </c>
      <c r="J1937" s="110">
        <v>23.98</v>
      </c>
    </row>
    <row r="1938" spans="1:10" ht="24" customHeight="1" x14ac:dyDescent="0.2">
      <c r="A1938" s="113" t="s">
        <v>1859</v>
      </c>
      <c r="B1938" s="114" t="s">
        <v>1981</v>
      </c>
      <c r="C1938" s="113" t="s">
        <v>20</v>
      </c>
      <c r="D1938" s="113" t="s">
        <v>1980</v>
      </c>
      <c r="E1938" s="139" t="s">
        <v>1860</v>
      </c>
      <c r="F1938" s="139"/>
      <c r="G1938" s="112" t="s">
        <v>1864</v>
      </c>
      <c r="H1938" s="111">
        <v>0.4</v>
      </c>
      <c r="I1938" s="110">
        <v>15.97</v>
      </c>
      <c r="J1938" s="110">
        <v>6.39</v>
      </c>
    </row>
    <row r="1939" spans="1:10" ht="24" customHeight="1" x14ac:dyDescent="0.2">
      <c r="A1939" s="113" t="s">
        <v>1859</v>
      </c>
      <c r="B1939" s="114" t="s">
        <v>1951</v>
      </c>
      <c r="C1939" s="113" t="s">
        <v>20</v>
      </c>
      <c r="D1939" s="113" t="s">
        <v>1950</v>
      </c>
      <c r="E1939" s="139" t="s">
        <v>1860</v>
      </c>
      <c r="F1939" s="139"/>
      <c r="G1939" s="112" t="s">
        <v>1864</v>
      </c>
      <c r="H1939" s="111">
        <v>0.4</v>
      </c>
      <c r="I1939" s="110">
        <v>10.62</v>
      </c>
      <c r="J1939" s="110">
        <v>4.25</v>
      </c>
    </row>
    <row r="1940" spans="1:10" x14ac:dyDescent="0.2">
      <c r="A1940" s="109"/>
      <c r="B1940" s="109"/>
      <c r="C1940" s="109"/>
      <c r="D1940" s="109"/>
      <c r="E1940" s="109" t="s">
        <v>1858</v>
      </c>
      <c r="F1940" s="108">
        <v>10.64</v>
      </c>
      <c r="G1940" s="109" t="s">
        <v>1857</v>
      </c>
      <c r="H1940" s="108">
        <v>0</v>
      </c>
      <c r="I1940" s="109" t="s">
        <v>1856</v>
      </c>
      <c r="J1940" s="108">
        <v>10.64</v>
      </c>
    </row>
    <row r="1941" spans="1:10" ht="13.9" customHeight="1" x14ac:dyDescent="0.2">
      <c r="A1941" s="109"/>
      <c r="B1941" s="109"/>
      <c r="C1941" s="109"/>
      <c r="D1941" s="109"/>
      <c r="E1941" s="109" t="s">
        <v>1855</v>
      </c>
      <c r="F1941" s="108">
        <v>9.1916100000000007</v>
      </c>
      <c r="G1941" s="109"/>
      <c r="H1941" s="140" t="s">
        <v>1854</v>
      </c>
      <c r="I1941" s="140"/>
      <c r="J1941" s="108">
        <v>43.81</v>
      </c>
    </row>
    <row r="1942" spans="1:10" ht="30" customHeight="1" thickBot="1" x14ac:dyDescent="0.25">
      <c r="A1942" s="100"/>
      <c r="B1942" s="100"/>
      <c r="C1942" s="100"/>
      <c r="D1942" s="100"/>
      <c r="E1942" s="100"/>
      <c r="F1942" s="100"/>
      <c r="G1942" s="100" t="s">
        <v>1853</v>
      </c>
      <c r="H1942" s="107">
        <v>1</v>
      </c>
      <c r="I1942" s="100" t="s">
        <v>1852</v>
      </c>
      <c r="J1942" s="102">
        <v>43.81</v>
      </c>
    </row>
    <row r="1943" spans="1:10" ht="1.1499999999999999" customHeight="1" thickTop="1" x14ac:dyDescent="0.2">
      <c r="A1943" s="106"/>
      <c r="B1943" s="106"/>
      <c r="C1943" s="106"/>
      <c r="D1943" s="106"/>
      <c r="E1943" s="106"/>
      <c r="F1943" s="106"/>
      <c r="G1943" s="106"/>
      <c r="H1943" s="106"/>
      <c r="I1943" s="106"/>
      <c r="J1943" s="106"/>
    </row>
    <row r="1944" spans="1:10" ht="18" customHeight="1" x14ac:dyDescent="0.2">
      <c r="A1944" s="117" t="s">
        <v>483</v>
      </c>
      <c r="B1944" s="126" t="s">
        <v>5</v>
      </c>
      <c r="C1944" s="117" t="s">
        <v>6</v>
      </c>
      <c r="D1944" s="117" t="s">
        <v>7</v>
      </c>
      <c r="E1944" s="136" t="s">
        <v>1113</v>
      </c>
      <c r="F1944" s="136"/>
      <c r="G1944" s="7" t="s">
        <v>8</v>
      </c>
      <c r="H1944" s="126" t="s">
        <v>9</v>
      </c>
      <c r="I1944" s="126" t="s">
        <v>10</v>
      </c>
      <c r="J1944" s="126" t="s">
        <v>12</v>
      </c>
    </row>
    <row r="1945" spans="1:10" ht="24" customHeight="1" x14ac:dyDescent="0.2">
      <c r="A1945" s="116" t="s">
        <v>1861</v>
      </c>
      <c r="B1945" s="1" t="s">
        <v>487</v>
      </c>
      <c r="C1945" s="116" t="s">
        <v>20</v>
      </c>
      <c r="D1945" s="116" t="s">
        <v>488</v>
      </c>
      <c r="E1945" s="137">
        <v>8</v>
      </c>
      <c r="F1945" s="137"/>
      <c r="G1945" s="2" t="s">
        <v>213</v>
      </c>
      <c r="H1945" s="115">
        <v>1</v>
      </c>
      <c r="I1945" s="61">
        <v>14.26</v>
      </c>
      <c r="J1945" s="61">
        <v>14.26</v>
      </c>
    </row>
    <row r="1946" spans="1:10" ht="24" customHeight="1" x14ac:dyDescent="0.2">
      <c r="A1946" s="113" t="s">
        <v>1859</v>
      </c>
      <c r="B1946" s="114" t="s">
        <v>1981</v>
      </c>
      <c r="C1946" s="113" t="s">
        <v>20</v>
      </c>
      <c r="D1946" s="113" t="s">
        <v>1980</v>
      </c>
      <c r="E1946" s="139" t="s">
        <v>1860</v>
      </c>
      <c r="F1946" s="139"/>
      <c r="G1946" s="112" t="s">
        <v>1864</v>
      </c>
      <c r="H1946" s="111">
        <v>0.129</v>
      </c>
      <c r="I1946" s="110">
        <v>15.97</v>
      </c>
      <c r="J1946" s="110">
        <v>2.06</v>
      </c>
    </row>
    <row r="1947" spans="1:10" ht="24" customHeight="1" x14ac:dyDescent="0.2">
      <c r="A1947" s="113" t="s">
        <v>1859</v>
      </c>
      <c r="B1947" s="114" t="s">
        <v>1951</v>
      </c>
      <c r="C1947" s="113" t="s">
        <v>20</v>
      </c>
      <c r="D1947" s="113" t="s">
        <v>1950</v>
      </c>
      <c r="E1947" s="139" t="s">
        <v>1860</v>
      </c>
      <c r="F1947" s="139"/>
      <c r="G1947" s="112" t="s">
        <v>1864</v>
      </c>
      <c r="H1947" s="111">
        <v>0.129</v>
      </c>
      <c r="I1947" s="110">
        <v>10.62</v>
      </c>
      <c r="J1947" s="110">
        <v>1.37</v>
      </c>
    </row>
    <row r="1948" spans="1:10" ht="24" customHeight="1" x14ac:dyDescent="0.2">
      <c r="A1948" s="113" t="s">
        <v>1859</v>
      </c>
      <c r="B1948" s="114" t="s">
        <v>2295</v>
      </c>
      <c r="C1948" s="113" t="s">
        <v>20</v>
      </c>
      <c r="D1948" s="113" t="s">
        <v>2294</v>
      </c>
      <c r="E1948" s="139" t="s">
        <v>1369</v>
      </c>
      <c r="F1948" s="139"/>
      <c r="G1948" s="112" t="s">
        <v>213</v>
      </c>
      <c r="H1948" s="111">
        <v>1.01</v>
      </c>
      <c r="I1948" s="110">
        <v>10.72</v>
      </c>
      <c r="J1948" s="110">
        <v>10.83</v>
      </c>
    </row>
    <row r="1949" spans="1:10" x14ac:dyDescent="0.2">
      <c r="A1949" s="109"/>
      <c r="B1949" s="109"/>
      <c r="C1949" s="109"/>
      <c r="D1949" s="109"/>
      <c r="E1949" s="109" t="s">
        <v>1858</v>
      </c>
      <c r="F1949" s="108">
        <v>3.43</v>
      </c>
      <c r="G1949" s="109" t="s">
        <v>1857</v>
      </c>
      <c r="H1949" s="108">
        <v>0</v>
      </c>
      <c r="I1949" s="109" t="s">
        <v>1856</v>
      </c>
      <c r="J1949" s="108">
        <v>3.43</v>
      </c>
    </row>
    <row r="1950" spans="1:10" ht="13.9" customHeight="1" x14ac:dyDescent="0.2">
      <c r="A1950" s="109"/>
      <c r="B1950" s="109"/>
      <c r="C1950" s="109"/>
      <c r="D1950" s="109"/>
      <c r="E1950" s="109" t="s">
        <v>1855</v>
      </c>
      <c r="F1950" s="108">
        <v>3.7860299999999998</v>
      </c>
      <c r="G1950" s="109"/>
      <c r="H1950" s="140" t="s">
        <v>1854</v>
      </c>
      <c r="I1950" s="140"/>
      <c r="J1950" s="108">
        <v>18.05</v>
      </c>
    </row>
    <row r="1951" spans="1:10" ht="30" customHeight="1" thickBot="1" x14ac:dyDescent="0.25">
      <c r="A1951" s="100"/>
      <c r="B1951" s="100"/>
      <c r="C1951" s="100"/>
      <c r="D1951" s="100"/>
      <c r="E1951" s="100"/>
      <c r="F1951" s="100"/>
      <c r="G1951" s="100" t="s">
        <v>1853</v>
      </c>
      <c r="H1951" s="107">
        <v>5.44</v>
      </c>
      <c r="I1951" s="100" t="s">
        <v>1852</v>
      </c>
      <c r="J1951" s="102">
        <v>98.19</v>
      </c>
    </row>
    <row r="1952" spans="1:10" ht="1.1499999999999999" customHeight="1" thickTop="1" x14ac:dyDescent="0.2">
      <c r="A1952" s="106"/>
      <c r="B1952" s="106"/>
      <c r="C1952" s="106"/>
      <c r="D1952" s="106"/>
      <c r="E1952" s="106"/>
      <c r="F1952" s="106"/>
      <c r="G1952" s="106"/>
      <c r="H1952" s="106"/>
      <c r="I1952" s="106"/>
      <c r="J1952" s="106"/>
    </row>
    <row r="1953" spans="1:10" ht="18" customHeight="1" x14ac:dyDescent="0.2">
      <c r="A1953" s="117" t="s">
        <v>486</v>
      </c>
      <c r="B1953" s="126" t="s">
        <v>5</v>
      </c>
      <c r="C1953" s="117" t="s">
        <v>6</v>
      </c>
      <c r="D1953" s="117" t="s">
        <v>7</v>
      </c>
      <c r="E1953" s="136" t="s">
        <v>1113</v>
      </c>
      <c r="F1953" s="136"/>
      <c r="G1953" s="7" t="s">
        <v>8</v>
      </c>
      <c r="H1953" s="126" t="s">
        <v>9</v>
      </c>
      <c r="I1953" s="126" t="s">
        <v>10</v>
      </c>
      <c r="J1953" s="126" t="s">
        <v>12</v>
      </c>
    </row>
    <row r="1954" spans="1:10" ht="24" customHeight="1" x14ac:dyDescent="0.2">
      <c r="A1954" s="116" t="s">
        <v>1861</v>
      </c>
      <c r="B1954" s="1" t="s">
        <v>490</v>
      </c>
      <c r="C1954" s="116" t="s">
        <v>20</v>
      </c>
      <c r="D1954" s="116" t="s">
        <v>491</v>
      </c>
      <c r="E1954" s="137">
        <v>8</v>
      </c>
      <c r="F1954" s="137"/>
      <c r="G1954" s="2" t="s">
        <v>37</v>
      </c>
      <c r="H1954" s="115">
        <v>1</v>
      </c>
      <c r="I1954" s="61">
        <v>7.58</v>
      </c>
      <c r="J1954" s="61">
        <v>7.58</v>
      </c>
    </row>
    <row r="1955" spans="1:10" ht="24" customHeight="1" x14ac:dyDescent="0.2">
      <c r="A1955" s="113" t="s">
        <v>1859</v>
      </c>
      <c r="B1955" s="114" t="s">
        <v>2293</v>
      </c>
      <c r="C1955" s="113" t="s">
        <v>20</v>
      </c>
      <c r="D1955" s="113" t="s">
        <v>2292</v>
      </c>
      <c r="E1955" s="139" t="s">
        <v>1369</v>
      </c>
      <c r="F1955" s="139"/>
      <c r="G1955" s="112" t="s">
        <v>246</v>
      </c>
      <c r="H1955" s="111">
        <v>1</v>
      </c>
      <c r="I1955" s="110">
        <v>2.8</v>
      </c>
      <c r="J1955" s="110">
        <v>2.8</v>
      </c>
    </row>
    <row r="1956" spans="1:10" ht="24" customHeight="1" x14ac:dyDescent="0.2">
      <c r="A1956" s="113" t="s">
        <v>1859</v>
      </c>
      <c r="B1956" s="114" t="s">
        <v>1981</v>
      </c>
      <c r="C1956" s="113" t="s">
        <v>20</v>
      </c>
      <c r="D1956" s="113" t="s">
        <v>1980</v>
      </c>
      <c r="E1956" s="139" t="s">
        <v>1860</v>
      </c>
      <c r="F1956" s="139"/>
      <c r="G1956" s="112" t="s">
        <v>1864</v>
      </c>
      <c r="H1956" s="111">
        <v>0.18</v>
      </c>
      <c r="I1956" s="110">
        <v>15.97</v>
      </c>
      <c r="J1956" s="110">
        <v>2.87</v>
      </c>
    </row>
    <row r="1957" spans="1:10" ht="24" customHeight="1" x14ac:dyDescent="0.2">
      <c r="A1957" s="113" t="s">
        <v>1859</v>
      </c>
      <c r="B1957" s="114" t="s">
        <v>1951</v>
      </c>
      <c r="C1957" s="113" t="s">
        <v>20</v>
      </c>
      <c r="D1957" s="113" t="s">
        <v>1950</v>
      </c>
      <c r="E1957" s="139" t="s">
        <v>1860</v>
      </c>
      <c r="F1957" s="139"/>
      <c r="G1957" s="112" t="s">
        <v>1864</v>
      </c>
      <c r="H1957" s="111">
        <v>0.18</v>
      </c>
      <c r="I1957" s="110">
        <v>10.62</v>
      </c>
      <c r="J1957" s="110">
        <v>1.91</v>
      </c>
    </row>
    <row r="1958" spans="1:10" x14ac:dyDescent="0.2">
      <c r="A1958" s="109"/>
      <c r="B1958" s="109"/>
      <c r="C1958" s="109"/>
      <c r="D1958" s="109"/>
      <c r="E1958" s="109" t="s">
        <v>1858</v>
      </c>
      <c r="F1958" s="108">
        <v>4.78</v>
      </c>
      <c r="G1958" s="109" t="s">
        <v>1857</v>
      </c>
      <c r="H1958" s="108">
        <v>0</v>
      </c>
      <c r="I1958" s="109" t="s">
        <v>1856</v>
      </c>
      <c r="J1958" s="108">
        <v>4.78</v>
      </c>
    </row>
    <row r="1959" spans="1:10" ht="13.9" customHeight="1" x14ac:dyDescent="0.2">
      <c r="A1959" s="109"/>
      <c r="B1959" s="109"/>
      <c r="C1959" s="109"/>
      <c r="D1959" s="109"/>
      <c r="E1959" s="109" t="s">
        <v>1855</v>
      </c>
      <c r="F1959" s="108">
        <v>2.0124900000000001</v>
      </c>
      <c r="G1959" s="109"/>
      <c r="H1959" s="140" t="s">
        <v>1854</v>
      </c>
      <c r="I1959" s="140"/>
      <c r="J1959" s="108">
        <v>9.59</v>
      </c>
    </row>
    <row r="1960" spans="1:10" ht="30" customHeight="1" thickBot="1" x14ac:dyDescent="0.25">
      <c r="A1960" s="100"/>
      <c r="B1960" s="100"/>
      <c r="C1960" s="100"/>
      <c r="D1960" s="100"/>
      <c r="E1960" s="100"/>
      <c r="F1960" s="100"/>
      <c r="G1960" s="100" t="s">
        <v>1853</v>
      </c>
      <c r="H1960" s="107">
        <v>3</v>
      </c>
      <c r="I1960" s="100" t="s">
        <v>1852</v>
      </c>
      <c r="J1960" s="102">
        <v>28.77</v>
      </c>
    </row>
    <row r="1961" spans="1:10" ht="1.1499999999999999" customHeight="1" thickTop="1" x14ac:dyDescent="0.2">
      <c r="A1961" s="106"/>
      <c r="B1961" s="106"/>
      <c r="C1961" s="106"/>
      <c r="D1961" s="106"/>
      <c r="E1961" s="106"/>
      <c r="F1961" s="106"/>
      <c r="G1961" s="106"/>
      <c r="H1961" s="106"/>
      <c r="I1961" s="106"/>
      <c r="J1961" s="106"/>
    </row>
    <row r="1962" spans="1:10" ht="18" customHeight="1" x14ac:dyDescent="0.2">
      <c r="A1962" s="117" t="s">
        <v>489</v>
      </c>
      <c r="B1962" s="126" t="s">
        <v>5</v>
      </c>
      <c r="C1962" s="117" t="s">
        <v>6</v>
      </c>
      <c r="D1962" s="117" t="s">
        <v>7</v>
      </c>
      <c r="E1962" s="136" t="s">
        <v>1113</v>
      </c>
      <c r="F1962" s="136"/>
      <c r="G1962" s="7" t="s">
        <v>8</v>
      </c>
      <c r="H1962" s="126" t="s">
        <v>9</v>
      </c>
      <c r="I1962" s="126" t="s">
        <v>10</v>
      </c>
      <c r="J1962" s="126" t="s">
        <v>12</v>
      </c>
    </row>
    <row r="1963" spans="1:10" ht="24" customHeight="1" x14ac:dyDescent="0.2">
      <c r="A1963" s="116" t="s">
        <v>1861</v>
      </c>
      <c r="B1963" s="1" t="s">
        <v>493</v>
      </c>
      <c r="C1963" s="116" t="s">
        <v>20</v>
      </c>
      <c r="D1963" s="116" t="s">
        <v>494</v>
      </c>
      <c r="E1963" s="137">
        <v>8</v>
      </c>
      <c r="F1963" s="137"/>
      <c r="G1963" s="2" t="s">
        <v>37</v>
      </c>
      <c r="H1963" s="115">
        <v>1</v>
      </c>
      <c r="I1963" s="61">
        <v>12.92</v>
      </c>
      <c r="J1963" s="61">
        <v>12.92</v>
      </c>
    </row>
    <row r="1964" spans="1:10" ht="24" customHeight="1" x14ac:dyDescent="0.2">
      <c r="A1964" s="113" t="s">
        <v>1859</v>
      </c>
      <c r="B1964" s="114" t="s">
        <v>1951</v>
      </c>
      <c r="C1964" s="113" t="s">
        <v>20</v>
      </c>
      <c r="D1964" s="113" t="s">
        <v>1950</v>
      </c>
      <c r="E1964" s="139" t="s">
        <v>1860</v>
      </c>
      <c r="F1964" s="139"/>
      <c r="G1964" s="112" t="s">
        <v>1864</v>
      </c>
      <c r="H1964" s="111">
        <v>0.19</v>
      </c>
      <c r="I1964" s="110">
        <v>10.62</v>
      </c>
      <c r="J1964" s="110">
        <v>2.02</v>
      </c>
    </row>
    <row r="1965" spans="1:10" ht="24" customHeight="1" x14ac:dyDescent="0.2">
      <c r="A1965" s="113" t="s">
        <v>1859</v>
      </c>
      <c r="B1965" s="114" t="s">
        <v>1981</v>
      </c>
      <c r="C1965" s="113" t="s">
        <v>20</v>
      </c>
      <c r="D1965" s="113" t="s">
        <v>1980</v>
      </c>
      <c r="E1965" s="139" t="s">
        <v>1860</v>
      </c>
      <c r="F1965" s="139"/>
      <c r="G1965" s="112" t="s">
        <v>1864</v>
      </c>
      <c r="H1965" s="111">
        <v>0.19</v>
      </c>
      <c r="I1965" s="110">
        <v>15.97</v>
      </c>
      <c r="J1965" s="110">
        <v>3.03</v>
      </c>
    </row>
    <row r="1966" spans="1:10" ht="24" customHeight="1" x14ac:dyDescent="0.2">
      <c r="A1966" s="113" t="s">
        <v>1859</v>
      </c>
      <c r="B1966" s="114" t="s">
        <v>2291</v>
      </c>
      <c r="C1966" s="113" t="s">
        <v>20</v>
      </c>
      <c r="D1966" s="113" t="s">
        <v>2290</v>
      </c>
      <c r="E1966" s="139" t="s">
        <v>1369</v>
      </c>
      <c r="F1966" s="139"/>
      <c r="G1966" s="112" t="s">
        <v>246</v>
      </c>
      <c r="H1966" s="111">
        <v>1</v>
      </c>
      <c r="I1966" s="110">
        <v>7.87</v>
      </c>
      <c r="J1966" s="110">
        <v>7.87</v>
      </c>
    </row>
    <row r="1967" spans="1:10" x14ac:dyDescent="0.2">
      <c r="A1967" s="109"/>
      <c r="B1967" s="109"/>
      <c r="C1967" s="109"/>
      <c r="D1967" s="109"/>
      <c r="E1967" s="109" t="s">
        <v>1858</v>
      </c>
      <c r="F1967" s="108">
        <v>5.05</v>
      </c>
      <c r="G1967" s="109" t="s">
        <v>1857</v>
      </c>
      <c r="H1967" s="108">
        <v>0</v>
      </c>
      <c r="I1967" s="109" t="s">
        <v>1856</v>
      </c>
      <c r="J1967" s="108">
        <v>5.05</v>
      </c>
    </row>
    <row r="1968" spans="1:10" ht="13.9" customHeight="1" x14ac:dyDescent="0.2">
      <c r="A1968" s="109"/>
      <c r="B1968" s="109"/>
      <c r="C1968" s="109"/>
      <c r="D1968" s="109"/>
      <c r="E1968" s="109" t="s">
        <v>1855</v>
      </c>
      <c r="F1968" s="108">
        <v>3.4302600000000001</v>
      </c>
      <c r="G1968" s="109"/>
      <c r="H1968" s="140" t="s">
        <v>1854</v>
      </c>
      <c r="I1968" s="140"/>
      <c r="J1968" s="108">
        <v>16.350000000000001</v>
      </c>
    </row>
    <row r="1969" spans="1:10" ht="30" customHeight="1" thickBot="1" x14ac:dyDescent="0.25">
      <c r="A1969" s="100"/>
      <c r="B1969" s="100"/>
      <c r="C1969" s="100"/>
      <c r="D1969" s="100"/>
      <c r="E1969" s="100"/>
      <c r="F1969" s="100"/>
      <c r="G1969" s="100" t="s">
        <v>1853</v>
      </c>
      <c r="H1969" s="107">
        <v>1</v>
      </c>
      <c r="I1969" s="100" t="s">
        <v>1852</v>
      </c>
      <c r="J1969" s="102">
        <v>16.350000000000001</v>
      </c>
    </row>
    <row r="1970" spans="1:10" ht="1.1499999999999999" customHeight="1" thickTop="1" x14ac:dyDescent="0.2">
      <c r="A1970" s="106"/>
      <c r="B1970" s="106"/>
      <c r="C1970" s="106"/>
      <c r="D1970" s="106"/>
      <c r="E1970" s="106"/>
      <c r="F1970" s="106"/>
      <c r="G1970" s="106"/>
      <c r="H1970" s="106"/>
      <c r="I1970" s="106"/>
      <c r="J1970" s="106"/>
    </row>
    <row r="1971" spans="1:10" ht="18" customHeight="1" x14ac:dyDescent="0.2">
      <c r="A1971" s="117" t="s">
        <v>492</v>
      </c>
      <c r="B1971" s="126" t="s">
        <v>5</v>
      </c>
      <c r="C1971" s="117" t="s">
        <v>6</v>
      </c>
      <c r="D1971" s="117" t="s">
        <v>7</v>
      </c>
      <c r="E1971" s="136" t="s">
        <v>1113</v>
      </c>
      <c r="F1971" s="136"/>
      <c r="G1971" s="7" t="s">
        <v>8</v>
      </c>
      <c r="H1971" s="126" t="s">
        <v>9</v>
      </c>
      <c r="I1971" s="126" t="s">
        <v>10</v>
      </c>
      <c r="J1971" s="126" t="s">
        <v>12</v>
      </c>
    </row>
    <row r="1972" spans="1:10" ht="24" customHeight="1" x14ac:dyDescent="0.2">
      <c r="A1972" s="116" t="s">
        <v>1861</v>
      </c>
      <c r="B1972" s="1" t="s">
        <v>496</v>
      </c>
      <c r="C1972" s="116" t="s">
        <v>20</v>
      </c>
      <c r="D1972" s="116" t="s">
        <v>497</v>
      </c>
      <c r="E1972" s="137">
        <v>8</v>
      </c>
      <c r="F1972" s="137"/>
      <c r="G1972" s="2" t="s">
        <v>37</v>
      </c>
      <c r="H1972" s="115">
        <v>1</v>
      </c>
      <c r="I1972" s="61">
        <v>241.4</v>
      </c>
      <c r="J1972" s="61">
        <v>241.4</v>
      </c>
    </row>
    <row r="1973" spans="1:10" ht="24" customHeight="1" x14ac:dyDescent="0.2">
      <c r="A1973" s="113" t="s">
        <v>1859</v>
      </c>
      <c r="B1973" s="114" t="s">
        <v>1951</v>
      </c>
      <c r="C1973" s="113" t="s">
        <v>20</v>
      </c>
      <c r="D1973" s="113" t="s">
        <v>1950</v>
      </c>
      <c r="E1973" s="139" t="s">
        <v>1860</v>
      </c>
      <c r="F1973" s="139"/>
      <c r="G1973" s="112" t="s">
        <v>1864</v>
      </c>
      <c r="H1973" s="111">
        <v>0.4</v>
      </c>
      <c r="I1973" s="110">
        <v>10.62</v>
      </c>
      <c r="J1973" s="110">
        <v>4.25</v>
      </c>
    </row>
    <row r="1974" spans="1:10" ht="24" customHeight="1" x14ac:dyDescent="0.2">
      <c r="A1974" s="113" t="s">
        <v>1859</v>
      </c>
      <c r="B1974" s="114" t="s">
        <v>1981</v>
      </c>
      <c r="C1974" s="113" t="s">
        <v>20</v>
      </c>
      <c r="D1974" s="113" t="s">
        <v>1980</v>
      </c>
      <c r="E1974" s="139" t="s">
        <v>1860</v>
      </c>
      <c r="F1974" s="139"/>
      <c r="G1974" s="112" t="s">
        <v>1864</v>
      </c>
      <c r="H1974" s="111">
        <v>0.4</v>
      </c>
      <c r="I1974" s="110">
        <v>15.97</v>
      </c>
      <c r="J1974" s="110">
        <v>6.39</v>
      </c>
    </row>
    <row r="1975" spans="1:10" ht="24" customHeight="1" x14ac:dyDescent="0.2">
      <c r="A1975" s="113" t="s">
        <v>1859</v>
      </c>
      <c r="B1975" s="114" t="s">
        <v>2289</v>
      </c>
      <c r="C1975" s="113" t="s">
        <v>20</v>
      </c>
      <c r="D1975" s="113" t="s">
        <v>2288</v>
      </c>
      <c r="E1975" s="139" t="s">
        <v>1369</v>
      </c>
      <c r="F1975" s="139"/>
      <c r="G1975" s="112" t="s">
        <v>246</v>
      </c>
      <c r="H1975" s="111">
        <v>1</v>
      </c>
      <c r="I1975" s="110">
        <v>230.76</v>
      </c>
      <c r="J1975" s="110">
        <v>230.76</v>
      </c>
    </row>
    <row r="1976" spans="1:10" x14ac:dyDescent="0.2">
      <c r="A1976" s="109"/>
      <c r="B1976" s="109"/>
      <c r="C1976" s="109"/>
      <c r="D1976" s="109"/>
      <c r="E1976" s="109" t="s">
        <v>1858</v>
      </c>
      <c r="F1976" s="108">
        <v>10.64</v>
      </c>
      <c r="G1976" s="109" t="s">
        <v>1857</v>
      </c>
      <c r="H1976" s="108">
        <v>0</v>
      </c>
      <c r="I1976" s="109" t="s">
        <v>1856</v>
      </c>
      <c r="J1976" s="108">
        <v>10.64</v>
      </c>
    </row>
    <row r="1977" spans="1:10" ht="13.9" customHeight="1" x14ac:dyDescent="0.2">
      <c r="A1977" s="109"/>
      <c r="B1977" s="109"/>
      <c r="C1977" s="109"/>
      <c r="D1977" s="109"/>
      <c r="E1977" s="109" t="s">
        <v>1855</v>
      </c>
      <c r="F1977" s="108">
        <v>64.091700000000003</v>
      </c>
      <c r="G1977" s="109"/>
      <c r="H1977" s="140" t="s">
        <v>1854</v>
      </c>
      <c r="I1977" s="140"/>
      <c r="J1977" s="108">
        <v>305.49</v>
      </c>
    </row>
    <row r="1978" spans="1:10" ht="30" customHeight="1" thickBot="1" x14ac:dyDescent="0.25">
      <c r="A1978" s="100"/>
      <c r="B1978" s="100"/>
      <c r="C1978" s="100"/>
      <c r="D1978" s="100"/>
      <c r="E1978" s="100"/>
      <c r="F1978" s="100"/>
      <c r="G1978" s="100" t="s">
        <v>1853</v>
      </c>
      <c r="H1978" s="107">
        <v>1</v>
      </c>
      <c r="I1978" s="100" t="s">
        <v>1852</v>
      </c>
      <c r="J1978" s="102">
        <v>305.49</v>
      </c>
    </row>
    <row r="1979" spans="1:10" ht="1.1499999999999999" customHeight="1" thickTop="1" x14ac:dyDescent="0.2">
      <c r="A1979" s="106"/>
      <c r="B1979" s="106"/>
      <c r="C1979" s="106"/>
      <c r="D1979" s="106"/>
      <c r="E1979" s="106"/>
      <c r="F1979" s="106"/>
      <c r="G1979" s="106"/>
      <c r="H1979" s="106"/>
      <c r="I1979" s="106"/>
      <c r="J1979" s="106"/>
    </row>
    <row r="1980" spans="1:10" ht="18" customHeight="1" x14ac:dyDescent="0.2">
      <c r="A1980" s="117" t="s">
        <v>495</v>
      </c>
      <c r="B1980" s="126" t="s">
        <v>5</v>
      </c>
      <c r="C1980" s="117" t="s">
        <v>6</v>
      </c>
      <c r="D1980" s="117" t="s">
        <v>7</v>
      </c>
      <c r="E1980" s="136" t="s">
        <v>1113</v>
      </c>
      <c r="F1980" s="136"/>
      <c r="G1980" s="7" t="s">
        <v>8</v>
      </c>
      <c r="H1980" s="126" t="s">
        <v>9</v>
      </c>
      <c r="I1980" s="126" t="s">
        <v>10</v>
      </c>
      <c r="J1980" s="126" t="s">
        <v>12</v>
      </c>
    </row>
    <row r="1981" spans="1:10" ht="24" customHeight="1" x14ac:dyDescent="0.2">
      <c r="A1981" s="116" t="s">
        <v>1861</v>
      </c>
      <c r="B1981" s="1" t="s">
        <v>499</v>
      </c>
      <c r="C1981" s="116" t="s">
        <v>20</v>
      </c>
      <c r="D1981" s="116" t="s">
        <v>500</v>
      </c>
      <c r="E1981" s="137">
        <v>8</v>
      </c>
      <c r="F1981" s="137"/>
      <c r="G1981" s="2" t="s">
        <v>37</v>
      </c>
      <c r="H1981" s="115">
        <v>1</v>
      </c>
      <c r="I1981" s="61">
        <v>27.99</v>
      </c>
      <c r="J1981" s="61">
        <v>27.99</v>
      </c>
    </row>
    <row r="1982" spans="1:10" ht="24" customHeight="1" x14ac:dyDescent="0.2">
      <c r="A1982" s="113" t="s">
        <v>1859</v>
      </c>
      <c r="B1982" s="114" t="s">
        <v>1983</v>
      </c>
      <c r="C1982" s="113" t="s">
        <v>20</v>
      </c>
      <c r="D1982" s="113" t="s">
        <v>1982</v>
      </c>
      <c r="E1982" s="139" t="s">
        <v>1369</v>
      </c>
      <c r="F1982" s="139"/>
      <c r="G1982" s="112" t="s">
        <v>213</v>
      </c>
      <c r="H1982" s="111">
        <v>1</v>
      </c>
      <c r="I1982" s="110">
        <v>0.37</v>
      </c>
      <c r="J1982" s="110">
        <v>0.37</v>
      </c>
    </row>
    <row r="1983" spans="1:10" ht="24" customHeight="1" x14ac:dyDescent="0.2">
      <c r="A1983" s="113" t="s">
        <v>1859</v>
      </c>
      <c r="B1983" s="114" t="s">
        <v>1951</v>
      </c>
      <c r="C1983" s="113" t="s">
        <v>20</v>
      </c>
      <c r="D1983" s="113" t="s">
        <v>1950</v>
      </c>
      <c r="E1983" s="139" t="s">
        <v>1860</v>
      </c>
      <c r="F1983" s="139"/>
      <c r="G1983" s="112" t="s">
        <v>1864</v>
      </c>
      <c r="H1983" s="111">
        <v>0.09</v>
      </c>
      <c r="I1983" s="110">
        <v>10.62</v>
      </c>
      <c r="J1983" s="110">
        <v>0.96</v>
      </c>
    </row>
    <row r="1984" spans="1:10" ht="24" customHeight="1" x14ac:dyDescent="0.2">
      <c r="A1984" s="113" t="s">
        <v>1859</v>
      </c>
      <c r="B1984" s="114" t="s">
        <v>1981</v>
      </c>
      <c r="C1984" s="113" t="s">
        <v>20</v>
      </c>
      <c r="D1984" s="113" t="s">
        <v>1980</v>
      </c>
      <c r="E1984" s="139" t="s">
        <v>1860</v>
      </c>
      <c r="F1984" s="139"/>
      <c r="G1984" s="112" t="s">
        <v>1864</v>
      </c>
      <c r="H1984" s="111">
        <v>0.09</v>
      </c>
      <c r="I1984" s="110">
        <v>15.97</v>
      </c>
      <c r="J1984" s="110">
        <v>1.44</v>
      </c>
    </row>
    <row r="1985" spans="1:10" ht="24" customHeight="1" x14ac:dyDescent="0.2">
      <c r="A1985" s="113" t="s">
        <v>1859</v>
      </c>
      <c r="B1985" s="114" t="s">
        <v>2287</v>
      </c>
      <c r="C1985" s="113" t="s">
        <v>20</v>
      </c>
      <c r="D1985" s="113" t="s">
        <v>2286</v>
      </c>
      <c r="E1985" s="139" t="s">
        <v>1369</v>
      </c>
      <c r="F1985" s="139"/>
      <c r="G1985" s="112" t="s">
        <v>246</v>
      </c>
      <c r="H1985" s="111">
        <v>1</v>
      </c>
      <c r="I1985" s="110">
        <v>25.22</v>
      </c>
      <c r="J1985" s="110">
        <v>25.22</v>
      </c>
    </row>
    <row r="1986" spans="1:10" x14ac:dyDescent="0.2">
      <c r="A1986" s="109"/>
      <c r="B1986" s="109"/>
      <c r="C1986" s="109"/>
      <c r="D1986" s="109"/>
      <c r="E1986" s="109" t="s">
        <v>1858</v>
      </c>
      <c r="F1986" s="108">
        <v>2.4</v>
      </c>
      <c r="G1986" s="109" t="s">
        <v>1857</v>
      </c>
      <c r="H1986" s="108">
        <v>0</v>
      </c>
      <c r="I1986" s="109" t="s">
        <v>1856</v>
      </c>
      <c r="J1986" s="108">
        <v>2.4</v>
      </c>
    </row>
    <row r="1987" spans="1:10" ht="13.9" customHeight="1" x14ac:dyDescent="0.2">
      <c r="A1987" s="109"/>
      <c r="B1987" s="109"/>
      <c r="C1987" s="109"/>
      <c r="D1987" s="109"/>
      <c r="E1987" s="109" t="s">
        <v>1855</v>
      </c>
      <c r="F1987" s="108">
        <v>7.4313450000000003</v>
      </c>
      <c r="G1987" s="109"/>
      <c r="H1987" s="140" t="s">
        <v>1854</v>
      </c>
      <c r="I1987" s="140"/>
      <c r="J1987" s="108">
        <v>35.42</v>
      </c>
    </row>
    <row r="1988" spans="1:10" ht="30" customHeight="1" thickBot="1" x14ac:dyDescent="0.25">
      <c r="A1988" s="100"/>
      <c r="B1988" s="100"/>
      <c r="C1988" s="100"/>
      <c r="D1988" s="100"/>
      <c r="E1988" s="100"/>
      <c r="F1988" s="100"/>
      <c r="G1988" s="100" t="s">
        <v>1853</v>
      </c>
      <c r="H1988" s="107">
        <v>1</v>
      </c>
      <c r="I1988" s="100" t="s">
        <v>1852</v>
      </c>
      <c r="J1988" s="102">
        <v>35.42</v>
      </c>
    </row>
    <row r="1989" spans="1:10" ht="1.1499999999999999" customHeight="1" thickTop="1" x14ac:dyDescent="0.2">
      <c r="A1989" s="106"/>
      <c r="B1989" s="106"/>
      <c r="C1989" s="106"/>
      <c r="D1989" s="106"/>
      <c r="E1989" s="106"/>
      <c r="F1989" s="106"/>
      <c r="G1989" s="106"/>
      <c r="H1989" s="106"/>
      <c r="I1989" s="106"/>
      <c r="J1989" s="106"/>
    </row>
    <row r="1990" spans="1:10" ht="18" customHeight="1" x14ac:dyDescent="0.2">
      <c r="A1990" s="117" t="s">
        <v>498</v>
      </c>
      <c r="B1990" s="126" t="s">
        <v>5</v>
      </c>
      <c r="C1990" s="117" t="s">
        <v>6</v>
      </c>
      <c r="D1990" s="117" t="s">
        <v>7</v>
      </c>
      <c r="E1990" s="136" t="s">
        <v>1113</v>
      </c>
      <c r="F1990" s="136"/>
      <c r="G1990" s="7" t="s">
        <v>8</v>
      </c>
      <c r="H1990" s="126" t="s">
        <v>9</v>
      </c>
      <c r="I1990" s="126" t="s">
        <v>10</v>
      </c>
      <c r="J1990" s="126" t="s">
        <v>12</v>
      </c>
    </row>
    <row r="1991" spans="1:10" ht="24" customHeight="1" x14ac:dyDescent="0.2">
      <c r="A1991" s="116" t="s">
        <v>1861</v>
      </c>
      <c r="B1991" s="1" t="s">
        <v>502</v>
      </c>
      <c r="C1991" s="116" t="s">
        <v>20</v>
      </c>
      <c r="D1991" s="116" t="s">
        <v>503</v>
      </c>
      <c r="E1991" s="137">
        <v>8</v>
      </c>
      <c r="F1991" s="137"/>
      <c r="G1991" s="2" t="s">
        <v>37</v>
      </c>
      <c r="H1991" s="115">
        <v>1</v>
      </c>
      <c r="I1991" s="61">
        <v>182.89</v>
      </c>
      <c r="J1991" s="61">
        <v>182.89</v>
      </c>
    </row>
    <row r="1992" spans="1:10" ht="24" customHeight="1" x14ac:dyDescent="0.2">
      <c r="A1992" s="113" t="s">
        <v>1859</v>
      </c>
      <c r="B1992" s="114" t="s">
        <v>1983</v>
      </c>
      <c r="C1992" s="113" t="s">
        <v>20</v>
      </c>
      <c r="D1992" s="113" t="s">
        <v>1982</v>
      </c>
      <c r="E1992" s="139" t="s">
        <v>1369</v>
      </c>
      <c r="F1992" s="139"/>
      <c r="G1992" s="112" t="s">
        <v>213</v>
      </c>
      <c r="H1992" s="111">
        <v>2.2599999999999998</v>
      </c>
      <c r="I1992" s="110">
        <v>0.37</v>
      </c>
      <c r="J1992" s="110">
        <v>0.84</v>
      </c>
    </row>
    <row r="1993" spans="1:10" ht="24" customHeight="1" x14ac:dyDescent="0.2">
      <c r="A1993" s="113" t="s">
        <v>1859</v>
      </c>
      <c r="B1993" s="114" t="s">
        <v>1951</v>
      </c>
      <c r="C1993" s="113" t="s">
        <v>20</v>
      </c>
      <c r="D1993" s="113" t="s">
        <v>1950</v>
      </c>
      <c r="E1993" s="139" t="s">
        <v>1860</v>
      </c>
      <c r="F1993" s="139"/>
      <c r="G1993" s="112" t="s">
        <v>1864</v>
      </c>
      <c r="H1993" s="111">
        <v>0.85</v>
      </c>
      <c r="I1993" s="110">
        <v>10.62</v>
      </c>
      <c r="J1993" s="110">
        <v>9.0299999999999994</v>
      </c>
    </row>
    <row r="1994" spans="1:10" ht="24" customHeight="1" x14ac:dyDescent="0.2">
      <c r="A1994" s="113" t="s">
        <v>1859</v>
      </c>
      <c r="B1994" s="114" t="s">
        <v>1981</v>
      </c>
      <c r="C1994" s="113" t="s">
        <v>20</v>
      </c>
      <c r="D1994" s="113" t="s">
        <v>1980</v>
      </c>
      <c r="E1994" s="139" t="s">
        <v>1860</v>
      </c>
      <c r="F1994" s="139"/>
      <c r="G1994" s="112" t="s">
        <v>1864</v>
      </c>
      <c r="H1994" s="111">
        <v>0.85</v>
      </c>
      <c r="I1994" s="110">
        <v>15.97</v>
      </c>
      <c r="J1994" s="110">
        <v>13.57</v>
      </c>
    </row>
    <row r="1995" spans="1:10" ht="24" customHeight="1" x14ac:dyDescent="0.2">
      <c r="A1995" s="113" t="s">
        <v>1859</v>
      </c>
      <c r="B1995" s="114" t="s">
        <v>2285</v>
      </c>
      <c r="C1995" s="113" t="s">
        <v>20</v>
      </c>
      <c r="D1995" s="113" t="s">
        <v>2284</v>
      </c>
      <c r="E1995" s="139" t="s">
        <v>1369</v>
      </c>
      <c r="F1995" s="139"/>
      <c r="G1995" s="112" t="s">
        <v>246</v>
      </c>
      <c r="H1995" s="111">
        <v>1</v>
      </c>
      <c r="I1995" s="110">
        <v>159.44999999999999</v>
      </c>
      <c r="J1995" s="110">
        <v>159.44999999999999</v>
      </c>
    </row>
    <row r="1996" spans="1:10" x14ac:dyDescent="0.2">
      <c r="A1996" s="109"/>
      <c r="B1996" s="109"/>
      <c r="C1996" s="109"/>
      <c r="D1996" s="109"/>
      <c r="E1996" s="109" t="s">
        <v>1858</v>
      </c>
      <c r="F1996" s="108">
        <v>22.6</v>
      </c>
      <c r="G1996" s="109" t="s">
        <v>1857</v>
      </c>
      <c r="H1996" s="108">
        <v>0</v>
      </c>
      <c r="I1996" s="109" t="s">
        <v>1856</v>
      </c>
      <c r="J1996" s="108">
        <v>22.6</v>
      </c>
    </row>
    <row r="1997" spans="1:10" ht="13.9" customHeight="1" x14ac:dyDescent="0.2">
      <c r="A1997" s="109"/>
      <c r="B1997" s="109"/>
      <c r="C1997" s="109"/>
      <c r="D1997" s="109"/>
      <c r="E1997" s="109" t="s">
        <v>1855</v>
      </c>
      <c r="F1997" s="108">
        <v>48.557295000000003</v>
      </c>
      <c r="G1997" s="109"/>
      <c r="H1997" s="140" t="s">
        <v>1854</v>
      </c>
      <c r="I1997" s="140"/>
      <c r="J1997" s="108">
        <v>231.45</v>
      </c>
    </row>
    <row r="1998" spans="1:10" ht="30" customHeight="1" thickBot="1" x14ac:dyDescent="0.25">
      <c r="A1998" s="100"/>
      <c r="B1998" s="100"/>
      <c r="C1998" s="100"/>
      <c r="D1998" s="100"/>
      <c r="E1998" s="100"/>
      <c r="F1998" s="100"/>
      <c r="G1998" s="100" t="s">
        <v>1853</v>
      </c>
      <c r="H1998" s="107">
        <v>3</v>
      </c>
      <c r="I1998" s="100" t="s">
        <v>1852</v>
      </c>
      <c r="J1998" s="102">
        <v>694.35</v>
      </c>
    </row>
    <row r="1999" spans="1:10" ht="1.1499999999999999" customHeight="1" thickTop="1" x14ac:dyDescent="0.2">
      <c r="A1999" s="106"/>
      <c r="B1999" s="106"/>
      <c r="C1999" s="106"/>
      <c r="D1999" s="106"/>
      <c r="E1999" s="106"/>
      <c r="F1999" s="106"/>
      <c r="G1999" s="106"/>
      <c r="H1999" s="106"/>
      <c r="I1999" s="106"/>
      <c r="J1999" s="106"/>
    </row>
    <row r="2000" spans="1:10" ht="18" customHeight="1" x14ac:dyDescent="0.2">
      <c r="A2000" s="117" t="s">
        <v>501</v>
      </c>
      <c r="B2000" s="126" t="s">
        <v>5</v>
      </c>
      <c r="C2000" s="117" t="s">
        <v>6</v>
      </c>
      <c r="D2000" s="117" t="s">
        <v>7</v>
      </c>
      <c r="E2000" s="136" t="s">
        <v>1113</v>
      </c>
      <c r="F2000" s="136"/>
      <c r="G2000" s="7" t="s">
        <v>8</v>
      </c>
      <c r="H2000" s="126" t="s">
        <v>9</v>
      </c>
      <c r="I2000" s="126" t="s">
        <v>10</v>
      </c>
      <c r="J2000" s="126" t="s">
        <v>12</v>
      </c>
    </row>
    <row r="2001" spans="1:10" ht="24" customHeight="1" x14ac:dyDescent="0.2">
      <c r="A2001" s="116" t="s">
        <v>1861</v>
      </c>
      <c r="B2001" s="1" t="s">
        <v>505</v>
      </c>
      <c r="C2001" s="116" t="s">
        <v>20</v>
      </c>
      <c r="D2001" s="116" t="s">
        <v>506</v>
      </c>
      <c r="E2001" s="137">
        <v>8</v>
      </c>
      <c r="F2001" s="137"/>
      <c r="G2001" s="2" t="s">
        <v>37</v>
      </c>
      <c r="H2001" s="115">
        <v>1</v>
      </c>
      <c r="I2001" s="61">
        <v>50.01</v>
      </c>
      <c r="J2001" s="61">
        <v>50.01</v>
      </c>
    </row>
    <row r="2002" spans="1:10" ht="24" customHeight="1" x14ac:dyDescent="0.2">
      <c r="A2002" s="113" t="s">
        <v>1859</v>
      </c>
      <c r="B2002" s="114" t="s">
        <v>1983</v>
      </c>
      <c r="C2002" s="113" t="s">
        <v>20</v>
      </c>
      <c r="D2002" s="113" t="s">
        <v>1982</v>
      </c>
      <c r="E2002" s="139" t="s">
        <v>1369</v>
      </c>
      <c r="F2002" s="139"/>
      <c r="G2002" s="112" t="s">
        <v>213</v>
      </c>
      <c r="H2002" s="111">
        <v>0.28000000000000003</v>
      </c>
      <c r="I2002" s="110">
        <v>0.37</v>
      </c>
      <c r="J2002" s="110">
        <v>0.1</v>
      </c>
    </row>
    <row r="2003" spans="1:10" ht="24" customHeight="1" x14ac:dyDescent="0.2">
      <c r="A2003" s="113" t="s">
        <v>1859</v>
      </c>
      <c r="B2003" s="114" t="s">
        <v>1981</v>
      </c>
      <c r="C2003" s="113" t="s">
        <v>20</v>
      </c>
      <c r="D2003" s="113" t="s">
        <v>1980</v>
      </c>
      <c r="E2003" s="139" t="s">
        <v>1860</v>
      </c>
      <c r="F2003" s="139"/>
      <c r="G2003" s="112" t="s">
        <v>1864</v>
      </c>
      <c r="H2003" s="111">
        <v>0.2</v>
      </c>
      <c r="I2003" s="110">
        <v>15.97</v>
      </c>
      <c r="J2003" s="110">
        <v>3.19</v>
      </c>
    </row>
    <row r="2004" spans="1:10" ht="24" customHeight="1" x14ac:dyDescent="0.2">
      <c r="A2004" s="113" t="s">
        <v>1859</v>
      </c>
      <c r="B2004" s="114" t="s">
        <v>1951</v>
      </c>
      <c r="C2004" s="113" t="s">
        <v>20</v>
      </c>
      <c r="D2004" s="113" t="s">
        <v>1950</v>
      </c>
      <c r="E2004" s="139" t="s">
        <v>1860</v>
      </c>
      <c r="F2004" s="139"/>
      <c r="G2004" s="112" t="s">
        <v>1864</v>
      </c>
      <c r="H2004" s="111">
        <v>0.2</v>
      </c>
      <c r="I2004" s="110">
        <v>10.62</v>
      </c>
      <c r="J2004" s="110">
        <v>2.12</v>
      </c>
    </row>
    <row r="2005" spans="1:10" ht="24" customHeight="1" x14ac:dyDescent="0.2">
      <c r="A2005" s="113" t="s">
        <v>1859</v>
      </c>
      <c r="B2005" s="114" t="s">
        <v>2283</v>
      </c>
      <c r="C2005" s="113" t="s">
        <v>20</v>
      </c>
      <c r="D2005" s="113" t="s">
        <v>2282</v>
      </c>
      <c r="E2005" s="139" t="s">
        <v>1369</v>
      </c>
      <c r="F2005" s="139"/>
      <c r="G2005" s="112" t="s">
        <v>246</v>
      </c>
      <c r="H2005" s="111">
        <v>1</v>
      </c>
      <c r="I2005" s="110">
        <v>44.6</v>
      </c>
      <c r="J2005" s="110">
        <v>44.6</v>
      </c>
    </row>
    <row r="2006" spans="1:10" x14ac:dyDescent="0.2">
      <c r="A2006" s="109"/>
      <c r="B2006" s="109"/>
      <c r="C2006" s="109"/>
      <c r="D2006" s="109"/>
      <c r="E2006" s="109" t="s">
        <v>1858</v>
      </c>
      <c r="F2006" s="108">
        <v>5.31</v>
      </c>
      <c r="G2006" s="109" t="s">
        <v>1857</v>
      </c>
      <c r="H2006" s="108">
        <v>0</v>
      </c>
      <c r="I2006" s="109" t="s">
        <v>1856</v>
      </c>
      <c r="J2006" s="108">
        <v>5.31</v>
      </c>
    </row>
    <row r="2007" spans="1:10" ht="13.9" customHeight="1" x14ac:dyDescent="0.2">
      <c r="A2007" s="109"/>
      <c r="B2007" s="109"/>
      <c r="C2007" s="109"/>
      <c r="D2007" s="109"/>
      <c r="E2007" s="109" t="s">
        <v>1855</v>
      </c>
      <c r="F2007" s="108">
        <v>13.277654999999999</v>
      </c>
      <c r="G2007" s="109"/>
      <c r="H2007" s="140" t="s">
        <v>1854</v>
      </c>
      <c r="I2007" s="140"/>
      <c r="J2007" s="108">
        <v>63.29</v>
      </c>
    </row>
    <row r="2008" spans="1:10" ht="30" customHeight="1" thickBot="1" x14ac:dyDescent="0.25">
      <c r="A2008" s="100"/>
      <c r="B2008" s="100"/>
      <c r="C2008" s="100"/>
      <c r="D2008" s="100"/>
      <c r="E2008" s="100"/>
      <c r="F2008" s="100"/>
      <c r="G2008" s="100" t="s">
        <v>1853</v>
      </c>
      <c r="H2008" s="107">
        <v>1</v>
      </c>
      <c r="I2008" s="100" t="s">
        <v>1852</v>
      </c>
      <c r="J2008" s="102">
        <v>63.29</v>
      </c>
    </row>
    <row r="2009" spans="1:10" ht="1.1499999999999999" customHeight="1" thickTop="1" x14ac:dyDescent="0.2">
      <c r="A2009" s="106"/>
      <c r="B2009" s="106"/>
      <c r="C2009" s="106"/>
      <c r="D2009" s="106"/>
      <c r="E2009" s="106"/>
      <c r="F2009" s="106"/>
      <c r="G2009" s="106"/>
      <c r="H2009" s="106"/>
      <c r="I2009" s="106"/>
      <c r="J2009" s="106"/>
    </row>
    <row r="2010" spans="1:10" ht="18" customHeight="1" x14ac:dyDescent="0.2">
      <c r="A2010" s="117" t="s">
        <v>504</v>
      </c>
      <c r="B2010" s="126" t="s">
        <v>5</v>
      </c>
      <c r="C2010" s="117" t="s">
        <v>6</v>
      </c>
      <c r="D2010" s="117" t="s">
        <v>7</v>
      </c>
      <c r="E2010" s="136" t="s">
        <v>1113</v>
      </c>
      <c r="F2010" s="136"/>
      <c r="G2010" s="7" t="s">
        <v>8</v>
      </c>
      <c r="H2010" s="126" t="s">
        <v>9</v>
      </c>
      <c r="I2010" s="126" t="s">
        <v>10</v>
      </c>
      <c r="J2010" s="126" t="s">
        <v>12</v>
      </c>
    </row>
    <row r="2011" spans="1:10" ht="24" customHeight="1" x14ac:dyDescent="0.2">
      <c r="A2011" s="116" t="s">
        <v>1861</v>
      </c>
      <c r="B2011" s="1" t="s">
        <v>508</v>
      </c>
      <c r="C2011" s="116" t="s">
        <v>20</v>
      </c>
      <c r="D2011" s="116" t="s">
        <v>509</v>
      </c>
      <c r="E2011" s="137">
        <v>8</v>
      </c>
      <c r="F2011" s="137"/>
      <c r="G2011" s="2" t="s">
        <v>37</v>
      </c>
      <c r="H2011" s="115">
        <v>1</v>
      </c>
      <c r="I2011" s="61">
        <v>275.83999999999997</v>
      </c>
      <c r="J2011" s="61">
        <v>275.83999999999997</v>
      </c>
    </row>
    <row r="2012" spans="1:10" ht="24" customHeight="1" x14ac:dyDescent="0.2">
      <c r="A2012" s="113" t="s">
        <v>1859</v>
      </c>
      <c r="B2012" s="114" t="s">
        <v>1899</v>
      </c>
      <c r="C2012" s="113" t="s">
        <v>20</v>
      </c>
      <c r="D2012" s="113" t="s">
        <v>1898</v>
      </c>
      <c r="E2012" s="139" t="s">
        <v>1369</v>
      </c>
      <c r="F2012" s="139"/>
      <c r="G2012" s="112" t="s">
        <v>49</v>
      </c>
      <c r="H2012" s="111">
        <v>0.05</v>
      </c>
      <c r="I2012" s="110">
        <v>162.78</v>
      </c>
      <c r="J2012" s="110">
        <v>8.14</v>
      </c>
    </row>
    <row r="2013" spans="1:10" ht="24" customHeight="1" x14ac:dyDescent="0.2">
      <c r="A2013" s="113" t="s">
        <v>1859</v>
      </c>
      <c r="B2013" s="114" t="s">
        <v>2156</v>
      </c>
      <c r="C2013" s="113" t="s">
        <v>20</v>
      </c>
      <c r="D2013" s="113" t="s">
        <v>2155</v>
      </c>
      <c r="E2013" s="139" t="s">
        <v>1369</v>
      </c>
      <c r="F2013" s="139"/>
      <c r="G2013" s="112" t="s">
        <v>49</v>
      </c>
      <c r="H2013" s="111">
        <v>1.4999999999999999E-2</v>
      </c>
      <c r="I2013" s="110">
        <v>116.12</v>
      </c>
      <c r="J2013" s="110">
        <v>1.74</v>
      </c>
    </row>
    <row r="2014" spans="1:10" ht="24" customHeight="1" x14ac:dyDescent="0.2">
      <c r="A2014" s="113" t="s">
        <v>1859</v>
      </c>
      <c r="B2014" s="114" t="s">
        <v>2072</v>
      </c>
      <c r="C2014" s="113" t="s">
        <v>20</v>
      </c>
      <c r="D2014" s="113" t="s">
        <v>2071</v>
      </c>
      <c r="E2014" s="139" t="s">
        <v>1369</v>
      </c>
      <c r="F2014" s="139"/>
      <c r="G2014" s="112" t="s">
        <v>49</v>
      </c>
      <c r="H2014" s="111">
        <v>1.4999999999999999E-2</v>
      </c>
      <c r="I2014" s="110">
        <v>100.76</v>
      </c>
      <c r="J2014" s="110">
        <v>1.51</v>
      </c>
    </row>
    <row r="2015" spans="1:10" ht="24" customHeight="1" x14ac:dyDescent="0.2">
      <c r="A2015" s="113" t="s">
        <v>1859</v>
      </c>
      <c r="B2015" s="114" t="s">
        <v>2010</v>
      </c>
      <c r="C2015" s="113" t="s">
        <v>20</v>
      </c>
      <c r="D2015" s="113" t="s">
        <v>2009</v>
      </c>
      <c r="E2015" s="139" t="s">
        <v>1369</v>
      </c>
      <c r="F2015" s="139"/>
      <c r="G2015" s="112" t="s">
        <v>49</v>
      </c>
      <c r="H2015" s="111">
        <v>0.01</v>
      </c>
      <c r="I2015" s="110">
        <v>162.78</v>
      </c>
      <c r="J2015" s="110">
        <v>1.63</v>
      </c>
    </row>
    <row r="2016" spans="1:10" ht="24" customHeight="1" x14ac:dyDescent="0.2">
      <c r="A2016" s="113" t="s">
        <v>1859</v>
      </c>
      <c r="B2016" s="114" t="s">
        <v>2008</v>
      </c>
      <c r="C2016" s="113" t="s">
        <v>20</v>
      </c>
      <c r="D2016" s="113" t="s">
        <v>2007</v>
      </c>
      <c r="E2016" s="139" t="s">
        <v>1369</v>
      </c>
      <c r="F2016" s="139"/>
      <c r="G2016" s="112" t="s">
        <v>96</v>
      </c>
      <c r="H2016" s="111">
        <v>3.49</v>
      </c>
      <c r="I2016" s="110">
        <v>0.75</v>
      </c>
      <c r="J2016" s="110">
        <v>2.62</v>
      </c>
    </row>
    <row r="2017" spans="1:10" ht="24" customHeight="1" x14ac:dyDescent="0.2">
      <c r="A2017" s="113" t="s">
        <v>1859</v>
      </c>
      <c r="B2017" s="114" t="s">
        <v>2281</v>
      </c>
      <c r="C2017" s="113" t="s">
        <v>20</v>
      </c>
      <c r="D2017" s="113" t="s">
        <v>2280</v>
      </c>
      <c r="E2017" s="139" t="s">
        <v>1369</v>
      </c>
      <c r="F2017" s="139"/>
      <c r="G2017" s="112" t="s">
        <v>246</v>
      </c>
      <c r="H2017" s="111">
        <v>3.2000000000000002E-3</v>
      </c>
      <c r="I2017" s="110">
        <v>2.81</v>
      </c>
      <c r="J2017" s="110">
        <v>0.01</v>
      </c>
    </row>
    <row r="2018" spans="1:10" ht="24" customHeight="1" x14ac:dyDescent="0.2">
      <c r="A2018" s="113" t="s">
        <v>1859</v>
      </c>
      <c r="B2018" s="114" t="s">
        <v>1897</v>
      </c>
      <c r="C2018" s="113" t="s">
        <v>20</v>
      </c>
      <c r="D2018" s="113" t="s">
        <v>1896</v>
      </c>
      <c r="E2018" s="139" t="s">
        <v>1369</v>
      </c>
      <c r="F2018" s="139"/>
      <c r="G2018" s="112" t="s">
        <v>96</v>
      </c>
      <c r="H2018" s="111">
        <v>15.03</v>
      </c>
      <c r="I2018" s="110">
        <v>0.6</v>
      </c>
      <c r="J2018" s="110">
        <v>9.02</v>
      </c>
    </row>
    <row r="2019" spans="1:10" ht="24" customHeight="1" x14ac:dyDescent="0.2">
      <c r="A2019" s="113" t="s">
        <v>1859</v>
      </c>
      <c r="B2019" s="114" t="s">
        <v>1963</v>
      </c>
      <c r="C2019" s="113" t="s">
        <v>20</v>
      </c>
      <c r="D2019" s="113" t="s">
        <v>1962</v>
      </c>
      <c r="E2019" s="139" t="s">
        <v>1369</v>
      </c>
      <c r="F2019" s="139"/>
      <c r="G2019" s="112" t="s">
        <v>246</v>
      </c>
      <c r="H2019" s="111">
        <v>0.11</v>
      </c>
      <c r="I2019" s="110">
        <v>2.14</v>
      </c>
      <c r="J2019" s="110">
        <v>0.24</v>
      </c>
    </row>
    <row r="2020" spans="1:10" ht="24" customHeight="1" x14ac:dyDescent="0.2">
      <c r="A2020" s="113" t="s">
        <v>1859</v>
      </c>
      <c r="B2020" s="114" t="s">
        <v>2279</v>
      </c>
      <c r="C2020" s="113" t="s">
        <v>20</v>
      </c>
      <c r="D2020" s="113" t="s">
        <v>2278</v>
      </c>
      <c r="E2020" s="139" t="s">
        <v>1369</v>
      </c>
      <c r="F2020" s="139"/>
      <c r="G2020" s="112" t="s">
        <v>1877</v>
      </c>
      <c r="H2020" s="111">
        <v>0.06</v>
      </c>
      <c r="I2020" s="110">
        <v>37.340000000000003</v>
      </c>
      <c r="J2020" s="110">
        <v>2.2400000000000002</v>
      </c>
    </row>
    <row r="2021" spans="1:10" ht="24" customHeight="1" x14ac:dyDescent="0.2">
      <c r="A2021" s="113" t="s">
        <v>1859</v>
      </c>
      <c r="B2021" s="114" t="s">
        <v>2002</v>
      </c>
      <c r="C2021" s="113" t="s">
        <v>20</v>
      </c>
      <c r="D2021" s="113" t="s">
        <v>2001</v>
      </c>
      <c r="E2021" s="139" t="s">
        <v>1369</v>
      </c>
      <c r="F2021" s="139"/>
      <c r="G2021" s="112" t="s">
        <v>1877</v>
      </c>
      <c r="H2021" s="111">
        <v>0.14000000000000001</v>
      </c>
      <c r="I2021" s="110">
        <v>8.34</v>
      </c>
      <c r="J2021" s="110">
        <v>1.17</v>
      </c>
    </row>
    <row r="2022" spans="1:10" ht="24" customHeight="1" x14ac:dyDescent="0.2">
      <c r="A2022" s="113" t="s">
        <v>1859</v>
      </c>
      <c r="B2022" s="114" t="s">
        <v>2241</v>
      </c>
      <c r="C2022" s="113" t="s">
        <v>20</v>
      </c>
      <c r="D2022" s="113" t="s">
        <v>2240</v>
      </c>
      <c r="E2022" s="139" t="s">
        <v>1369</v>
      </c>
      <c r="F2022" s="139"/>
      <c r="G2022" s="112" t="s">
        <v>246</v>
      </c>
      <c r="H2022" s="111">
        <v>15.9</v>
      </c>
      <c r="I2022" s="110">
        <v>0.88</v>
      </c>
      <c r="J2022" s="110">
        <v>13.99</v>
      </c>
    </row>
    <row r="2023" spans="1:10" ht="24" customHeight="1" x14ac:dyDescent="0.2">
      <c r="A2023" s="113" t="s">
        <v>1859</v>
      </c>
      <c r="B2023" s="114" t="s">
        <v>2004</v>
      </c>
      <c r="C2023" s="113" t="s">
        <v>20</v>
      </c>
      <c r="D2023" s="113" t="s">
        <v>2003</v>
      </c>
      <c r="E2023" s="139" t="s">
        <v>1369</v>
      </c>
      <c r="F2023" s="139"/>
      <c r="G2023" s="112" t="s">
        <v>246</v>
      </c>
      <c r="H2023" s="111">
        <v>0.12</v>
      </c>
      <c r="I2023" s="110">
        <v>0.71</v>
      </c>
      <c r="J2023" s="110">
        <v>0.09</v>
      </c>
    </row>
    <row r="2024" spans="1:10" ht="24" customHeight="1" x14ac:dyDescent="0.2">
      <c r="A2024" s="113" t="s">
        <v>1859</v>
      </c>
      <c r="B2024" s="114" t="s">
        <v>2000</v>
      </c>
      <c r="C2024" s="113" t="s">
        <v>20</v>
      </c>
      <c r="D2024" s="113" t="s">
        <v>1999</v>
      </c>
      <c r="E2024" s="139" t="s">
        <v>1369</v>
      </c>
      <c r="F2024" s="139"/>
      <c r="G2024" s="112" t="s">
        <v>1877</v>
      </c>
      <c r="H2024" s="111">
        <v>0.26</v>
      </c>
      <c r="I2024" s="110">
        <v>24.07</v>
      </c>
      <c r="J2024" s="110">
        <v>6.26</v>
      </c>
    </row>
    <row r="2025" spans="1:10" ht="24" customHeight="1" x14ac:dyDescent="0.2">
      <c r="A2025" s="113" t="s">
        <v>1859</v>
      </c>
      <c r="B2025" s="114" t="s">
        <v>2277</v>
      </c>
      <c r="C2025" s="113" t="s">
        <v>20</v>
      </c>
      <c r="D2025" s="113" t="s">
        <v>2276</v>
      </c>
      <c r="E2025" s="139" t="s">
        <v>1369</v>
      </c>
      <c r="F2025" s="139"/>
      <c r="G2025" s="112" t="s">
        <v>1877</v>
      </c>
      <c r="H2025" s="111">
        <v>0.02</v>
      </c>
      <c r="I2025" s="110">
        <v>14.13</v>
      </c>
      <c r="J2025" s="110">
        <v>0.28000000000000003</v>
      </c>
    </row>
    <row r="2026" spans="1:10" ht="24" customHeight="1" x14ac:dyDescent="0.2">
      <c r="A2026" s="113" t="s">
        <v>1859</v>
      </c>
      <c r="B2026" s="114" t="s">
        <v>1983</v>
      </c>
      <c r="C2026" s="113" t="s">
        <v>20</v>
      </c>
      <c r="D2026" s="113" t="s">
        <v>1982</v>
      </c>
      <c r="E2026" s="139" t="s">
        <v>1369</v>
      </c>
      <c r="F2026" s="139"/>
      <c r="G2026" s="112" t="s">
        <v>213</v>
      </c>
      <c r="H2026" s="111">
        <v>9.0478000000000005</v>
      </c>
      <c r="I2026" s="110">
        <v>0.37</v>
      </c>
      <c r="J2026" s="110">
        <v>3.35</v>
      </c>
    </row>
    <row r="2027" spans="1:10" ht="24" customHeight="1" x14ac:dyDescent="0.2">
      <c r="A2027" s="113" t="s">
        <v>1859</v>
      </c>
      <c r="B2027" s="114" t="s">
        <v>2275</v>
      </c>
      <c r="C2027" s="113" t="s">
        <v>20</v>
      </c>
      <c r="D2027" s="113" t="s">
        <v>2274</v>
      </c>
      <c r="E2027" s="139" t="s">
        <v>1369</v>
      </c>
      <c r="F2027" s="139"/>
      <c r="G2027" s="112" t="s">
        <v>246</v>
      </c>
      <c r="H2027" s="111">
        <v>1</v>
      </c>
      <c r="I2027" s="110">
        <v>128.99</v>
      </c>
      <c r="J2027" s="110">
        <v>128.99</v>
      </c>
    </row>
    <row r="2028" spans="1:10" ht="24" customHeight="1" x14ac:dyDescent="0.2">
      <c r="A2028" s="113" t="s">
        <v>1859</v>
      </c>
      <c r="B2028" s="114" t="s">
        <v>1981</v>
      </c>
      <c r="C2028" s="113" t="s">
        <v>20</v>
      </c>
      <c r="D2028" s="113" t="s">
        <v>1980</v>
      </c>
      <c r="E2028" s="139" t="s">
        <v>1860</v>
      </c>
      <c r="F2028" s="139"/>
      <c r="G2028" s="112" t="s">
        <v>1864</v>
      </c>
      <c r="H2028" s="111">
        <v>1.4</v>
      </c>
      <c r="I2028" s="110">
        <v>15.97</v>
      </c>
      <c r="J2028" s="110">
        <v>22.36</v>
      </c>
    </row>
    <row r="2029" spans="1:10" ht="24" customHeight="1" x14ac:dyDescent="0.2">
      <c r="A2029" s="113" t="s">
        <v>1859</v>
      </c>
      <c r="B2029" s="114" t="s">
        <v>1866</v>
      </c>
      <c r="C2029" s="113" t="s">
        <v>20</v>
      </c>
      <c r="D2029" s="113" t="s">
        <v>1865</v>
      </c>
      <c r="E2029" s="139" t="s">
        <v>1860</v>
      </c>
      <c r="F2029" s="139"/>
      <c r="G2029" s="112" t="s">
        <v>1864</v>
      </c>
      <c r="H2029" s="111">
        <v>1.36</v>
      </c>
      <c r="I2029" s="110">
        <v>15.97</v>
      </c>
      <c r="J2029" s="110">
        <v>21.72</v>
      </c>
    </row>
    <row r="2030" spans="1:10" ht="24" customHeight="1" x14ac:dyDescent="0.2">
      <c r="A2030" s="113" t="s">
        <v>1859</v>
      </c>
      <c r="B2030" s="114" t="s">
        <v>1872</v>
      </c>
      <c r="C2030" s="113" t="s">
        <v>20</v>
      </c>
      <c r="D2030" s="113" t="s">
        <v>1871</v>
      </c>
      <c r="E2030" s="139" t="s">
        <v>1860</v>
      </c>
      <c r="F2030" s="139"/>
      <c r="G2030" s="112" t="s">
        <v>1864</v>
      </c>
      <c r="H2030" s="111">
        <v>2.0299999999999998</v>
      </c>
      <c r="I2030" s="110">
        <v>10.62</v>
      </c>
      <c r="J2030" s="110">
        <v>21.56</v>
      </c>
    </row>
    <row r="2031" spans="1:10" ht="24" customHeight="1" x14ac:dyDescent="0.2">
      <c r="A2031" s="113" t="s">
        <v>1859</v>
      </c>
      <c r="B2031" s="114" t="s">
        <v>1998</v>
      </c>
      <c r="C2031" s="113" t="s">
        <v>20</v>
      </c>
      <c r="D2031" s="113" t="s">
        <v>1997</v>
      </c>
      <c r="E2031" s="139" t="s">
        <v>1860</v>
      </c>
      <c r="F2031" s="139"/>
      <c r="G2031" s="112" t="s">
        <v>1864</v>
      </c>
      <c r="H2031" s="111">
        <v>0.7</v>
      </c>
      <c r="I2031" s="110">
        <v>15.97</v>
      </c>
      <c r="J2031" s="110">
        <v>11.18</v>
      </c>
    </row>
    <row r="2032" spans="1:10" ht="24" customHeight="1" x14ac:dyDescent="0.2">
      <c r="A2032" s="113" t="s">
        <v>1859</v>
      </c>
      <c r="B2032" s="114" t="s">
        <v>1951</v>
      </c>
      <c r="C2032" s="113" t="s">
        <v>20</v>
      </c>
      <c r="D2032" s="113" t="s">
        <v>1950</v>
      </c>
      <c r="E2032" s="139" t="s">
        <v>1860</v>
      </c>
      <c r="F2032" s="139"/>
      <c r="G2032" s="112" t="s">
        <v>1864</v>
      </c>
      <c r="H2032" s="111">
        <v>1.67</v>
      </c>
      <c r="I2032" s="110">
        <v>10.62</v>
      </c>
      <c r="J2032" s="110">
        <v>17.739999999999998</v>
      </c>
    </row>
    <row r="2033" spans="1:10" x14ac:dyDescent="0.2">
      <c r="A2033" s="109"/>
      <c r="B2033" s="109"/>
      <c r="C2033" s="109"/>
      <c r="D2033" s="109"/>
      <c r="E2033" s="109" t="s">
        <v>1858</v>
      </c>
      <c r="F2033" s="108">
        <v>94.56</v>
      </c>
      <c r="G2033" s="109" t="s">
        <v>1857</v>
      </c>
      <c r="H2033" s="108">
        <v>0</v>
      </c>
      <c r="I2033" s="109" t="s">
        <v>1856</v>
      </c>
      <c r="J2033" s="108">
        <v>94.56</v>
      </c>
    </row>
    <row r="2034" spans="1:10" ht="13.9" customHeight="1" x14ac:dyDescent="0.2">
      <c r="A2034" s="109"/>
      <c r="B2034" s="109"/>
      <c r="C2034" s="109"/>
      <c r="D2034" s="109"/>
      <c r="E2034" s="109" t="s">
        <v>1855</v>
      </c>
      <c r="F2034" s="108">
        <v>73.235519999999994</v>
      </c>
      <c r="G2034" s="109"/>
      <c r="H2034" s="140" t="s">
        <v>1854</v>
      </c>
      <c r="I2034" s="140"/>
      <c r="J2034" s="108">
        <v>349.08</v>
      </c>
    </row>
    <row r="2035" spans="1:10" ht="30" customHeight="1" thickBot="1" x14ac:dyDescent="0.25">
      <c r="A2035" s="100"/>
      <c r="B2035" s="100"/>
      <c r="C2035" s="100"/>
      <c r="D2035" s="100"/>
      <c r="E2035" s="100"/>
      <c r="F2035" s="100"/>
      <c r="G2035" s="100" t="s">
        <v>1853</v>
      </c>
      <c r="H2035" s="107">
        <v>1</v>
      </c>
      <c r="I2035" s="100" t="s">
        <v>1852</v>
      </c>
      <c r="J2035" s="102">
        <v>349.08</v>
      </c>
    </row>
    <row r="2036" spans="1:10" ht="1.1499999999999999" customHeight="1" thickTop="1" x14ac:dyDescent="0.2">
      <c r="A2036" s="106"/>
      <c r="B2036" s="106"/>
      <c r="C2036" s="106"/>
      <c r="D2036" s="106"/>
      <c r="E2036" s="106"/>
      <c r="F2036" s="106"/>
      <c r="G2036" s="106"/>
      <c r="H2036" s="106"/>
      <c r="I2036" s="106"/>
      <c r="J2036" s="106"/>
    </row>
    <row r="2037" spans="1:10" ht="18" customHeight="1" x14ac:dyDescent="0.2">
      <c r="A2037" s="117" t="s">
        <v>507</v>
      </c>
      <c r="B2037" s="126" t="s">
        <v>5</v>
      </c>
      <c r="C2037" s="117" t="s">
        <v>6</v>
      </c>
      <c r="D2037" s="117" t="s">
        <v>7</v>
      </c>
      <c r="E2037" s="136" t="s">
        <v>1113</v>
      </c>
      <c r="F2037" s="136"/>
      <c r="G2037" s="7" t="s">
        <v>8</v>
      </c>
      <c r="H2037" s="126" t="s">
        <v>9</v>
      </c>
      <c r="I2037" s="126" t="s">
        <v>10</v>
      </c>
      <c r="J2037" s="126" t="s">
        <v>12</v>
      </c>
    </row>
    <row r="2038" spans="1:10" ht="24" customHeight="1" x14ac:dyDescent="0.2">
      <c r="A2038" s="116" t="s">
        <v>1861</v>
      </c>
      <c r="B2038" s="1" t="s">
        <v>511</v>
      </c>
      <c r="C2038" s="116" t="s">
        <v>20</v>
      </c>
      <c r="D2038" s="116" t="s">
        <v>512</v>
      </c>
      <c r="E2038" s="137">
        <v>8</v>
      </c>
      <c r="F2038" s="137"/>
      <c r="G2038" s="2" t="s">
        <v>37</v>
      </c>
      <c r="H2038" s="115">
        <v>1</v>
      </c>
      <c r="I2038" s="61">
        <v>108.11</v>
      </c>
      <c r="J2038" s="61">
        <v>108.11</v>
      </c>
    </row>
    <row r="2039" spans="1:10" ht="24" customHeight="1" x14ac:dyDescent="0.2">
      <c r="A2039" s="113" t="s">
        <v>1859</v>
      </c>
      <c r="B2039" s="114" t="s">
        <v>1983</v>
      </c>
      <c r="C2039" s="113" t="s">
        <v>20</v>
      </c>
      <c r="D2039" s="113" t="s">
        <v>1982</v>
      </c>
      <c r="E2039" s="139" t="s">
        <v>1369</v>
      </c>
      <c r="F2039" s="139"/>
      <c r="G2039" s="112" t="s">
        <v>213</v>
      </c>
      <c r="H2039" s="111">
        <v>2.4</v>
      </c>
      <c r="I2039" s="110">
        <v>0.37</v>
      </c>
      <c r="J2039" s="110">
        <v>0.89</v>
      </c>
    </row>
    <row r="2040" spans="1:10" ht="24" customHeight="1" x14ac:dyDescent="0.2">
      <c r="A2040" s="113" t="s">
        <v>1859</v>
      </c>
      <c r="B2040" s="114" t="s">
        <v>2273</v>
      </c>
      <c r="C2040" s="113" t="s">
        <v>20</v>
      </c>
      <c r="D2040" s="113" t="s">
        <v>2272</v>
      </c>
      <c r="E2040" s="139" t="s">
        <v>1369</v>
      </c>
      <c r="F2040" s="139"/>
      <c r="G2040" s="112" t="s">
        <v>246</v>
      </c>
      <c r="H2040" s="111">
        <v>1</v>
      </c>
      <c r="I2040" s="110">
        <v>93.92</v>
      </c>
      <c r="J2040" s="110">
        <v>93.92</v>
      </c>
    </row>
    <row r="2041" spans="1:10" ht="24" customHeight="1" x14ac:dyDescent="0.2">
      <c r="A2041" s="113" t="s">
        <v>1859</v>
      </c>
      <c r="B2041" s="114" t="s">
        <v>1981</v>
      </c>
      <c r="C2041" s="113" t="s">
        <v>20</v>
      </c>
      <c r="D2041" s="113" t="s">
        <v>1980</v>
      </c>
      <c r="E2041" s="139" t="s">
        <v>1860</v>
      </c>
      <c r="F2041" s="139"/>
      <c r="G2041" s="112" t="s">
        <v>1864</v>
      </c>
      <c r="H2041" s="111">
        <v>0.5</v>
      </c>
      <c r="I2041" s="110">
        <v>15.97</v>
      </c>
      <c r="J2041" s="110">
        <v>7.99</v>
      </c>
    </row>
    <row r="2042" spans="1:10" ht="24" customHeight="1" x14ac:dyDescent="0.2">
      <c r="A2042" s="113" t="s">
        <v>1859</v>
      </c>
      <c r="B2042" s="114" t="s">
        <v>1951</v>
      </c>
      <c r="C2042" s="113" t="s">
        <v>20</v>
      </c>
      <c r="D2042" s="113" t="s">
        <v>1950</v>
      </c>
      <c r="E2042" s="139" t="s">
        <v>1860</v>
      </c>
      <c r="F2042" s="139"/>
      <c r="G2042" s="112" t="s">
        <v>1864</v>
      </c>
      <c r="H2042" s="111">
        <v>0.5</v>
      </c>
      <c r="I2042" s="110">
        <v>10.62</v>
      </c>
      <c r="J2042" s="110">
        <v>5.31</v>
      </c>
    </row>
    <row r="2043" spans="1:10" x14ac:dyDescent="0.2">
      <c r="A2043" s="109"/>
      <c r="B2043" s="109"/>
      <c r="C2043" s="109"/>
      <c r="D2043" s="109"/>
      <c r="E2043" s="109" t="s">
        <v>1858</v>
      </c>
      <c r="F2043" s="108">
        <v>13.3</v>
      </c>
      <c r="G2043" s="109" t="s">
        <v>1857</v>
      </c>
      <c r="H2043" s="108">
        <v>0</v>
      </c>
      <c r="I2043" s="109" t="s">
        <v>1856</v>
      </c>
      <c r="J2043" s="108">
        <v>13.3</v>
      </c>
    </row>
    <row r="2044" spans="1:10" ht="13.9" customHeight="1" x14ac:dyDescent="0.2">
      <c r="A2044" s="109"/>
      <c r="B2044" s="109"/>
      <c r="C2044" s="109"/>
      <c r="D2044" s="109"/>
      <c r="E2044" s="109" t="s">
        <v>1855</v>
      </c>
      <c r="F2044" s="108">
        <v>28.703205000000001</v>
      </c>
      <c r="G2044" s="109"/>
      <c r="H2044" s="140" t="s">
        <v>1854</v>
      </c>
      <c r="I2044" s="140"/>
      <c r="J2044" s="108">
        <v>136.81</v>
      </c>
    </row>
    <row r="2045" spans="1:10" ht="30" customHeight="1" thickBot="1" x14ac:dyDescent="0.25">
      <c r="A2045" s="100"/>
      <c r="B2045" s="100"/>
      <c r="C2045" s="100"/>
      <c r="D2045" s="100"/>
      <c r="E2045" s="100"/>
      <c r="F2045" s="100"/>
      <c r="G2045" s="100" t="s">
        <v>1853</v>
      </c>
      <c r="H2045" s="107">
        <v>1</v>
      </c>
      <c r="I2045" s="100" t="s">
        <v>1852</v>
      </c>
      <c r="J2045" s="102">
        <v>136.81</v>
      </c>
    </row>
    <row r="2046" spans="1:10" ht="1.1499999999999999" customHeight="1" thickTop="1" x14ac:dyDescent="0.2">
      <c r="A2046" s="106"/>
      <c r="B2046" s="106"/>
      <c r="C2046" s="106"/>
      <c r="D2046" s="106"/>
      <c r="E2046" s="106"/>
      <c r="F2046" s="106"/>
      <c r="G2046" s="106"/>
      <c r="H2046" s="106"/>
      <c r="I2046" s="106"/>
      <c r="J2046" s="106"/>
    </row>
    <row r="2047" spans="1:10" ht="18" customHeight="1" x14ac:dyDescent="0.2">
      <c r="A2047" s="117" t="s">
        <v>510</v>
      </c>
      <c r="B2047" s="126" t="s">
        <v>5</v>
      </c>
      <c r="C2047" s="117" t="s">
        <v>6</v>
      </c>
      <c r="D2047" s="117" t="s">
        <v>7</v>
      </c>
      <c r="E2047" s="136" t="s">
        <v>1113</v>
      </c>
      <c r="F2047" s="136"/>
      <c r="G2047" s="7" t="s">
        <v>8</v>
      </c>
      <c r="H2047" s="126" t="s">
        <v>9</v>
      </c>
      <c r="I2047" s="126" t="s">
        <v>10</v>
      </c>
      <c r="J2047" s="126" t="s">
        <v>12</v>
      </c>
    </row>
    <row r="2048" spans="1:10" ht="24" customHeight="1" x14ac:dyDescent="0.2">
      <c r="A2048" s="116" t="s">
        <v>1861</v>
      </c>
      <c r="B2048" s="1" t="s">
        <v>513</v>
      </c>
      <c r="C2048" s="116" t="s">
        <v>20</v>
      </c>
      <c r="D2048" s="116" t="s">
        <v>514</v>
      </c>
      <c r="E2048" s="137">
        <v>8</v>
      </c>
      <c r="F2048" s="137"/>
      <c r="G2048" s="2" t="s">
        <v>37</v>
      </c>
      <c r="H2048" s="115">
        <v>1</v>
      </c>
      <c r="I2048" s="61">
        <v>10.99</v>
      </c>
      <c r="J2048" s="61">
        <v>10.99</v>
      </c>
    </row>
    <row r="2049" spans="1:10" ht="24" customHeight="1" x14ac:dyDescent="0.2">
      <c r="A2049" s="113" t="s">
        <v>1859</v>
      </c>
      <c r="B2049" s="114" t="s">
        <v>1983</v>
      </c>
      <c r="C2049" s="113" t="s">
        <v>20</v>
      </c>
      <c r="D2049" s="113" t="s">
        <v>1982</v>
      </c>
      <c r="E2049" s="139" t="s">
        <v>1369</v>
      </c>
      <c r="F2049" s="139"/>
      <c r="G2049" s="112" t="s">
        <v>213</v>
      </c>
      <c r="H2049" s="111">
        <v>0.31</v>
      </c>
      <c r="I2049" s="110">
        <v>0.37</v>
      </c>
      <c r="J2049" s="110">
        <v>0.11</v>
      </c>
    </row>
    <row r="2050" spans="1:10" ht="24" customHeight="1" x14ac:dyDescent="0.2">
      <c r="A2050" s="113" t="s">
        <v>1859</v>
      </c>
      <c r="B2050" s="114" t="s">
        <v>2271</v>
      </c>
      <c r="C2050" s="113" t="s">
        <v>20</v>
      </c>
      <c r="D2050" s="113" t="s">
        <v>2270</v>
      </c>
      <c r="E2050" s="139" t="s">
        <v>1369</v>
      </c>
      <c r="F2050" s="139"/>
      <c r="G2050" s="112" t="s">
        <v>246</v>
      </c>
      <c r="H2050" s="111">
        <v>1</v>
      </c>
      <c r="I2050" s="110">
        <v>7.85</v>
      </c>
      <c r="J2050" s="110">
        <v>7.85</v>
      </c>
    </row>
    <row r="2051" spans="1:10" ht="24" customHeight="1" x14ac:dyDescent="0.2">
      <c r="A2051" s="113" t="s">
        <v>1859</v>
      </c>
      <c r="B2051" s="114" t="s">
        <v>1981</v>
      </c>
      <c r="C2051" s="113" t="s">
        <v>20</v>
      </c>
      <c r="D2051" s="113" t="s">
        <v>1980</v>
      </c>
      <c r="E2051" s="139" t="s">
        <v>1860</v>
      </c>
      <c r="F2051" s="139"/>
      <c r="G2051" s="112" t="s">
        <v>1864</v>
      </c>
      <c r="H2051" s="111">
        <v>0.114</v>
      </c>
      <c r="I2051" s="110">
        <v>15.97</v>
      </c>
      <c r="J2051" s="110">
        <v>1.82</v>
      </c>
    </row>
    <row r="2052" spans="1:10" ht="24" customHeight="1" x14ac:dyDescent="0.2">
      <c r="A2052" s="113" t="s">
        <v>1859</v>
      </c>
      <c r="B2052" s="114" t="s">
        <v>1951</v>
      </c>
      <c r="C2052" s="113" t="s">
        <v>20</v>
      </c>
      <c r="D2052" s="113" t="s">
        <v>1950</v>
      </c>
      <c r="E2052" s="139" t="s">
        <v>1860</v>
      </c>
      <c r="F2052" s="139"/>
      <c r="G2052" s="112" t="s">
        <v>1864</v>
      </c>
      <c r="H2052" s="111">
        <v>0.114</v>
      </c>
      <c r="I2052" s="110">
        <v>10.62</v>
      </c>
      <c r="J2052" s="110">
        <v>1.21</v>
      </c>
    </row>
    <row r="2053" spans="1:10" x14ac:dyDescent="0.2">
      <c r="A2053" s="109"/>
      <c r="B2053" s="109"/>
      <c r="C2053" s="109"/>
      <c r="D2053" s="109"/>
      <c r="E2053" s="109" t="s">
        <v>1858</v>
      </c>
      <c r="F2053" s="108">
        <v>3.03</v>
      </c>
      <c r="G2053" s="109" t="s">
        <v>1857</v>
      </c>
      <c r="H2053" s="108">
        <v>0</v>
      </c>
      <c r="I2053" s="109" t="s">
        <v>1856</v>
      </c>
      <c r="J2053" s="108">
        <v>3.03</v>
      </c>
    </row>
    <row r="2054" spans="1:10" ht="13.9" customHeight="1" x14ac:dyDescent="0.2">
      <c r="A2054" s="109"/>
      <c r="B2054" s="109"/>
      <c r="C2054" s="109"/>
      <c r="D2054" s="109"/>
      <c r="E2054" s="109" t="s">
        <v>1855</v>
      </c>
      <c r="F2054" s="108">
        <v>2.9178449999999998</v>
      </c>
      <c r="G2054" s="109"/>
      <c r="H2054" s="140" t="s">
        <v>1854</v>
      </c>
      <c r="I2054" s="140"/>
      <c r="J2054" s="108">
        <v>13.91</v>
      </c>
    </row>
    <row r="2055" spans="1:10" ht="30" customHeight="1" thickBot="1" x14ac:dyDescent="0.25">
      <c r="A2055" s="100"/>
      <c r="B2055" s="100"/>
      <c r="C2055" s="100"/>
      <c r="D2055" s="100"/>
      <c r="E2055" s="100"/>
      <c r="F2055" s="100"/>
      <c r="G2055" s="100" t="s">
        <v>1853</v>
      </c>
      <c r="H2055" s="107">
        <v>29</v>
      </c>
      <c r="I2055" s="100" t="s">
        <v>1852</v>
      </c>
      <c r="J2055" s="102">
        <v>403.39</v>
      </c>
    </row>
    <row r="2056" spans="1:10" ht="1.1499999999999999" customHeight="1" thickTop="1" x14ac:dyDescent="0.2">
      <c r="A2056" s="106"/>
      <c r="B2056" s="106"/>
      <c r="C2056" s="106"/>
      <c r="D2056" s="106"/>
      <c r="E2056" s="106"/>
      <c r="F2056" s="106"/>
      <c r="G2056" s="106"/>
      <c r="H2056" s="106"/>
      <c r="I2056" s="106"/>
      <c r="J2056" s="106"/>
    </row>
    <row r="2057" spans="1:10" ht="24" customHeight="1" x14ac:dyDescent="0.2">
      <c r="A2057" s="123" t="s">
        <v>1273</v>
      </c>
      <c r="B2057" s="123"/>
      <c r="C2057" s="123"/>
      <c r="D2057" s="123" t="s">
        <v>1272</v>
      </c>
      <c r="E2057" s="123"/>
      <c r="F2057" s="142"/>
      <c r="G2057" s="142"/>
      <c r="H2057" s="3"/>
      <c r="I2057" s="123"/>
      <c r="J2057" s="63">
        <v>3082.22</v>
      </c>
    </row>
    <row r="2058" spans="1:10" ht="18" customHeight="1" x14ac:dyDescent="0.2">
      <c r="A2058" s="117" t="s">
        <v>1271</v>
      </c>
      <c r="B2058" s="126" t="s">
        <v>5</v>
      </c>
      <c r="C2058" s="117" t="s">
        <v>6</v>
      </c>
      <c r="D2058" s="117" t="s">
        <v>7</v>
      </c>
      <c r="E2058" s="136" t="s">
        <v>1113</v>
      </c>
      <c r="F2058" s="136"/>
      <c r="G2058" s="7" t="s">
        <v>8</v>
      </c>
      <c r="H2058" s="126" t="s">
        <v>9</v>
      </c>
      <c r="I2058" s="126" t="s">
        <v>10</v>
      </c>
      <c r="J2058" s="126" t="s">
        <v>12</v>
      </c>
    </row>
    <row r="2059" spans="1:10" ht="24" customHeight="1" x14ac:dyDescent="0.2">
      <c r="A2059" s="116" t="s">
        <v>1861</v>
      </c>
      <c r="B2059" s="1" t="s">
        <v>1270</v>
      </c>
      <c r="C2059" s="116" t="s">
        <v>20</v>
      </c>
      <c r="D2059" s="116" t="s">
        <v>1269</v>
      </c>
      <c r="E2059" s="137">
        <v>8</v>
      </c>
      <c r="F2059" s="137"/>
      <c r="G2059" s="2" t="s">
        <v>213</v>
      </c>
      <c r="H2059" s="115">
        <v>1</v>
      </c>
      <c r="I2059" s="61">
        <v>6.14</v>
      </c>
      <c r="J2059" s="61">
        <v>6.14</v>
      </c>
    </row>
    <row r="2060" spans="1:10" ht="24" customHeight="1" x14ac:dyDescent="0.2">
      <c r="A2060" s="113" t="s">
        <v>1859</v>
      </c>
      <c r="B2060" s="114" t="s">
        <v>1951</v>
      </c>
      <c r="C2060" s="113" t="s">
        <v>20</v>
      </c>
      <c r="D2060" s="113" t="s">
        <v>1950</v>
      </c>
      <c r="E2060" s="139" t="s">
        <v>1860</v>
      </c>
      <c r="F2060" s="139"/>
      <c r="G2060" s="112" t="s">
        <v>1864</v>
      </c>
      <c r="H2060" s="111">
        <v>8.8999999999999996E-2</v>
      </c>
      <c r="I2060" s="110">
        <v>10.62</v>
      </c>
      <c r="J2060" s="110">
        <v>0.95</v>
      </c>
    </row>
    <row r="2061" spans="1:10" ht="24" customHeight="1" x14ac:dyDescent="0.2">
      <c r="A2061" s="113" t="s">
        <v>1859</v>
      </c>
      <c r="B2061" s="114" t="s">
        <v>1981</v>
      </c>
      <c r="C2061" s="113" t="s">
        <v>20</v>
      </c>
      <c r="D2061" s="113" t="s">
        <v>1980</v>
      </c>
      <c r="E2061" s="139" t="s">
        <v>1860</v>
      </c>
      <c r="F2061" s="139"/>
      <c r="G2061" s="112" t="s">
        <v>1864</v>
      </c>
      <c r="H2061" s="111">
        <v>8.8999999999999996E-2</v>
      </c>
      <c r="I2061" s="110">
        <v>15.97</v>
      </c>
      <c r="J2061" s="110">
        <v>1.42</v>
      </c>
    </row>
    <row r="2062" spans="1:10" ht="24" customHeight="1" x14ac:dyDescent="0.2">
      <c r="A2062" s="113" t="s">
        <v>1859</v>
      </c>
      <c r="B2062" s="114" t="s">
        <v>2269</v>
      </c>
      <c r="C2062" s="113" t="s">
        <v>20</v>
      </c>
      <c r="D2062" s="113" t="s">
        <v>2268</v>
      </c>
      <c r="E2062" s="139" t="s">
        <v>1369</v>
      </c>
      <c r="F2062" s="139"/>
      <c r="G2062" s="112" t="s">
        <v>213</v>
      </c>
      <c r="H2062" s="111">
        <v>1.01</v>
      </c>
      <c r="I2062" s="110">
        <v>3.73</v>
      </c>
      <c r="J2062" s="110">
        <v>3.77</v>
      </c>
    </row>
    <row r="2063" spans="1:10" x14ac:dyDescent="0.2">
      <c r="A2063" s="109"/>
      <c r="B2063" s="109"/>
      <c r="C2063" s="109"/>
      <c r="D2063" s="109"/>
      <c r="E2063" s="109" t="s">
        <v>1858</v>
      </c>
      <c r="F2063" s="108">
        <v>2.37</v>
      </c>
      <c r="G2063" s="109" t="s">
        <v>1857</v>
      </c>
      <c r="H2063" s="108">
        <v>0</v>
      </c>
      <c r="I2063" s="109" t="s">
        <v>1856</v>
      </c>
      <c r="J2063" s="108">
        <v>2.37</v>
      </c>
    </row>
    <row r="2064" spans="1:10" ht="13.9" customHeight="1" x14ac:dyDescent="0.2">
      <c r="A2064" s="109"/>
      <c r="B2064" s="109"/>
      <c r="C2064" s="109"/>
      <c r="D2064" s="109"/>
      <c r="E2064" s="109" t="s">
        <v>1855</v>
      </c>
      <c r="F2064" s="108">
        <v>1.6301699999999999</v>
      </c>
      <c r="G2064" s="109"/>
      <c r="H2064" s="140" t="s">
        <v>1854</v>
      </c>
      <c r="I2064" s="140"/>
      <c r="J2064" s="108">
        <v>7.77</v>
      </c>
    </row>
    <row r="2065" spans="1:10" ht="30" customHeight="1" thickBot="1" x14ac:dyDescent="0.25">
      <c r="A2065" s="100"/>
      <c r="B2065" s="100"/>
      <c r="C2065" s="100"/>
      <c r="D2065" s="100"/>
      <c r="E2065" s="100"/>
      <c r="F2065" s="100"/>
      <c r="G2065" s="100" t="s">
        <v>1853</v>
      </c>
      <c r="H2065" s="107">
        <v>170</v>
      </c>
      <c r="I2065" s="100" t="s">
        <v>1852</v>
      </c>
      <c r="J2065" s="102">
        <v>1320.9</v>
      </c>
    </row>
    <row r="2066" spans="1:10" ht="1.1499999999999999" customHeight="1" thickTop="1" x14ac:dyDescent="0.2">
      <c r="A2066" s="106"/>
      <c r="B2066" s="106"/>
      <c r="C2066" s="106"/>
      <c r="D2066" s="106"/>
      <c r="E2066" s="106"/>
      <c r="F2066" s="106"/>
      <c r="G2066" s="106"/>
      <c r="H2066" s="106"/>
      <c r="I2066" s="106"/>
      <c r="J2066" s="106"/>
    </row>
    <row r="2067" spans="1:10" ht="18" customHeight="1" x14ac:dyDescent="0.2">
      <c r="A2067" s="117" t="s">
        <v>1268</v>
      </c>
      <c r="B2067" s="126" t="s">
        <v>5</v>
      </c>
      <c r="C2067" s="117" t="s">
        <v>6</v>
      </c>
      <c r="D2067" s="117" t="s">
        <v>7</v>
      </c>
      <c r="E2067" s="136" t="s">
        <v>1113</v>
      </c>
      <c r="F2067" s="136"/>
      <c r="G2067" s="7" t="s">
        <v>8</v>
      </c>
      <c r="H2067" s="126" t="s">
        <v>9</v>
      </c>
      <c r="I2067" s="126" t="s">
        <v>10</v>
      </c>
      <c r="J2067" s="126" t="s">
        <v>12</v>
      </c>
    </row>
    <row r="2068" spans="1:10" ht="24" customHeight="1" x14ac:dyDescent="0.2">
      <c r="A2068" s="116" t="s">
        <v>1861</v>
      </c>
      <c r="B2068" s="1" t="s">
        <v>1267</v>
      </c>
      <c r="C2068" s="116" t="s">
        <v>20</v>
      </c>
      <c r="D2068" s="116" t="s">
        <v>1266</v>
      </c>
      <c r="E2068" s="137">
        <v>20</v>
      </c>
      <c r="F2068" s="137"/>
      <c r="G2068" s="2" t="s">
        <v>92</v>
      </c>
      <c r="H2068" s="115">
        <v>1</v>
      </c>
      <c r="I2068" s="61">
        <v>11.6</v>
      </c>
      <c r="J2068" s="61">
        <v>11.6</v>
      </c>
    </row>
    <row r="2069" spans="1:10" ht="24" customHeight="1" x14ac:dyDescent="0.2">
      <c r="A2069" s="113" t="s">
        <v>1859</v>
      </c>
      <c r="B2069" s="114" t="s">
        <v>1899</v>
      </c>
      <c r="C2069" s="113" t="s">
        <v>20</v>
      </c>
      <c r="D2069" s="113" t="s">
        <v>1898</v>
      </c>
      <c r="E2069" s="139" t="s">
        <v>1369</v>
      </c>
      <c r="F2069" s="139"/>
      <c r="G2069" s="112" t="s">
        <v>49</v>
      </c>
      <c r="H2069" s="111">
        <v>5.0000000000000001E-4</v>
      </c>
      <c r="I2069" s="110">
        <v>162.78</v>
      </c>
      <c r="J2069" s="110">
        <v>0.08</v>
      </c>
    </row>
    <row r="2070" spans="1:10" ht="24" customHeight="1" x14ac:dyDescent="0.2">
      <c r="A2070" s="113" t="s">
        <v>1859</v>
      </c>
      <c r="B2070" s="114" t="s">
        <v>2008</v>
      </c>
      <c r="C2070" s="113" t="s">
        <v>20</v>
      </c>
      <c r="D2070" s="113" t="s">
        <v>2007</v>
      </c>
      <c r="E2070" s="139" t="s">
        <v>1369</v>
      </c>
      <c r="F2070" s="139"/>
      <c r="G2070" s="112" t="s">
        <v>96</v>
      </c>
      <c r="H2070" s="111">
        <v>7.2999999999999995E-2</v>
      </c>
      <c r="I2070" s="110">
        <v>0.75</v>
      </c>
      <c r="J2070" s="110">
        <v>0.05</v>
      </c>
    </row>
    <row r="2071" spans="1:10" ht="24" customHeight="1" x14ac:dyDescent="0.2">
      <c r="A2071" s="113" t="s">
        <v>1859</v>
      </c>
      <c r="B2071" s="114" t="s">
        <v>1897</v>
      </c>
      <c r="C2071" s="113" t="s">
        <v>20</v>
      </c>
      <c r="D2071" s="113" t="s">
        <v>1896</v>
      </c>
      <c r="E2071" s="139" t="s">
        <v>1369</v>
      </c>
      <c r="F2071" s="139"/>
      <c r="G2071" s="112" t="s">
        <v>96</v>
      </c>
      <c r="H2071" s="111">
        <v>0.06</v>
      </c>
      <c r="I2071" s="110">
        <v>0.6</v>
      </c>
      <c r="J2071" s="110">
        <v>0.04</v>
      </c>
    </row>
    <row r="2072" spans="1:10" ht="24" customHeight="1" x14ac:dyDescent="0.2">
      <c r="A2072" s="113" t="s">
        <v>1859</v>
      </c>
      <c r="B2072" s="114" t="s">
        <v>1866</v>
      </c>
      <c r="C2072" s="113" t="s">
        <v>20</v>
      </c>
      <c r="D2072" s="113" t="s">
        <v>1865</v>
      </c>
      <c r="E2072" s="139" t="s">
        <v>1860</v>
      </c>
      <c r="F2072" s="139"/>
      <c r="G2072" s="112" t="s">
        <v>1864</v>
      </c>
      <c r="H2072" s="111">
        <v>0.35</v>
      </c>
      <c r="I2072" s="110">
        <v>15.97</v>
      </c>
      <c r="J2072" s="110">
        <v>5.59</v>
      </c>
    </row>
    <row r="2073" spans="1:10" ht="24" customHeight="1" x14ac:dyDescent="0.2">
      <c r="A2073" s="113" t="s">
        <v>1859</v>
      </c>
      <c r="B2073" s="114" t="s">
        <v>1872</v>
      </c>
      <c r="C2073" s="113" t="s">
        <v>20</v>
      </c>
      <c r="D2073" s="113" t="s">
        <v>1871</v>
      </c>
      <c r="E2073" s="139" t="s">
        <v>1860</v>
      </c>
      <c r="F2073" s="139"/>
      <c r="G2073" s="112" t="s">
        <v>1864</v>
      </c>
      <c r="H2073" s="111">
        <v>0.55000000000000004</v>
      </c>
      <c r="I2073" s="110">
        <v>10.62</v>
      </c>
      <c r="J2073" s="110">
        <v>5.84</v>
      </c>
    </row>
    <row r="2074" spans="1:10" x14ac:dyDescent="0.2">
      <c r="A2074" s="109"/>
      <c r="B2074" s="109"/>
      <c r="C2074" s="109"/>
      <c r="D2074" s="109"/>
      <c r="E2074" s="109" t="s">
        <v>1858</v>
      </c>
      <c r="F2074" s="108">
        <v>11.43</v>
      </c>
      <c r="G2074" s="109" t="s">
        <v>1857</v>
      </c>
      <c r="H2074" s="108">
        <v>0</v>
      </c>
      <c r="I2074" s="109" t="s">
        <v>1856</v>
      </c>
      <c r="J2074" s="108">
        <v>11.43</v>
      </c>
    </row>
    <row r="2075" spans="1:10" ht="13.9" customHeight="1" x14ac:dyDescent="0.2">
      <c r="A2075" s="109"/>
      <c r="B2075" s="109"/>
      <c r="C2075" s="109"/>
      <c r="D2075" s="109"/>
      <c r="E2075" s="109" t="s">
        <v>1855</v>
      </c>
      <c r="F2075" s="108">
        <v>3.0798000000000001</v>
      </c>
      <c r="G2075" s="109"/>
      <c r="H2075" s="140" t="s">
        <v>1854</v>
      </c>
      <c r="I2075" s="140"/>
      <c r="J2075" s="108">
        <v>14.68</v>
      </c>
    </row>
    <row r="2076" spans="1:10" ht="30" customHeight="1" thickBot="1" x14ac:dyDescent="0.25">
      <c r="A2076" s="100"/>
      <c r="B2076" s="100"/>
      <c r="C2076" s="100"/>
      <c r="D2076" s="100"/>
      <c r="E2076" s="100"/>
      <c r="F2076" s="100"/>
      <c r="G2076" s="100" t="s">
        <v>1853</v>
      </c>
      <c r="H2076" s="107">
        <v>40</v>
      </c>
      <c r="I2076" s="100" t="s">
        <v>1852</v>
      </c>
      <c r="J2076" s="102">
        <v>587.20000000000005</v>
      </c>
    </row>
    <row r="2077" spans="1:10" ht="1.1499999999999999" customHeight="1" thickTop="1" x14ac:dyDescent="0.2">
      <c r="A2077" s="106"/>
      <c r="B2077" s="106"/>
      <c r="C2077" s="106"/>
      <c r="D2077" s="106"/>
      <c r="E2077" s="106"/>
      <c r="F2077" s="106"/>
      <c r="G2077" s="106"/>
      <c r="H2077" s="106"/>
      <c r="I2077" s="106"/>
      <c r="J2077" s="106"/>
    </row>
    <row r="2078" spans="1:10" ht="18" customHeight="1" x14ac:dyDescent="0.2">
      <c r="A2078" s="117" t="s">
        <v>1265</v>
      </c>
      <c r="B2078" s="126" t="s">
        <v>5</v>
      </c>
      <c r="C2078" s="117" t="s">
        <v>6</v>
      </c>
      <c r="D2078" s="117" t="s">
        <v>7</v>
      </c>
      <c r="E2078" s="136" t="s">
        <v>1113</v>
      </c>
      <c r="F2078" s="136"/>
      <c r="G2078" s="7" t="s">
        <v>8</v>
      </c>
      <c r="H2078" s="126" t="s">
        <v>9</v>
      </c>
      <c r="I2078" s="126" t="s">
        <v>10</v>
      </c>
      <c r="J2078" s="126" t="s">
        <v>12</v>
      </c>
    </row>
    <row r="2079" spans="1:10" ht="24" customHeight="1" x14ac:dyDescent="0.2">
      <c r="A2079" s="116" t="s">
        <v>1861</v>
      </c>
      <c r="B2079" s="1" t="s">
        <v>1264</v>
      </c>
      <c r="C2079" s="116" t="s">
        <v>249</v>
      </c>
      <c r="D2079" s="116" t="s">
        <v>1263</v>
      </c>
      <c r="E2079" s="137">
        <v>170</v>
      </c>
      <c r="F2079" s="137"/>
      <c r="G2079" s="2" t="s">
        <v>92</v>
      </c>
      <c r="H2079" s="115">
        <v>1</v>
      </c>
      <c r="I2079" s="61">
        <v>27.29</v>
      </c>
      <c r="J2079" s="61">
        <v>27.29</v>
      </c>
    </row>
    <row r="2080" spans="1:10" ht="24" customHeight="1" x14ac:dyDescent="0.2">
      <c r="A2080" s="121" t="s">
        <v>1888</v>
      </c>
      <c r="B2080" s="122" t="s">
        <v>2046</v>
      </c>
      <c r="C2080" s="121" t="s">
        <v>25</v>
      </c>
      <c r="D2080" s="121" t="s">
        <v>2045</v>
      </c>
      <c r="E2080" s="138" t="s">
        <v>1902</v>
      </c>
      <c r="F2080" s="138"/>
      <c r="G2080" s="120" t="s">
        <v>61</v>
      </c>
      <c r="H2080" s="119">
        <v>0.60699999999999998</v>
      </c>
      <c r="I2080" s="118">
        <v>21.54</v>
      </c>
      <c r="J2080" s="118">
        <v>13.07</v>
      </c>
    </row>
    <row r="2081" spans="1:10" ht="24" customHeight="1" x14ac:dyDescent="0.2">
      <c r="A2081" s="121" t="s">
        <v>1888</v>
      </c>
      <c r="B2081" s="122" t="s">
        <v>1906</v>
      </c>
      <c r="C2081" s="121" t="s">
        <v>25</v>
      </c>
      <c r="D2081" s="121" t="s">
        <v>1905</v>
      </c>
      <c r="E2081" s="138" t="s">
        <v>1902</v>
      </c>
      <c r="F2081" s="138"/>
      <c r="G2081" s="120" t="s">
        <v>61</v>
      </c>
      <c r="H2081" s="119">
        <v>0.80900000000000005</v>
      </c>
      <c r="I2081" s="118">
        <v>16.059999999999999</v>
      </c>
      <c r="J2081" s="118">
        <v>12.99</v>
      </c>
    </row>
    <row r="2082" spans="1:10" ht="24" customHeight="1" x14ac:dyDescent="0.2">
      <c r="A2082" s="113" t="s">
        <v>1859</v>
      </c>
      <c r="B2082" s="114" t="s">
        <v>2267</v>
      </c>
      <c r="C2082" s="113" t="s">
        <v>249</v>
      </c>
      <c r="D2082" s="113" t="s">
        <v>2266</v>
      </c>
      <c r="E2082" s="139" t="s">
        <v>1369</v>
      </c>
      <c r="F2082" s="139"/>
      <c r="G2082" s="112" t="s">
        <v>49</v>
      </c>
      <c r="H2082" s="111">
        <v>1E-3</v>
      </c>
      <c r="I2082" s="110">
        <v>131.63999999999999</v>
      </c>
      <c r="J2082" s="110">
        <v>0.13</v>
      </c>
    </row>
    <row r="2083" spans="1:10" ht="24" customHeight="1" x14ac:dyDescent="0.2">
      <c r="A2083" s="113" t="s">
        <v>1859</v>
      </c>
      <c r="B2083" s="114" t="s">
        <v>2265</v>
      </c>
      <c r="C2083" s="113" t="s">
        <v>249</v>
      </c>
      <c r="D2083" s="113" t="s">
        <v>2264</v>
      </c>
      <c r="E2083" s="139" t="s">
        <v>1369</v>
      </c>
      <c r="F2083" s="139"/>
      <c r="G2083" s="112" t="s">
        <v>1303</v>
      </c>
      <c r="H2083" s="111">
        <v>1.86</v>
      </c>
      <c r="I2083" s="110">
        <v>0.59</v>
      </c>
      <c r="J2083" s="110">
        <v>1.1000000000000001</v>
      </c>
    </row>
    <row r="2084" spans="1:10" x14ac:dyDescent="0.2">
      <c r="A2084" s="109"/>
      <c r="B2084" s="109"/>
      <c r="C2084" s="109"/>
      <c r="D2084" s="109"/>
      <c r="E2084" s="109" t="s">
        <v>1858</v>
      </c>
      <c r="F2084" s="108">
        <v>18.29</v>
      </c>
      <c r="G2084" s="109" t="s">
        <v>1857</v>
      </c>
      <c r="H2084" s="108">
        <v>0</v>
      </c>
      <c r="I2084" s="109" t="s">
        <v>1856</v>
      </c>
      <c r="J2084" s="108">
        <v>18.29</v>
      </c>
    </row>
    <row r="2085" spans="1:10" ht="13.9" customHeight="1" x14ac:dyDescent="0.2">
      <c r="A2085" s="109"/>
      <c r="B2085" s="109"/>
      <c r="C2085" s="109"/>
      <c r="D2085" s="109"/>
      <c r="E2085" s="109" t="s">
        <v>1855</v>
      </c>
      <c r="F2085" s="108">
        <v>7.245495</v>
      </c>
      <c r="G2085" s="109"/>
      <c r="H2085" s="140" t="s">
        <v>1854</v>
      </c>
      <c r="I2085" s="140"/>
      <c r="J2085" s="108">
        <v>34.54</v>
      </c>
    </row>
    <row r="2086" spans="1:10" ht="30" customHeight="1" thickBot="1" x14ac:dyDescent="0.25">
      <c r="A2086" s="100"/>
      <c r="B2086" s="100"/>
      <c r="C2086" s="100"/>
      <c r="D2086" s="100"/>
      <c r="E2086" s="100"/>
      <c r="F2086" s="100"/>
      <c r="G2086" s="100" t="s">
        <v>1853</v>
      </c>
      <c r="H2086" s="107">
        <v>30</v>
      </c>
      <c r="I2086" s="100" t="s">
        <v>1852</v>
      </c>
      <c r="J2086" s="102">
        <v>1036.2</v>
      </c>
    </row>
    <row r="2087" spans="1:10" ht="1.1499999999999999" customHeight="1" thickTop="1" x14ac:dyDescent="0.2">
      <c r="A2087" s="106"/>
      <c r="B2087" s="106"/>
      <c r="C2087" s="106"/>
      <c r="D2087" s="106"/>
      <c r="E2087" s="106"/>
      <c r="F2087" s="106"/>
      <c r="G2087" s="106"/>
      <c r="H2087" s="106"/>
      <c r="I2087" s="106"/>
      <c r="J2087" s="106"/>
    </row>
    <row r="2088" spans="1:10" ht="18" customHeight="1" x14ac:dyDescent="0.2">
      <c r="A2088" s="117" t="s">
        <v>1262</v>
      </c>
      <c r="B2088" s="126" t="s">
        <v>5</v>
      </c>
      <c r="C2088" s="117" t="s">
        <v>6</v>
      </c>
      <c r="D2088" s="117" t="s">
        <v>7</v>
      </c>
      <c r="E2088" s="136" t="s">
        <v>1113</v>
      </c>
      <c r="F2088" s="136"/>
      <c r="G2088" s="7" t="s">
        <v>8</v>
      </c>
      <c r="H2088" s="126" t="s">
        <v>9</v>
      </c>
      <c r="I2088" s="126" t="s">
        <v>10</v>
      </c>
      <c r="J2088" s="126" t="s">
        <v>12</v>
      </c>
    </row>
    <row r="2089" spans="1:10" ht="24" customHeight="1" x14ac:dyDescent="0.2">
      <c r="A2089" s="116" t="s">
        <v>1861</v>
      </c>
      <c r="B2089" s="1" t="s">
        <v>1261</v>
      </c>
      <c r="C2089" s="116" t="s">
        <v>20</v>
      </c>
      <c r="D2089" s="116" t="s">
        <v>1260</v>
      </c>
      <c r="E2089" s="137">
        <v>8</v>
      </c>
      <c r="F2089" s="137"/>
      <c r="G2089" s="2" t="s">
        <v>49</v>
      </c>
      <c r="H2089" s="115">
        <v>1</v>
      </c>
      <c r="I2089" s="61">
        <v>151.37</v>
      </c>
      <c r="J2089" s="61">
        <v>151.37</v>
      </c>
    </row>
    <row r="2090" spans="1:10" ht="24" customHeight="1" x14ac:dyDescent="0.2">
      <c r="A2090" s="113" t="s">
        <v>1859</v>
      </c>
      <c r="B2090" s="114" t="s">
        <v>2156</v>
      </c>
      <c r="C2090" s="113" t="s">
        <v>20</v>
      </c>
      <c r="D2090" s="113" t="s">
        <v>2155</v>
      </c>
      <c r="E2090" s="139" t="s">
        <v>1369</v>
      </c>
      <c r="F2090" s="139"/>
      <c r="G2090" s="112" t="s">
        <v>49</v>
      </c>
      <c r="H2090" s="111">
        <v>0.6</v>
      </c>
      <c r="I2090" s="110">
        <v>116.12</v>
      </c>
      <c r="J2090" s="110">
        <v>69.67</v>
      </c>
    </row>
    <row r="2091" spans="1:10" ht="24" customHeight="1" x14ac:dyDescent="0.2">
      <c r="A2091" s="113" t="s">
        <v>1859</v>
      </c>
      <c r="B2091" s="114" t="s">
        <v>2072</v>
      </c>
      <c r="C2091" s="113" t="s">
        <v>20</v>
      </c>
      <c r="D2091" s="113" t="s">
        <v>2071</v>
      </c>
      <c r="E2091" s="139" t="s">
        <v>1369</v>
      </c>
      <c r="F2091" s="139"/>
      <c r="G2091" s="112" t="s">
        <v>49</v>
      </c>
      <c r="H2091" s="111">
        <v>0.6</v>
      </c>
      <c r="I2091" s="110">
        <v>100.76</v>
      </c>
      <c r="J2091" s="110">
        <v>60.46</v>
      </c>
    </row>
    <row r="2092" spans="1:10" ht="24" customHeight="1" x14ac:dyDescent="0.2">
      <c r="A2092" s="113" t="s">
        <v>1859</v>
      </c>
      <c r="B2092" s="114" t="s">
        <v>1872</v>
      </c>
      <c r="C2092" s="113" t="s">
        <v>20</v>
      </c>
      <c r="D2092" s="113" t="s">
        <v>1871</v>
      </c>
      <c r="E2092" s="139" t="s">
        <v>1860</v>
      </c>
      <c r="F2092" s="139"/>
      <c r="G2092" s="112" t="s">
        <v>1864</v>
      </c>
      <c r="H2092" s="111">
        <v>2</v>
      </c>
      <c r="I2092" s="110">
        <v>10.62</v>
      </c>
      <c r="J2092" s="110">
        <v>21.24</v>
      </c>
    </row>
    <row r="2093" spans="1:10" x14ac:dyDescent="0.2">
      <c r="A2093" s="109"/>
      <c r="B2093" s="109"/>
      <c r="C2093" s="109"/>
      <c r="D2093" s="109"/>
      <c r="E2093" s="109" t="s">
        <v>1858</v>
      </c>
      <c r="F2093" s="108">
        <v>21.24</v>
      </c>
      <c r="G2093" s="109" t="s">
        <v>1857</v>
      </c>
      <c r="H2093" s="108">
        <v>0</v>
      </c>
      <c r="I2093" s="109" t="s">
        <v>1856</v>
      </c>
      <c r="J2093" s="108">
        <v>21.24</v>
      </c>
    </row>
    <row r="2094" spans="1:10" ht="13.9" customHeight="1" x14ac:dyDescent="0.2">
      <c r="A2094" s="109"/>
      <c r="B2094" s="109"/>
      <c r="C2094" s="109"/>
      <c r="D2094" s="109"/>
      <c r="E2094" s="109" t="s">
        <v>1855</v>
      </c>
      <c r="F2094" s="108">
        <v>40.188735000000001</v>
      </c>
      <c r="G2094" s="109"/>
      <c r="H2094" s="140" t="s">
        <v>1854</v>
      </c>
      <c r="I2094" s="140"/>
      <c r="J2094" s="108">
        <v>191.56</v>
      </c>
    </row>
    <row r="2095" spans="1:10" ht="30" customHeight="1" thickBot="1" x14ac:dyDescent="0.25">
      <c r="A2095" s="100"/>
      <c r="B2095" s="100"/>
      <c r="C2095" s="100"/>
      <c r="D2095" s="100"/>
      <c r="E2095" s="100"/>
      <c r="F2095" s="100"/>
      <c r="G2095" s="100" t="s">
        <v>1853</v>
      </c>
      <c r="H2095" s="107">
        <v>0.72</v>
      </c>
      <c r="I2095" s="100" t="s">
        <v>1852</v>
      </c>
      <c r="J2095" s="102">
        <v>137.91999999999999</v>
      </c>
    </row>
    <row r="2096" spans="1:10" ht="1.1499999999999999" customHeight="1" thickTop="1" x14ac:dyDescent="0.2">
      <c r="A2096" s="106"/>
      <c r="B2096" s="106"/>
      <c r="C2096" s="106"/>
      <c r="D2096" s="106"/>
      <c r="E2096" s="106"/>
      <c r="F2096" s="106"/>
      <c r="G2096" s="106"/>
      <c r="H2096" s="106"/>
      <c r="I2096" s="106"/>
      <c r="J2096" s="106"/>
    </row>
    <row r="2097" spans="1:10" ht="24" customHeight="1" x14ac:dyDescent="0.2">
      <c r="A2097" s="123" t="s">
        <v>515</v>
      </c>
      <c r="B2097" s="123"/>
      <c r="C2097" s="123"/>
      <c r="D2097" s="123" t="s">
        <v>516</v>
      </c>
      <c r="E2097" s="123"/>
      <c r="F2097" s="142"/>
      <c r="G2097" s="142"/>
      <c r="H2097" s="3"/>
      <c r="I2097" s="123"/>
      <c r="J2097" s="63">
        <v>54755.26</v>
      </c>
    </row>
    <row r="2098" spans="1:10" ht="18" customHeight="1" x14ac:dyDescent="0.2">
      <c r="A2098" s="117" t="s">
        <v>517</v>
      </c>
      <c r="B2098" s="126" t="s">
        <v>5</v>
      </c>
      <c r="C2098" s="117" t="s">
        <v>6</v>
      </c>
      <c r="D2098" s="117" t="s">
        <v>7</v>
      </c>
      <c r="E2098" s="136" t="s">
        <v>1113</v>
      </c>
      <c r="F2098" s="136"/>
      <c r="G2098" s="7" t="s">
        <v>8</v>
      </c>
      <c r="H2098" s="126" t="s">
        <v>9</v>
      </c>
      <c r="I2098" s="126" t="s">
        <v>10</v>
      </c>
      <c r="J2098" s="126" t="s">
        <v>12</v>
      </c>
    </row>
    <row r="2099" spans="1:10" ht="24" customHeight="1" x14ac:dyDescent="0.2">
      <c r="A2099" s="116" t="s">
        <v>1861</v>
      </c>
      <c r="B2099" s="1" t="s">
        <v>518</v>
      </c>
      <c r="C2099" s="116" t="s">
        <v>20</v>
      </c>
      <c r="D2099" s="116" t="s">
        <v>519</v>
      </c>
      <c r="E2099" s="137">
        <v>10</v>
      </c>
      <c r="F2099" s="137"/>
      <c r="G2099" s="2" t="s">
        <v>22</v>
      </c>
      <c r="H2099" s="115">
        <v>1</v>
      </c>
      <c r="I2099" s="61">
        <v>44.18</v>
      </c>
      <c r="J2099" s="61">
        <v>44.18</v>
      </c>
    </row>
    <row r="2100" spans="1:10" ht="24" customHeight="1" x14ac:dyDescent="0.2">
      <c r="A2100" s="113" t="s">
        <v>1859</v>
      </c>
      <c r="B2100" s="114" t="s">
        <v>1899</v>
      </c>
      <c r="C2100" s="113" t="s">
        <v>20</v>
      </c>
      <c r="D2100" s="113" t="s">
        <v>1898</v>
      </c>
      <c r="E2100" s="139" t="s">
        <v>1369</v>
      </c>
      <c r="F2100" s="139"/>
      <c r="G2100" s="112" t="s">
        <v>49</v>
      </c>
      <c r="H2100" s="111">
        <v>1.34E-2</v>
      </c>
      <c r="I2100" s="110">
        <v>162.78</v>
      </c>
      <c r="J2100" s="110">
        <v>2.1800000000000002</v>
      </c>
    </row>
    <row r="2101" spans="1:10" ht="24" customHeight="1" x14ac:dyDescent="0.2">
      <c r="A2101" s="113" t="s">
        <v>1859</v>
      </c>
      <c r="B2101" s="114" t="s">
        <v>2008</v>
      </c>
      <c r="C2101" s="113" t="s">
        <v>20</v>
      </c>
      <c r="D2101" s="113" t="s">
        <v>2007</v>
      </c>
      <c r="E2101" s="139" t="s">
        <v>1369</v>
      </c>
      <c r="F2101" s="139"/>
      <c r="G2101" s="112" t="s">
        <v>96</v>
      </c>
      <c r="H2101" s="111">
        <v>2.0030000000000001</v>
      </c>
      <c r="I2101" s="110">
        <v>0.75</v>
      </c>
      <c r="J2101" s="110">
        <v>1.5</v>
      </c>
    </row>
    <row r="2102" spans="1:10" ht="24" customHeight="1" x14ac:dyDescent="0.2">
      <c r="A2102" s="113" t="s">
        <v>1859</v>
      </c>
      <c r="B2102" s="114" t="s">
        <v>1897</v>
      </c>
      <c r="C2102" s="113" t="s">
        <v>20</v>
      </c>
      <c r="D2102" s="113" t="s">
        <v>1896</v>
      </c>
      <c r="E2102" s="139" t="s">
        <v>1369</v>
      </c>
      <c r="F2102" s="139"/>
      <c r="G2102" s="112" t="s">
        <v>96</v>
      </c>
      <c r="H2102" s="111">
        <v>1.2</v>
      </c>
      <c r="I2102" s="110">
        <v>0.6</v>
      </c>
      <c r="J2102" s="110">
        <v>0.72</v>
      </c>
    </row>
    <row r="2103" spans="1:10" ht="24" customHeight="1" x14ac:dyDescent="0.2">
      <c r="A2103" s="113" t="s">
        <v>1859</v>
      </c>
      <c r="B2103" s="114" t="s">
        <v>2263</v>
      </c>
      <c r="C2103" s="113" t="s">
        <v>20</v>
      </c>
      <c r="D2103" s="113" t="s">
        <v>2262</v>
      </c>
      <c r="E2103" s="139" t="s">
        <v>1369</v>
      </c>
      <c r="F2103" s="139"/>
      <c r="G2103" s="112" t="s">
        <v>246</v>
      </c>
      <c r="H2103" s="111">
        <v>23</v>
      </c>
      <c r="I2103" s="110">
        <v>0.82</v>
      </c>
      <c r="J2103" s="110">
        <v>18.86</v>
      </c>
    </row>
    <row r="2104" spans="1:10" ht="24" customHeight="1" x14ac:dyDescent="0.2">
      <c r="A2104" s="113" t="s">
        <v>1859</v>
      </c>
      <c r="B2104" s="114" t="s">
        <v>1866</v>
      </c>
      <c r="C2104" s="113" t="s">
        <v>20</v>
      </c>
      <c r="D2104" s="113" t="s">
        <v>1865</v>
      </c>
      <c r="E2104" s="139" t="s">
        <v>1860</v>
      </c>
      <c r="F2104" s="139"/>
      <c r="G2104" s="112" t="s">
        <v>1864</v>
      </c>
      <c r="H2104" s="111">
        <v>0.73660000000000003</v>
      </c>
      <c r="I2104" s="110">
        <v>15.97</v>
      </c>
      <c r="J2104" s="110">
        <v>11.76</v>
      </c>
    </row>
    <row r="2105" spans="1:10" ht="24" customHeight="1" x14ac:dyDescent="0.2">
      <c r="A2105" s="113" t="s">
        <v>1859</v>
      </c>
      <c r="B2105" s="114" t="s">
        <v>1872</v>
      </c>
      <c r="C2105" s="113" t="s">
        <v>20</v>
      </c>
      <c r="D2105" s="113" t="s">
        <v>1871</v>
      </c>
      <c r="E2105" s="139" t="s">
        <v>1860</v>
      </c>
      <c r="F2105" s="139"/>
      <c r="G2105" s="112" t="s">
        <v>1864</v>
      </c>
      <c r="H2105" s="111">
        <v>0.86209999999999998</v>
      </c>
      <c r="I2105" s="110">
        <v>10.62</v>
      </c>
      <c r="J2105" s="110">
        <v>9.16</v>
      </c>
    </row>
    <row r="2106" spans="1:10" x14ac:dyDescent="0.2">
      <c r="A2106" s="109"/>
      <c r="B2106" s="109"/>
      <c r="C2106" s="109"/>
      <c r="D2106" s="109"/>
      <c r="E2106" s="109" t="s">
        <v>1858</v>
      </c>
      <c r="F2106" s="108">
        <v>20.92</v>
      </c>
      <c r="G2106" s="109" t="s">
        <v>1857</v>
      </c>
      <c r="H2106" s="108">
        <v>0</v>
      </c>
      <c r="I2106" s="109" t="s">
        <v>1856</v>
      </c>
      <c r="J2106" s="108">
        <v>20.92</v>
      </c>
    </row>
    <row r="2107" spans="1:10" ht="13.9" customHeight="1" x14ac:dyDescent="0.2">
      <c r="A2107" s="109"/>
      <c r="B2107" s="109"/>
      <c r="C2107" s="109"/>
      <c r="D2107" s="109"/>
      <c r="E2107" s="109" t="s">
        <v>1855</v>
      </c>
      <c r="F2107" s="108">
        <v>11.729789999999999</v>
      </c>
      <c r="G2107" s="109"/>
      <c r="H2107" s="140" t="s">
        <v>1854</v>
      </c>
      <c r="I2107" s="140"/>
      <c r="J2107" s="108">
        <v>55.91</v>
      </c>
    </row>
    <row r="2108" spans="1:10" ht="30" customHeight="1" thickBot="1" x14ac:dyDescent="0.25">
      <c r="A2108" s="100"/>
      <c r="B2108" s="100"/>
      <c r="C2108" s="100"/>
      <c r="D2108" s="100"/>
      <c r="E2108" s="100"/>
      <c r="F2108" s="100"/>
      <c r="G2108" s="100" t="s">
        <v>1853</v>
      </c>
      <c r="H2108" s="107">
        <v>231.93</v>
      </c>
      <c r="I2108" s="100" t="s">
        <v>1852</v>
      </c>
      <c r="J2108" s="102">
        <v>12967.21</v>
      </c>
    </row>
    <row r="2109" spans="1:10" ht="1.1499999999999999" customHeight="1" thickTop="1" x14ac:dyDescent="0.2">
      <c r="A2109" s="106"/>
      <c r="B2109" s="106"/>
      <c r="C2109" s="106"/>
      <c r="D2109" s="106"/>
      <c r="E2109" s="106"/>
      <c r="F2109" s="106"/>
      <c r="G2109" s="106"/>
      <c r="H2109" s="106"/>
      <c r="I2109" s="106"/>
      <c r="J2109" s="106"/>
    </row>
    <row r="2110" spans="1:10" ht="18" customHeight="1" x14ac:dyDescent="0.2">
      <c r="A2110" s="117" t="s">
        <v>520</v>
      </c>
      <c r="B2110" s="126" t="s">
        <v>5</v>
      </c>
      <c r="C2110" s="117" t="s">
        <v>6</v>
      </c>
      <c r="D2110" s="117" t="s">
        <v>7</v>
      </c>
      <c r="E2110" s="136" t="s">
        <v>1113</v>
      </c>
      <c r="F2110" s="136"/>
      <c r="G2110" s="7" t="s">
        <v>8</v>
      </c>
      <c r="H2110" s="126" t="s">
        <v>9</v>
      </c>
      <c r="I2110" s="126" t="s">
        <v>10</v>
      </c>
      <c r="J2110" s="126" t="s">
        <v>12</v>
      </c>
    </row>
    <row r="2111" spans="1:10" ht="24" customHeight="1" x14ac:dyDescent="0.2">
      <c r="A2111" s="116" t="s">
        <v>1861</v>
      </c>
      <c r="B2111" s="1" t="s">
        <v>521</v>
      </c>
      <c r="C2111" s="116" t="s">
        <v>20</v>
      </c>
      <c r="D2111" s="116" t="s">
        <v>522</v>
      </c>
      <c r="E2111" s="137">
        <v>10</v>
      </c>
      <c r="F2111" s="137"/>
      <c r="G2111" s="2" t="s">
        <v>22</v>
      </c>
      <c r="H2111" s="115">
        <v>1</v>
      </c>
      <c r="I2111" s="61">
        <v>144.12</v>
      </c>
      <c r="J2111" s="61">
        <v>144.12</v>
      </c>
    </row>
    <row r="2112" spans="1:10" ht="24" customHeight="1" x14ac:dyDescent="0.2">
      <c r="A2112" s="113" t="s">
        <v>1859</v>
      </c>
      <c r="B2112" s="114" t="s">
        <v>1899</v>
      </c>
      <c r="C2112" s="113" t="s">
        <v>20</v>
      </c>
      <c r="D2112" s="113" t="s">
        <v>1898</v>
      </c>
      <c r="E2112" s="139" t="s">
        <v>1369</v>
      </c>
      <c r="F2112" s="139"/>
      <c r="G2112" s="112" t="s">
        <v>49</v>
      </c>
      <c r="H2112" s="111">
        <v>6.93E-2</v>
      </c>
      <c r="I2112" s="110">
        <v>162.78</v>
      </c>
      <c r="J2112" s="110">
        <v>11.28</v>
      </c>
    </row>
    <row r="2113" spans="1:10" ht="24" customHeight="1" x14ac:dyDescent="0.2">
      <c r="A2113" s="113" t="s">
        <v>1859</v>
      </c>
      <c r="B2113" s="114" t="s">
        <v>2008</v>
      </c>
      <c r="C2113" s="113" t="s">
        <v>20</v>
      </c>
      <c r="D2113" s="113" t="s">
        <v>2007</v>
      </c>
      <c r="E2113" s="139" t="s">
        <v>1369</v>
      </c>
      <c r="F2113" s="139"/>
      <c r="G2113" s="112" t="s">
        <v>96</v>
      </c>
      <c r="H2113" s="111">
        <v>10.37</v>
      </c>
      <c r="I2113" s="110">
        <v>0.75</v>
      </c>
      <c r="J2113" s="110">
        <v>7.78</v>
      </c>
    </row>
    <row r="2114" spans="1:10" ht="24" customHeight="1" x14ac:dyDescent="0.2">
      <c r="A2114" s="113" t="s">
        <v>1859</v>
      </c>
      <c r="B2114" s="114" t="s">
        <v>1897</v>
      </c>
      <c r="C2114" s="113" t="s">
        <v>20</v>
      </c>
      <c r="D2114" s="113" t="s">
        <v>1896</v>
      </c>
      <c r="E2114" s="139" t="s">
        <v>1369</v>
      </c>
      <c r="F2114" s="139"/>
      <c r="G2114" s="112" t="s">
        <v>96</v>
      </c>
      <c r="H2114" s="111">
        <v>10.37</v>
      </c>
      <c r="I2114" s="110">
        <v>0.6</v>
      </c>
      <c r="J2114" s="110">
        <v>6.22</v>
      </c>
    </row>
    <row r="2115" spans="1:10" ht="24" customHeight="1" x14ac:dyDescent="0.2">
      <c r="A2115" s="113" t="s">
        <v>1859</v>
      </c>
      <c r="B2115" s="114" t="s">
        <v>2012</v>
      </c>
      <c r="C2115" s="113" t="s">
        <v>20</v>
      </c>
      <c r="D2115" s="113" t="s">
        <v>2011</v>
      </c>
      <c r="E2115" s="139" t="s">
        <v>1369</v>
      </c>
      <c r="F2115" s="139"/>
      <c r="G2115" s="112" t="s">
        <v>246</v>
      </c>
      <c r="H2115" s="111">
        <v>156</v>
      </c>
      <c r="I2115" s="110">
        <v>0.52</v>
      </c>
      <c r="J2115" s="110">
        <v>81.12</v>
      </c>
    </row>
    <row r="2116" spans="1:10" ht="24" customHeight="1" x14ac:dyDescent="0.2">
      <c r="A2116" s="113" t="s">
        <v>1859</v>
      </c>
      <c r="B2116" s="114" t="s">
        <v>1866</v>
      </c>
      <c r="C2116" s="113" t="s">
        <v>20</v>
      </c>
      <c r="D2116" s="113" t="s">
        <v>1865</v>
      </c>
      <c r="E2116" s="139" t="s">
        <v>1860</v>
      </c>
      <c r="F2116" s="139"/>
      <c r="G2116" s="112" t="s">
        <v>1864</v>
      </c>
      <c r="H2116" s="111">
        <v>1.3081</v>
      </c>
      <c r="I2116" s="110">
        <v>15.97</v>
      </c>
      <c r="J2116" s="110">
        <v>20.89</v>
      </c>
    </row>
    <row r="2117" spans="1:10" ht="24" customHeight="1" x14ac:dyDescent="0.2">
      <c r="A2117" s="113" t="s">
        <v>1859</v>
      </c>
      <c r="B2117" s="114" t="s">
        <v>1872</v>
      </c>
      <c r="C2117" s="113" t="s">
        <v>20</v>
      </c>
      <c r="D2117" s="113" t="s">
        <v>1871</v>
      </c>
      <c r="E2117" s="139" t="s">
        <v>1860</v>
      </c>
      <c r="F2117" s="139"/>
      <c r="G2117" s="112" t="s">
        <v>1864</v>
      </c>
      <c r="H2117" s="111">
        <v>1.5845</v>
      </c>
      <c r="I2117" s="110">
        <v>10.62</v>
      </c>
      <c r="J2117" s="110">
        <v>16.829999999999998</v>
      </c>
    </row>
    <row r="2118" spans="1:10" x14ac:dyDescent="0.2">
      <c r="A2118" s="109"/>
      <c r="B2118" s="109"/>
      <c r="C2118" s="109"/>
      <c r="D2118" s="109"/>
      <c r="E2118" s="109" t="s">
        <v>1858</v>
      </c>
      <c r="F2118" s="108">
        <v>37.72</v>
      </c>
      <c r="G2118" s="109" t="s">
        <v>1857</v>
      </c>
      <c r="H2118" s="108">
        <v>0</v>
      </c>
      <c r="I2118" s="109" t="s">
        <v>1856</v>
      </c>
      <c r="J2118" s="108">
        <v>37.72</v>
      </c>
    </row>
    <row r="2119" spans="1:10" ht="13.9" customHeight="1" x14ac:dyDescent="0.2">
      <c r="A2119" s="109"/>
      <c r="B2119" s="109"/>
      <c r="C2119" s="109"/>
      <c r="D2119" s="109"/>
      <c r="E2119" s="109" t="s">
        <v>1855</v>
      </c>
      <c r="F2119" s="108">
        <v>38.263860000000001</v>
      </c>
      <c r="G2119" s="109"/>
      <c r="H2119" s="140" t="s">
        <v>1854</v>
      </c>
      <c r="I2119" s="140"/>
      <c r="J2119" s="108">
        <v>182.38</v>
      </c>
    </row>
    <row r="2120" spans="1:10" ht="30" customHeight="1" thickBot="1" x14ac:dyDescent="0.25">
      <c r="A2120" s="100"/>
      <c r="B2120" s="100"/>
      <c r="C2120" s="100"/>
      <c r="D2120" s="100"/>
      <c r="E2120" s="100"/>
      <c r="F2120" s="100"/>
      <c r="G2120" s="100" t="s">
        <v>1853</v>
      </c>
      <c r="H2120" s="107">
        <v>9.24</v>
      </c>
      <c r="I2120" s="100" t="s">
        <v>1852</v>
      </c>
      <c r="J2120" s="102">
        <v>1685.19</v>
      </c>
    </row>
    <row r="2121" spans="1:10" ht="1.1499999999999999" customHeight="1" thickTop="1" x14ac:dyDescent="0.2">
      <c r="A2121" s="106"/>
      <c r="B2121" s="106"/>
      <c r="C2121" s="106"/>
      <c r="D2121" s="106"/>
      <c r="E2121" s="106"/>
      <c r="F2121" s="106"/>
      <c r="G2121" s="106"/>
      <c r="H2121" s="106"/>
      <c r="I2121" s="106"/>
      <c r="J2121" s="106"/>
    </row>
    <row r="2122" spans="1:10" ht="18" customHeight="1" x14ac:dyDescent="0.2">
      <c r="A2122" s="117" t="s">
        <v>523</v>
      </c>
      <c r="B2122" s="126" t="s">
        <v>5</v>
      </c>
      <c r="C2122" s="117" t="s">
        <v>6</v>
      </c>
      <c r="D2122" s="117" t="s">
        <v>7</v>
      </c>
      <c r="E2122" s="136" t="s">
        <v>1113</v>
      </c>
      <c r="F2122" s="136"/>
      <c r="G2122" s="7" t="s">
        <v>8</v>
      </c>
      <c r="H2122" s="126" t="s">
        <v>9</v>
      </c>
      <c r="I2122" s="126" t="s">
        <v>10</v>
      </c>
      <c r="J2122" s="126" t="s">
        <v>12</v>
      </c>
    </row>
    <row r="2123" spans="1:10" ht="48" customHeight="1" x14ac:dyDescent="0.2">
      <c r="A2123" s="116" t="s">
        <v>1861</v>
      </c>
      <c r="B2123" s="1" t="s">
        <v>524</v>
      </c>
      <c r="C2123" s="116" t="s">
        <v>25</v>
      </c>
      <c r="D2123" s="116" t="s">
        <v>525</v>
      </c>
      <c r="E2123" s="137" t="s">
        <v>1479</v>
      </c>
      <c r="F2123" s="137"/>
      <c r="G2123" s="2" t="s">
        <v>22</v>
      </c>
      <c r="H2123" s="115">
        <v>1</v>
      </c>
      <c r="I2123" s="61">
        <v>111.68</v>
      </c>
      <c r="J2123" s="61">
        <v>111.68</v>
      </c>
    </row>
    <row r="2124" spans="1:10" ht="24" customHeight="1" x14ac:dyDescent="0.2">
      <c r="A2124" s="121" t="s">
        <v>1888</v>
      </c>
      <c r="B2124" s="122" t="s">
        <v>2200</v>
      </c>
      <c r="C2124" s="121" t="s">
        <v>25</v>
      </c>
      <c r="D2124" s="121" t="s">
        <v>2199</v>
      </c>
      <c r="E2124" s="138" t="s">
        <v>1902</v>
      </c>
      <c r="F2124" s="138"/>
      <c r="G2124" s="120" t="s">
        <v>61</v>
      </c>
      <c r="H2124" s="119">
        <v>0.628</v>
      </c>
      <c r="I2124" s="118">
        <v>24.2</v>
      </c>
      <c r="J2124" s="118">
        <v>15.2</v>
      </c>
    </row>
    <row r="2125" spans="1:10" ht="24" customHeight="1" x14ac:dyDescent="0.2">
      <c r="A2125" s="121" t="s">
        <v>1888</v>
      </c>
      <c r="B2125" s="122" t="s">
        <v>1906</v>
      </c>
      <c r="C2125" s="121" t="s">
        <v>25</v>
      </c>
      <c r="D2125" s="121" t="s">
        <v>1905</v>
      </c>
      <c r="E2125" s="138" t="s">
        <v>1902</v>
      </c>
      <c r="F2125" s="138"/>
      <c r="G2125" s="120" t="s">
        <v>61</v>
      </c>
      <c r="H2125" s="119">
        <v>0.157</v>
      </c>
      <c r="I2125" s="118">
        <v>16.059999999999999</v>
      </c>
      <c r="J2125" s="118">
        <v>2.52</v>
      </c>
    </row>
    <row r="2126" spans="1:10" ht="24" customHeight="1" x14ac:dyDescent="0.2">
      <c r="A2126" s="113" t="s">
        <v>1859</v>
      </c>
      <c r="B2126" s="114" t="s">
        <v>2261</v>
      </c>
      <c r="C2126" s="113" t="s">
        <v>25</v>
      </c>
      <c r="D2126" s="113" t="s">
        <v>2260</v>
      </c>
      <c r="E2126" s="139" t="s">
        <v>1369</v>
      </c>
      <c r="F2126" s="139"/>
      <c r="G2126" s="112" t="s">
        <v>92</v>
      </c>
      <c r="H2126" s="111">
        <v>0.79249999999999998</v>
      </c>
      <c r="I2126" s="110">
        <v>2.82</v>
      </c>
      <c r="J2126" s="110">
        <v>2.23</v>
      </c>
    </row>
    <row r="2127" spans="1:10" ht="24" customHeight="1" x14ac:dyDescent="0.2">
      <c r="A2127" s="113" t="s">
        <v>1859</v>
      </c>
      <c r="B2127" s="114" t="s">
        <v>2259</v>
      </c>
      <c r="C2127" s="113" t="s">
        <v>25</v>
      </c>
      <c r="D2127" s="113" t="s">
        <v>2258</v>
      </c>
      <c r="E2127" s="139" t="s">
        <v>1369</v>
      </c>
      <c r="F2127" s="139"/>
      <c r="G2127" s="112" t="s">
        <v>92</v>
      </c>
      <c r="H2127" s="111">
        <v>2.5026999999999999</v>
      </c>
      <c r="I2127" s="110">
        <v>0.32</v>
      </c>
      <c r="J2127" s="110">
        <v>0.8</v>
      </c>
    </row>
    <row r="2128" spans="1:10" ht="36" customHeight="1" x14ac:dyDescent="0.2">
      <c r="A2128" s="113" t="s">
        <v>1859</v>
      </c>
      <c r="B2128" s="114" t="s">
        <v>2257</v>
      </c>
      <c r="C2128" s="113" t="s">
        <v>25</v>
      </c>
      <c r="D2128" s="113" t="s">
        <v>2256</v>
      </c>
      <c r="E2128" s="139" t="s">
        <v>1449</v>
      </c>
      <c r="F2128" s="139"/>
      <c r="G2128" s="112" t="s">
        <v>1303</v>
      </c>
      <c r="H2128" s="111">
        <v>1.0327</v>
      </c>
      <c r="I2128" s="110">
        <v>3.54</v>
      </c>
      <c r="J2128" s="110">
        <v>3.66</v>
      </c>
    </row>
    <row r="2129" spans="1:10" ht="36" customHeight="1" x14ac:dyDescent="0.2">
      <c r="A2129" s="113" t="s">
        <v>1859</v>
      </c>
      <c r="B2129" s="114" t="s">
        <v>2255</v>
      </c>
      <c r="C2129" s="113" t="s">
        <v>25</v>
      </c>
      <c r="D2129" s="113" t="s">
        <v>2254</v>
      </c>
      <c r="E2129" s="139" t="s">
        <v>1369</v>
      </c>
      <c r="F2129" s="139"/>
      <c r="G2129" s="112" t="s">
        <v>92</v>
      </c>
      <c r="H2129" s="111">
        <v>2.8999000000000001</v>
      </c>
      <c r="I2129" s="110">
        <v>10.99</v>
      </c>
      <c r="J2129" s="110">
        <v>31.87</v>
      </c>
    </row>
    <row r="2130" spans="1:10" ht="24" customHeight="1" x14ac:dyDescent="0.2">
      <c r="A2130" s="113" t="s">
        <v>1859</v>
      </c>
      <c r="B2130" s="114" t="s">
        <v>2253</v>
      </c>
      <c r="C2130" s="113" t="s">
        <v>25</v>
      </c>
      <c r="D2130" s="113" t="s">
        <v>2252</v>
      </c>
      <c r="E2130" s="139" t="s">
        <v>1369</v>
      </c>
      <c r="F2130" s="139"/>
      <c r="G2130" s="112" t="s">
        <v>236</v>
      </c>
      <c r="H2130" s="111">
        <v>20.0077</v>
      </c>
      <c r="I2130" s="110">
        <v>0.1</v>
      </c>
      <c r="J2130" s="110">
        <v>2</v>
      </c>
    </row>
    <row r="2131" spans="1:10" ht="24" customHeight="1" x14ac:dyDescent="0.2">
      <c r="A2131" s="113" t="s">
        <v>1859</v>
      </c>
      <c r="B2131" s="114" t="s">
        <v>2251</v>
      </c>
      <c r="C2131" s="113" t="s">
        <v>25</v>
      </c>
      <c r="D2131" s="113" t="s">
        <v>2250</v>
      </c>
      <c r="E2131" s="139" t="s">
        <v>1369</v>
      </c>
      <c r="F2131" s="139"/>
      <c r="G2131" s="112" t="s">
        <v>2196</v>
      </c>
      <c r="H2131" s="111">
        <v>2.9000000000000001E-2</v>
      </c>
      <c r="I2131" s="110">
        <v>47.42</v>
      </c>
      <c r="J2131" s="110">
        <v>1.38</v>
      </c>
    </row>
    <row r="2132" spans="1:10" ht="36" customHeight="1" x14ac:dyDescent="0.2">
      <c r="A2132" s="113" t="s">
        <v>1859</v>
      </c>
      <c r="B2132" s="114" t="s">
        <v>2249</v>
      </c>
      <c r="C2132" s="113" t="s">
        <v>25</v>
      </c>
      <c r="D2132" s="113" t="s">
        <v>2248</v>
      </c>
      <c r="E2132" s="139" t="s">
        <v>1369</v>
      </c>
      <c r="F2132" s="139"/>
      <c r="G2132" s="112" t="s">
        <v>92</v>
      </c>
      <c r="H2132" s="111">
        <v>0.9093</v>
      </c>
      <c r="I2132" s="110">
        <v>9.69</v>
      </c>
      <c r="J2132" s="110">
        <v>8.81</v>
      </c>
    </row>
    <row r="2133" spans="1:10" ht="24" customHeight="1" x14ac:dyDescent="0.2">
      <c r="A2133" s="113" t="s">
        <v>1859</v>
      </c>
      <c r="B2133" s="114" t="s">
        <v>2247</v>
      </c>
      <c r="C2133" s="113" t="s">
        <v>25</v>
      </c>
      <c r="D2133" s="113" t="s">
        <v>2246</v>
      </c>
      <c r="E2133" s="139" t="s">
        <v>1369</v>
      </c>
      <c r="F2133" s="139"/>
      <c r="G2133" s="112" t="s">
        <v>22</v>
      </c>
      <c r="H2133" s="111">
        <v>2.1059999999999999</v>
      </c>
      <c r="I2133" s="110">
        <v>20.41</v>
      </c>
      <c r="J2133" s="110">
        <v>42.98</v>
      </c>
    </row>
    <row r="2134" spans="1:10" ht="36" customHeight="1" x14ac:dyDescent="0.2">
      <c r="A2134" s="113" t="s">
        <v>1859</v>
      </c>
      <c r="B2134" s="114" t="s">
        <v>2245</v>
      </c>
      <c r="C2134" s="113" t="s">
        <v>25</v>
      </c>
      <c r="D2134" s="113" t="s">
        <v>2244</v>
      </c>
      <c r="E2134" s="139" t="s">
        <v>1369</v>
      </c>
      <c r="F2134" s="139"/>
      <c r="G2134" s="112" t="s">
        <v>236</v>
      </c>
      <c r="H2134" s="111">
        <v>0.91490000000000005</v>
      </c>
      <c r="I2134" s="110">
        <v>0.25</v>
      </c>
      <c r="J2134" s="110">
        <v>0.23</v>
      </c>
    </row>
    <row r="2135" spans="1:10" x14ac:dyDescent="0.2">
      <c r="A2135" s="109"/>
      <c r="B2135" s="109"/>
      <c r="C2135" s="109"/>
      <c r="D2135" s="109"/>
      <c r="E2135" s="109" t="s">
        <v>1858</v>
      </c>
      <c r="F2135" s="108">
        <v>1.67</v>
      </c>
      <c r="G2135" s="109" t="s">
        <v>1857</v>
      </c>
      <c r="H2135" s="108">
        <v>0</v>
      </c>
      <c r="I2135" s="109" t="s">
        <v>1856</v>
      </c>
      <c r="J2135" s="108">
        <v>1.67</v>
      </c>
    </row>
    <row r="2136" spans="1:10" ht="13.9" customHeight="1" x14ac:dyDescent="0.2">
      <c r="A2136" s="109"/>
      <c r="B2136" s="109"/>
      <c r="C2136" s="109"/>
      <c r="D2136" s="109"/>
      <c r="E2136" s="109" t="s">
        <v>1855</v>
      </c>
      <c r="F2136" s="108">
        <v>29.651039999999998</v>
      </c>
      <c r="G2136" s="109"/>
      <c r="H2136" s="140" t="s">
        <v>1854</v>
      </c>
      <c r="I2136" s="140"/>
      <c r="J2136" s="108">
        <v>141.33000000000001</v>
      </c>
    </row>
    <row r="2137" spans="1:10" ht="30" customHeight="1" thickBot="1" x14ac:dyDescent="0.25">
      <c r="A2137" s="100"/>
      <c r="B2137" s="100"/>
      <c r="C2137" s="100"/>
      <c r="D2137" s="100"/>
      <c r="E2137" s="100"/>
      <c r="F2137" s="100"/>
      <c r="G2137" s="100" t="s">
        <v>1853</v>
      </c>
      <c r="H2137" s="107">
        <v>75.08</v>
      </c>
      <c r="I2137" s="100" t="s">
        <v>1852</v>
      </c>
      <c r="J2137" s="102">
        <v>10611.06</v>
      </c>
    </row>
    <row r="2138" spans="1:10" ht="1.1499999999999999" customHeight="1" thickTop="1" x14ac:dyDescent="0.2">
      <c r="A2138" s="106"/>
      <c r="B2138" s="106"/>
      <c r="C2138" s="106"/>
      <c r="D2138" s="106"/>
      <c r="E2138" s="106"/>
      <c r="F2138" s="106"/>
      <c r="G2138" s="106"/>
      <c r="H2138" s="106"/>
      <c r="I2138" s="106"/>
      <c r="J2138" s="106"/>
    </row>
    <row r="2139" spans="1:10" ht="18" customHeight="1" x14ac:dyDescent="0.2">
      <c r="A2139" s="117" t="s">
        <v>526</v>
      </c>
      <c r="B2139" s="126" t="s">
        <v>5</v>
      </c>
      <c r="C2139" s="117" t="s">
        <v>6</v>
      </c>
      <c r="D2139" s="117" t="s">
        <v>7</v>
      </c>
      <c r="E2139" s="136" t="s">
        <v>1113</v>
      </c>
      <c r="F2139" s="136"/>
      <c r="G2139" s="7" t="s">
        <v>8</v>
      </c>
      <c r="H2139" s="126" t="s">
        <v>9</v>
      </c>
      <c r="I2139" s="126" t="s">
        <v>10</v>
      </c>
      <c r="J2139" s="126" t="s">
        <v>12</v>
      </c>
    </row>
    <row r="2140" spans="1:10" ht="36" customHeight="1" x14ac:dyDescent="0.2">
      <c r="A2140" s="116" t="s">
        <v>1861</v>
      </c>
      <c r="B2140" s="1" t="s">
        <v>1259</v>
      </c>
      <c r="C2140" s="116" t="s">
        <v>20</v>
      </c>
      <c r="D2140" s="116" t="s">
        <v>1258</v>
      </c>
      <c r="E2140" s="137">
        <v>27</v>
      </c>
      <c r="F2140" s="137"/>
      <c r="G2140" s="2" t="s">
        <v>22</v>
      </c>
      <c r="H2140" s="115">
        <v>1</v>
      </c>
      <c r="I2140" s="61">
        <v>124.6</v>
      </c>
      <c r="J2140" s="61">
        <v>124.6</v>
      </c>
    </row>
    <row r="2141" spans="1:10" ht="24" customHeight="1" x14ac:dyDescent="0.2">
      <c r="A2141" s="113" t="s">
        <v>1859</v>
      </c>
      <c r="B2141" s="114" t="s">
        <v>2243</v>
      </c>
      <c r="C2141" s="113" t="s">
        <v>20</v>
      </c>
      <c r="D2141" s="113" t="s">
        <v>2242</v>
      </c>
      <c r="E2141" s="139" t="s">
        <v>1369</v>
      </c>
      <c r="F2141" s="139"/>
      <c r="G2141" s="112" t="s">
        <v>96</v>
      </c>
      <c r="H2141" s="111">
        <v>2.0114000000000001</v>
      </c>
      <c r="I2141" s="110">
        <v>7.88</v>
      </c>
      <c r="J2141" s="110">
        <v>15.85</v>
      </c>
    </row>
    <row r="2142" spans="1:10" ht="24" customHeight="1" x14ac:dyDescent="0.2">
      <c r="A2142" s="113" t="s">
        <v>1859</v>
      </c>
      <c r="B2142" s="114" t="s">
        <v>2080</v>
      </c>
      <c r="C2142" s="113" t="s">
        <v>20</v>
      </c>
      <c r="D2142" s="113" t="s">
        <v>2079</v>
      </c>
      <c r="E2142" s="139" t="s">
        <v>1369</v>
      </c>
      <c r="F2142" s="139"/>
      <c r="G2142" s="112" t="s">
        <v>96</v>
      </c>
      <c r="H2142" s="111">
        <v>6.4000000000000003E-3</v>
      </c>
      <c r="I2142" s="110">
        <v>22.63</v>
      </c>
      <c r="J2142" s="110">
        <v>0.14000000000000001</v>
      </c>
    </row>
    <row r="2143" spans="1:10" ht="24" customHeight="1" x14ac:dyDescent="0.2">
      <c r="A2143" s="113" t="s">
        <v>1859</v>
      </c>
      <c r="B2143" s="114" t="s">
        <v>2082</v>
      </c>
      <c r="C2143" s="113" t="s">
        <v>20</v>
      </c>
      <c r="D2143" s="113" t="s">
        <v>2081</v>
      </c>
      <c r="E2143" s="139" t="s">
        <v>1369</v>
      </c>
      <c r="F2143" s="139"/>
      <c r="G2143" s="112" t="s">
        <v>96</v>
      </c>
      <c r="H2143" s="111">
        <v>1.2618</v>
      </c>
      <c r="I2143" s="110">
        <v>9.2200000000000006</v>
      </c>
      <c r="J2143" s="110">
        <v>11.63</v>
      </c>
    </row>
    <row r="2144" spans="1:10" ht="24" customHeight="1" x14ac:dyDescent="0.2">
      <c r="A2144" s="113" t="s">
        <v>1859</v>
      </c>
      <c r="B2144" s="114" t="s">
        <v>2074</v>
      </c>
      <c r="C2144" s="113" t="s">
        <v>20</v>
      </c>
      <c r="D2144" s="113" t="s">
        <v>2073</v>
      </c>
      <c r="E2144" s="139" t="s">
        <v>1369</v>
      </c>
      <c r="F2144" s="139"/>
      <c r="G2144" s="112" t="s">
        <v>96</v>
      </c>
      <c r="H2144" s="111">
        <v>7.46E-2</v>
      </c>
      <c r="I2144" s="110">
        <v>22.63</v>
      </c>
      <c r="J2144" s="110">
        <v>1.69</v>
      </c>
    </row>
    <row r="2145" spans="1:10" ht="24" customHeight="1" x14ac:dyDescent="0.2">
      <c r="A2145" s="113" t="s">
        <v>1859</v>
      </c>
      <c r="B2145" s="114" t="s">
        <v>2076</v>
      </c>
      <c r="C2145" s="113" t="s">
        <v>20</v>
      </c>
      <c r="D2145" s="113" t="s">
        <v>2075</v>
      </c>
      <c r="E2145" s="139" t="s">
        <v>1369</v>
      </c>
      <c r="F2145" s="139"/>
      <c r="G2145" s="112" t="s">
        <v>49</v>
      </c>
      <c r="H2145" s="111">
        <v>2.0899999999999998E-2</v>
      </c>
      <c r="I2145" s="110">
        <v>100.76</v>
      </c>
      <c r="J2145" s="110">
        <v>2.11</v>
      </c>
    </row>
    <row r="2146" spans="1:10" ht="24" customHeight="1" x14ac:dyDescent="0.2">
      <c r="A2146" s="113" t="s">
        <v>1859</v>
      </c>
      <c r="B2146" s="114" t="s">
        <v>2078</v>
      </c>
      <c r="C2146" s="113" t="s">
        <v>20</v>
      </c>
      <c r="D2146" s="113" t="s">
        <v>2077</v>
      </c>
      <c r="E2146" s="139" t="s">
        <v>1369</v>
      </c>
      <c r="F2146" s="139"/>
      <c r="G2146" s="112" t="s">
        <v>96</v>
      </c>
      <c r="H2146" s="111">
        <v>0.82499999999999996</v>
      </c>
      <c r="I2146" s="110">
        <v>8.41</v>
      </c>
      <c r="J2146" s="110">
        <v>6.94</v>
      </c>
    </row>
    <row r="2147" spans="1:10" ht="24" customHeight="1" x14ac:dyDescent="0.2">
      <c r="A2147" s="113" t="s">
        <v>1859</v>
      </c>
      <c r="B2147" s="114" t="s">
        <v>1899</v>
      </c>
      <c r="C2147" s="113" t="s">
        <v>20</v>
      </c>
      <c r="D2147" s="113" t="s">
        <v>1898</v>
      </c>
      <c r="E2147" s="139" t="s">
        <v>1369</v>
      </c>
      <c r="F2147" s="139"/>
      <c r="G2147" s="112" t="s">
        <v>49</v>
      </c>
      <c r="H2147" s="111">
        <v>5.6099999999999997E-2</v>
      </c>
      <c r="I2147" s="110">
        <v>162.78</v>
      </c>
      <c r="J2147" s="110">
        <v>9.1300000000000008</v>
      </c>
    </row>
    <row r="2148" spans="1:10" ht="24" customHeight="1" x14ac:dyDescent="0.2">
      <c r="A2148" s="113" t="s">
        <v>1859</v>
      </c>
      <c r="B2148" s="114" t="s">
        <v>2072</v>
      </c>
      <c r="C2148" s="113" t="s">
        <v>20</v>
      </c>
      <c r="D2148" s="113" t="s">
        <v>2071</v>
      </c>
      <c r="E2148" s="139" t="s">
        <v>1369</v>
      </c>
      <c r="F2148" s="139"/>
      <c r="G2148" s="112" t="s">
        <v>49</v>
      </c>
      <c r="H2148" s="111">
        <v>2.0899999999999998E-2</v>
      </c>
      <c r="I2148" s="110">
        <v>100.76</v>
      </c>
      <c r="J2148" s="110">
        <v>2.11</v>
      </c>
    </row>
    <row r="2149" spans="1:10" ht="24" customHeight="1" x14ac:dyDescent="0.2">
      <c r="A2149" s="113" t="s">
        <v>1859</v>
      </c>
      <c r="B2149" s="114" t="s">
        <v>2008</v>
      </c>
      <c r="C2149" s="113" t="s">
        <v>20</v>
      </c>
      <c r="D2149" s="113" t="s">
        <v>2007</v>
      </c>
      <c r="E2149" s="139" t="s">
        <v>1369</v>
      </c>
      <c r="F2149" s="139"/>
      <c r="G2149" s="112" t="s">
        <v>96</v>
      </c>
      <c r="H2149" s="111">
        <v>1.6896</v>
      </c>
      <c r="I2149" s="110">
        <v>0.75</v>
      </c>
      <c r="J2149" s="110">
        <v>1.27</v>
      </c>
    </row>
    <row r="2150" spans="1:10" ht="24" customHeight="1" x14ac:dyDescent="0.2">
      <c r="A2150" s="113" t="s">
        <v>1859</v>
      </c>
      <c r="B2150" s="114" t="s">
        <v>1897</v>
      </c>
      <c r="C2150" s="113" t="s">
        <v>20</v>
      </c>
      <c r="D2150" s="113" t="s">
        <v>1896</v>
      </c>
      <c r="E2150" s="139" t="s">
        <v>1369</v>
      </c>
      <c r="F2150" s="139"/>
      <c r="G2150" s="112" t="s">
        <v>96</v>
      </c>
      <c r="H2150" s="111">
        <v>16.686399999999999</v>
      </c>
      <c r="I2150" s="110">
        <v>0.6</v>
      </c>
      <c r="J2150" s="110">
        <v>10.01</v>
      </c>
    </row>
    <row r="2151" spans="1:10" ht="24" customHeight="1" x14ac:dyDescent="0.2">
      <c r="A2151" s="113" t="s">
        <v>1859</v>
      </c>
      <c r="B2151" s="114" t="s">
        <v>2066</v>
      </c>
      <c r="C2151" s="113" t="s">
        <v>20</v>
      </c>
      <c r="D2151" s="113" t="s">
        <v>2065</v>
      </c>
      <c r="E2151" s="139" t="s">
        <v>1369</v>
      </c>
      <c r="F2151" s="139"/>
      <c r="G2151" s="112" t="s">
        <v>96</v>
      </c>
      <c r="H2151" s="111">
        <v>3.2099999999999997E-2</v>
      </c>
      <c r="I2151" s="110">
        <v>18.170000000000002</v>
      </c>
      <c r="J2151" s="110">
        <v>0.57999999999999996</v>
      </c>
    </row>
    <row r="2152" spans="1:10" ht="24" customHeight="1" x14ac:dyDescent="0.2">
      <c r="A2152" s="113" t="s">
        <v>1859</v>
      </c>
      <c r="B2152" s="114" t="s">
        <v>2241</v>
      </c>
      <c r="C2152" s="113" t="s">
        <v>20</v>
      </c>
      <c r="D2152" s="113" t="s">
        <v>2240</v>
      </c>
      <c r="E2152" s="139" t="s">
        <v>1369</v>
      </c>
      <c r="F2152" s="139"/>
      <c r="G2152" s="112" t="s">
        <v>246</v>
      </c>
      <c r="H2152" s="111">
        <v>20.924800000000001</v>
      </c>
      <c r="I2152" s="110">
        <v>0.88</v>
      </c>
      <c r="J2152" s="110">
        <v>18.41</v>
      </c>
    </row>
    <row r="2153" spans="1:10" ht="24" customHeight="1" x14ac:dyDescent="0.2">
      <c r="A2153" s="113" t="s">
        <v>1859</v>
      </c>
      <c r="B2153" s="114" t="s">
        <v>2239</v>
      </c>
      <c r="C2153" s="113" t="s">
        <v>20</v>
      </c>
      <c r="D2153" s="113" t="s">
        <v>2238</v>
      </c>
      <c r="E2153" s="139" t="s">
        <v>1369</v>
      </c>
      <c r="F2153" s="139"/>
      <c r="G2153" s="112" t="s">
        <v>213</v>
      </c>
      <c r="H2153" s="111">
        <v>0.28460000000000002</v>
      </c>
      <c r="I2153" s="110">
        <v>9.7100000000000009</v>
      </c>
      <c r="J2153" s="110">
        <v>2.76</v>
      </c>
    </row>
    <row r="2154" spans="1:10" ht="24" customHeight="1" x14ac:dyDescent="0.2">
      <c r="A2154" s="113" t="s">
        <v>1859</v>
      </c>
      <c r="B2154" s="114" t="s">
        <v>2068</v>
      </c>
      <c r="C2154" s="113" t="s">
        <v>20</v>
      </c>
      <c r="D2154" s="113" t="s">
        <v>2067</v>
      </c>
      <c r="E2154" s="139" t="s">
        <v>1369</v>
      </c>
      <c r="F2154" s="139"/>
      <c r="G2154" s="112" t="s">
        <v>213</v>
      </c>
      <c r="H2154" s="111">
        <v>0.44359999999999999</v>
      </c>
      <c r="I2154" s="110">
        <v>15.39</v>
      </c>
      <c r="J2154" s="110">
        <v>6.83</v>
      </c>
    </row>
    <row r="2155" spans="1:10" ht="24" customHeight="1" x14ac:dyDescent="0.2">
      <c r="A2155" s="113" t="s">
        <v>1859</v>
      </c>
      <c r="B2155" s="114" t="s">
        <v>1951</v>
      </c>
      <c r="C2155" s="113" t="s">
        <v>20</v>
      </c>
      <c r="D2155" s="113" t="s">
        <v>1950</v>
      </c>
      <c r="E2155" s="139" t="s">
        <v>1860</v>
      </c>
      <c r="F2155" s="139"/>
      <c r="G2155" s="112" t="s">
        <v>1864</v>
      </c>
      <c r="H2155" s="111">
        <v>0.43180000000000002</v>
      </c>
      <c r="I2155" s="110">
        <v>10.62</v>
      </c>
      <c r="J2155" s="110">
        <v>4.59</v>
      </c>
    </row>
    <row r="2156" spans="1:10" ht="24" customHeight="1" x14ac:dyDescent="0.2">
      <c r="A2156" s="113" t="s">
        <v>1859</v>
      </c>
      <c r="B2156" s="114" t="s">
        <v>2064</v>
      </c>
      <c r="C2156" s="113" t="s">
        <v>20</v>
      </c>
      <c r="D2156" s="113" t="s">
        <v>2063</v>
      </c>
      <c r="E2156" s="139" t="s">
        <v>1860</v>
      </c>
      <c r="F2156" s="139"/>
      <c r="G2156" s="112" t="s">
        <v>1864</v>
      </c>
      <c r="H2156" s="111">
        <v>0.28639999999999999</v>
      </c>
      <c r="I2156" s="110">
        <v>15.97</v>
      </c>
      <c r="J2156" s="110">
        <v>4.57</v>
      </c>
    </row>
    <row r="2157" spans="1:10" ht="24" customHeight="1" x14ac:dyDescent="0.2">
      <c r="A2157" s="113" t="s">
        <v>1859</v>
      </c>
      <c r="B2157" s="114" t="s">
        <v>2062</v>
      </c>
      <c r="C2157" s="113" t="s">
        <v>20</v>
      </c>
      <c r="D2157" s="113" t="s">
        <v>2061</v>
      </c>
      <c r="E2157" s="139" t="s">
        <v>1860</v>
      </c>
      <c r="F2157" s="139"/>
      <c r="G2157" s="112" t="s">
        <v>1864</v>
      </c>
      <c r="H2157" s="111">
        <v>9.1399999999999995E-2</v>
      </c>
      <c r="I2157" s="110">
        <v>12.74</v>
      </c>
      <c r="J2157" s="110">
        <v>1.1599999999999999</v>
      </c>
    </row>
    <row r="2158" spans="1:10" ht="24" customHeight="1" x14ac:dyDescent="0.2">
      <c r="A2158" s="113" t="s">
        <v>1859</v>
      </c>
      <c r="B2158" s="114" t="s">
        <v>1866</v>
      </c>
      <c r="C2158" s="113" t="s">
        <v>20</v>
      </c>
      <c r="D2158" s="113" t="s">
        <v>1865</v>
      </c>
      <c r="E2158" s="139" t="s">
        <v>1860</v>
      </c>
      <c r="F2158" s="139"/>
      <c r="G2158" s="112" t="s">
        <v>1864</v>
      </c>
      <c r="H2158" s="111">
        <v>0.56969999999999998</v>
      </c>
      <c r="I2158" s="110">
        <v>15.97</v>
      </c>
      <c r="J2158" s="110">
        <v>9.1</v>
      </c>
    </row>
    <row r="2159" spans="1:10" ht="24" customHeight="1" x14ac:dyDescent="0.2">
      <c r="A2159" s="113" t="s">
        <v>1859</v>
      </c>
      <c r="B2159" s="114" t="s">
        <v>1872</v>
      </c>
      <c r="C2159" s="113" t="s">
        <v>20</v>
      </c>
      <c r="D2159" s="113" t="s">
        <v>1871</v>
      </c>
      <c r="E2159" s="139" t="s">
        <v>1860</v>
      </c>
      <c r="F2159" s="139"/>
      <c r="G2159" s="112" t="s">
        <v>1864</v>
      </c>
      <c r="H2159" s="111">
        <v>1.2712000000000001</v>
      </c>
      <c r="I2159" s="110">
        <v>10.62</v>
      </c>
      <c r="J2159" s="110">
        <v>13.5</v>
      </c>
    </row>
    <row r="2160" spans="1:10" ht="24" customHeight="1" x14ac:dyDescent="0.2">
      <c r="A2160" s="113" t="s">
        <v>1859</v>
      </c>
      <c r="B2160" s="114" t="s">
        <v>2060</v>
      </c>
      <c r="C2160" s="113" t="s">
        <v>20</v>
      </c>
      <c r="D2160" s="113" t="s">
        <v>2059</v>
      </c>
      <c r="E2160" s="139" t="s">
        <v>1860</v>
      </c>
      <c r="F2160" s="139"/>
      <c r="G2160" s="112" t="s">
        <v>1864</v>
      </c>
      <c r="H2160" s="111">
        <v>0.1389</v>
      </c>
      <c r="I2160" s="110">
        <v>15.97</v>
      </c>
      <c r="J2160" s="110">
        <v>2.2200000000000002</v>
      </c>
    </row>
    <row r="2161" spans="1:10" x14ac:dyDescent="0.2">
      <c r="A2161" s="109"/>
      <c r="B2161" s="109"/>
      <c r="C2161" s="109"/>
      <c r="D2161" s="109"/>
      <c r="E2161" s="109" t="s">
        <v>1858</v>
      </c>
      <c r="F2161" s="108">
        <v>35.14</v>
      </c>
      <c r="G2161" s="109" t="s">
        <v>1857</v>
      </c>
      <c r="H2161" s="108">
        <v>0</v>
      </c>
      <c r="I2161" s="109" t="s">
        <v>1856</v>
      </c>
      <c r="J2161" s="108">
        <v>35.14</v>
      </c>
    </row>
    <row r="2162" spans="1:10" ht="13.9" customHeight="1" x14ac:dyDescent="0.2">
      <c r="A2162" s="109"/>
      <c r="B2162" s="109"/>
      <c r="C2162" s="109"/>
      <c r="D2162" s="109"/>
      <c r="E2162" s="109" t="s">
        <v>1855</v>
      </c>
      <c r="F2162" s="108">
        <v>33.081299999999999</v>
      </c>
      <c r="G2162" s="109"/>
      <c r="H2162" s="140" t="s">
        <v>1854</v>
      </c>
      <c r="I2162" s="140"/>
      <c r="J2162" s="108">
        <v>157.68</v>
      </c>
    </row>
    <row r="2163" spans="1:10" ht="30" customHeight="1" thickBot="1" x14ac:dyDescent="0.25">
      <c r="A2163" s="100"/>
      <c r="B2163" s="100"/>
      <c r="C2163" s="100"/>
      <c r="D2163" s="100"/>
      <c r="E2163" s="100"/>
      <c r="F2163" s="100"/>
      <c r="G2163" s="100" t="s">
        <v>1853</v>
      </c>
      <c r="H2163" s="107">
        <v>10.25</v>
      </c>
      <c r="I2163" s="100" t="s">
        <v>1852</v>
      </c>
      <c r="J2163" s="102">
        <v>1616.22</v>
      </c>
    </row>
    <row r="2164" spans="1:10" ht="1.1499999999999999" customHeight="1" thickTop="1" x14ac:dyDescent="0.2">
      <c r="A2164" s="106"/>
      <c r="B2164" s="106"/>
      <c r="C2164" s="106"/>
      <c r="D2164" s="106"/>
      <c r="E2164" s="106"/>
      <c r="F2164" s="106"/>
      <c r="G2164" s="106"/>
      <c r="H2164" s="106"/>
      <c r="I2164" s="106"/>
      <c r="J2164" s="106"/>
    </row>
    <row r="2165" spans="1:10" ht="18" customHeight="1" x14ac:dyDescent="0.2">
      <c r="A2165" s="117" t="s">
        <v>527</v>
      </c>
      <c r="B2165" s="126" t="s">
        <v>5</v>
      </c>
      <c r="C2165" s="117" t="s">
        <v>6</v>
      </c>
      <c r="D2165" s="117" t="s">
        <v>7</v>
      </c>
      <c r="E2165" s="136" t="s">
        <v>1113</v>
      </c>
      <c r="F2165" s="136"/>
      <c r="G2165" s="7" t="s">
        <v>8</v>
      </c>
      <c r="H2165" s="126" t="s">
        <v>9</v>
      </c>
      <c r="I2165" s="126" t="s">
        <v>10</v>
      </c>
      <c r="J2165" s="126" t="s">
        <v>12</v>
      </c>
    </row>
    <row r="2166" spans="1:10" ht="24" customHeight="1" x14ac:dyDescent="0.2">
      <c r="A2166" s="116" t="s">
        <v>1861</v>
      </c>
      <c r="B2166" s="1" t="s">
        <v>528</v>
      </c>
      <c r="C2166" s="116" t="s">
        <v>20</v>
      </c>
      <c r="D2166" s="116" t="s">
        <v>529</v>
      </c>
      <c r="E2166" s="137">
        <v>10</v>
      </c>
      <c r="F2166" s="137"/>
      <c r="G2166" s="2" t="s">
        <v>22</v>
      </c>
      <c r="H2166" s="115">
        <v>1</v>
      </c>
      <c r="I2166" s="61">
        <v>105.38</v>
      </c>
      <c r="J2166" s="61">
        <v>105.38</v>
      </c>
    </row>
    <row r="2167" spans="1:10" ht="24" customHeight="1" x14ac:dyDescent="0.2">
      <c r="A2167" s="113" t="s">
        <v>1859</v>
      </c>
      <c r="B2167" s="114" t="s">
        <v>1899</v>
      </c>
      <c r="C2167" s="113" t="s">
        <v>20</v>
      </c>
      <c r="D2167" s="113" t="s">
        <v>1898</v>
      </c>
      <c r="E2167" s="139" t="s">
        <v>1369</v>
      </c>
      <c r="F2167" s="139"/>
      <c r="G2167" s="112" t="s">
        <v>49</v>
      </c>
      <c r="H2167" s="111">
        <v>4.8999999999999998E-3</v>
      </c>
      <c r="I2167" s="110">
        <v>162.78</v>
      </c>
      <c r="J2167" s="110">
        <v>0.8</v>
      </c>
    </row>
    <row r="2168" spans="1:10" ht="24" customHeight="1" x14ac:dyDescent="0.2">
      <c r="A2168" s="113" t="s">
        <v>1859</v>
      </c>
      <c r="B2168" s="114" t="s">
        <v>2237</v>
      </c>
      <c r="C2168" s="113" t="s">
        <v>20</v>
      </c>
      <c r="D2168" s="113" t="s">
        <v>2236</v>
      </c>
      <c r="E2168" s="139" t="s">
        <v>1369</v>
      </c>
      <c r="F2168" s="139"/>
      <c r="G2168" s="112" t="s">
        <v>22</v>
      </c>
      <c r="H2168" s="111">
        <v>1</v>
      </c>
      <c r="I2168" s="110">
        <v>63.41</v>
      </c>
      <c r="J2168" s="110">
        <v>63.41</v>
      </c>
    </row>
    <row r="2169" spans="1:10" ht="24" customHeight="1" x14ac:dyDescent="0.2">
      <c r="A2169" s="113" t="s">
        <v>1859</v>
      </c>
      <c r="B2169" s="114" t="s">
        <v>1897</v>
      </c>
      <c r="C2169" s="113" t="s">
        <v>20</v>
      </c>
      <c r="D2169" s="113" t="s">
        <v>1896</v>
      </c>
      <c r="E2169" s="139" t="s">
        <v>1369</v>
      </c>
      <c r="F2169" s="139"/>
      <c r="G2169" s="112" t="s">
        <v>96</v>
      </c>
      <c r="H2169" s="111">
        <v>2.13</v>
      </c>
      <c r="I2169" s="110">
        <v>0.6</v>
      </c>
      <c r="J2169" s="110">
        <v>1.28</v>
      </c>
    </row>
    <row r="2170" spans="1:10" ht="24" customHeight="1" x14ac:dyDescent="0.2">
      <c r="A2170" s="113" t="s">
        <v>1859</v>
      </c>
      <c r="B2170" s="114" t="s">
        <v>1866</v>
      </c>
      <c r="C2170" s="113" t="s">
        <v>20</v>
      </c>
      <c r="D2170" s="113" t="s">
        <v>1865</v>
      </c>
      <c r="E2170" s="139" t="s">
        <v>1860</v>
      </c>
      <c r="F2170" s="139"/>
      <c r="G2170" s="112" t="s">
        <v>1864</v>
      </c>
      <c r="H2170" s="111">
        <v>1.6</v>
      </c>
      <c r="I2170" s="110">
        <v>15.97</v>
      </c>
      <c r="J2170" s="110">
        <v>25.55</v>
      </c>
    </row>
    <row r="2171" spans="1:10" ht="24" customHeight="1" x14ac:dyDescent="0.2">
      <c r="A2171" s="113" t="s">
        <v>1859</v>
      </c>
      <c r="B2171" s="114" t="s">
        <v>1872</v>
      </c>
      <c r="C2171" s="113" t="s">
        <v>20</v>
      </c>
      <c r="D2171" s="113" t="s">
        <v>1871</v>
      </c>
      <c r="E2171" s="139" t="s">
        <v>1860</v>
      </c>
      <c r="F2171" s="139"/>
      <c r="G2171" s="112" t="s">
        <v>1864</v>
      </c>
      <c r="H2171" s="111">
        <v>1.35</v>
      </c>
      <c r="I2171" s="110">
        <v>10.62</v>
      </c>
      <c r="J2171" s="110">
        <v>14.34</v>
      </c>
    </row>
    <row r="2172" spans="1:10" x14ac:dyDescent="0.2">
      <c r="A2172" s="109"/>
      <c r="B2172" s="109"/>
      <c r="C2172" s="109"/>
      <c r="D2172" s="109"/>
      <c r="E2172" s="109" t="s">
        <v>1858</v>
      </c>
      <c r="F2172" s="108">
        <v>39.89</v>
      </c>
      <c r="G2172" s="109" t="s">
        <v>1857</v>
      </c>
      <c r="H2172" s="108">
        <v>0</v>
      </c>
      <c r="I2172" s="109" t="s">
        <v>1856</v>
      </c>
      <c r="J2172" s="108">
        <v>39.89</v>
      </c>
    </row>
    <row r="2173" spans="1:10" ht="13.9" customHeight="1" x14ac:dyDescent="0.2">
      <c r="A2173" s="109"/>
      <c r="B2173" s="109"/>
      <c r="C2173" s="109"/>
      <c r="D2173" s="109"/>
      <c r="E2173" s="109" t="s">
        <v>1855</v>
      </c>
      <c r="F2173" s="108">
        <v>27.978390000000001</v>
      </c>
      <c r="G2173" s="109"/>
      <c r="H2173" s="140" t="s">
        <v>1854</v>
      </c>
      <c r="I2173" s="140"/>
      <c r="J2173" s="108">
        <v>133.36000000000001</v>
      </c>
    </row>
    <row r="2174" spans="1:10" ht="30" customHeight="1" thickBot="1" x14ac:dyDescent="0.25">
      <c r="A2174" s="100"/>
      <c r="B2174" s="100"/>
      <c r="C2174" s="100"/>
      <c r="D2174" s="100"/>
      <c r="E2174" s="100"/>
      <c r="F2174" s="100"/>
      <c r="G2174" s="100" t="s">
        <v>1853</v>
      </c>
      <c r="H2174" s="107">
        <v>40.1</v>
      </c>
      <c r="I2174" s="100" t="s">
        <v>1852</v>
      </c>
      <c r="J2174" s="102">
        <v>5347.74</v>
      </c>
    </row>
    <row r="2175" spans="1:10" ht="1.1499999999999999" customHeight="1" thickTop="1" x14ac:dyDescent="0.2">
      <c r="A2175" s="106"/>
      <c r="B2175" s="106"/>
      <c r="C2175" s="106"/>
      <c r="D2175" s="106"/>
      <c r="E2175" s="106"/>
      <c r="F2175" s="106"/>
      <c r="G2175" s="106"/>
      <c r="H2175" s="106"/>
      <c r="I2175" s="106"/>
      <c r="J2175" s="106"/>
    </row>
    <row r="2176" spans="1:10" ht="18" customHeight="1" x14ac:dyDescent="0.2">
      <c r="A2176" s="117" t="s">
        <v>530</v>
      </c>
      <c r="B2176" s="126" t="s">
        <v>5</v>
      </c>
      <c r="C2176" s="117" t="s">
        <v>6</v>
      </c>
      <c r="D2176" s="117" t="s">
        <v>7</v>
      </c>
      <c r="E2176" s="136" t="s">
        <v>1113</v>
      </c>
      <c r="F2176" s="136"/>
      <c r="G2176" s="7" t="s">
        <v>8</v>
      </c>
      <c r="H2176" s="126" t="s">
        <v>9</v>
      </c>
      <c r="I2176" s="126" t="s">
        <v>10</v>
      </c>
      <c r="J2176" s="126" t="s">
        <v>12</v>
      </c>
    </row>
    <row r="2177" spans="1:10" ht="24" customHeight="1" x14ac:dyDescent="0.2">
      <c r="A2177" s="116" t="s">
        <v>1861</v>
      </c>
      <c r="B2177" s="1" t="s">
        <v>1257</v>
      </c>
      <c r="C2177" s="116" t="s">
        <v>25</v>
      </c>
      <c r="D2177" s="116" t="s">
        <v>1256</v>
      </c>
      <c r="E2177" s="137" t="s">
        <v>1424</v>
      </c>
      <c r="F2177" s="137"/>
      <c r="G2177" s="2" t="s">
        <v>22</v>
      </c>
      <c r="H2177" s="115">
        <v>1</v>
      </c>
      <c r="I2177" s="61">
        <v>13.56</v>
      </c>
      <c r="J2177" s="61">
        <v>13.56</v>
      </c>
    </row>
    <row r="2178" spans="1:10" ht="24" customHeight="1" x14ac:dyDescent="0.2">
      <c r="A2178" s="121" t="s">
        <v>1888</v>
      </c>
      <c r="B2178" s="122" t="s">
        <v>1919</v>
      </c>
      <c r="C2178" s="121" t="s">
        <v>25</v>
      </c>
      <c r="D2178" s="121" t="s">
        <v>1918</v>
      </c>
      <c r="E2178" s="138" t="s">
        <v>1902</v>
      </c>
      <c r="F2178" s="138"/>
      <c r="G2178" s="120" t="s">
        <v>61</v>
      </c>
      <c r="H2178" s="119">
        <v>0.187</v>
      </c>
      <c r="I2178" s="118">
        <v>22.61</v>
      </c>
      <c r="J2178" s="118">
        <v>4.2300000000000004</v>
      </c>
    </row>
    <row r="2179" spans="1:10" ht="24" customHeight="1" x14ac:dyDescent="0.2">
      <c r="A2179" s="121" t="s">
        <v>1888</v>
      </c>
      <c r="B2179" s="122" t="s">
        <v>1906</v>
      </c>
      <c r="C2179" s="121" t="s">
        <v>25</v>
      </c>
      <c r="D2179" s="121" t="s">
        <v>1905</v>
      </c>
      <c r="E2179" s="138" t="s">
        <v>1902</v>
      </c>
      <c r="F2179" s="138"/>
      <c r="G2179" s="120" t="s">
        <v>61</v>
      </c>
      <c r="H2179" s="119">
        <v>6.9000000000000006E-2</v>
      </c>
      <c r="I2179" s="118">
        <v>16.059999999999999</v>
      </c>
      <c r="J2179" s="118">
        <v>1.1100000000000001</v>
      </c>
    </row>
    <row r="2180" spans="1:10" ht="24" customHeight="1" x14ac:dyDescent="0.2">
      <c r="A2180" s="113" t="s">
        <v>1859</v>
      </c>
      <c r="B2180" s="114" t="s">
        <v>2235</v>
      </c>
      <c r="C2180" s="113" t="s">
        <v>25</v>
      </c>
      <c r="D2180" s="113" t="s">
        <v>2234</v>
      </c>
      <c r="E2180" s="139" t="s">
        <v>1369</v>
      </c>
      <c r="F2180" s="139"/>
      <c r="G2180" s="112" t="s">
        <v>1562</v>
      </c>
      <c r="H2180" s="111">
        <v>0.33</v>
      </c>
      <c r="I2180" s="110">
        <v>24.92</v>
      </c>
      <c r="J2180" s="110">
        <v>8.2200000000000006</v>
      </c>
    </row>
    <row r="2181" spans="1:10" x14ac:dyDescent="0.2">
      <c r="A2181" s="109"/>
      <c r="B2181" s="109"/>
      <c r="C2181" s="109"/>
      <c r="D2181" s="109"/>
      <c r="E2181" s="109" t="s">
        <v>1858</v>
      </c>
      <c r="F2181" s="108">
        <v>3.7</v>
      </c>
      <c r="G2181" s="109" t="s">
        <v>1857</v>
      </c>
      <c r="H2181" s="108">
        <v>0</v>
      </c>
      <c r="I2181" s="109" t="s">
        <v>1856</v>
      </c>
      <c r="J2181" s="108">
        <v>3.7</v>
      </c>
    </row>
    <row r="2182" spans="1:10" ht="13.9" customHeight="1" x14ac:dyDescent="0.2">
      <c r="A2182" s="109"/>
      <c r="B2182" s="109"/>
      <c r="C2182" s="109"/>
      <c r="D2182" s="109"/>
      <c r="E2182" s="109" t="s">
        <v>1855</v>
      </c>
      <c r="F2182" s="108">
        <v>3.6001799999999999</v>
      </c>
      <c r="G2182" s="109"/>
      <c r="H2182" s="140" t="s">
        <v>1854</v>
      </c>
      <c r="I2182" s="140"/>
      <c r="J2182" s="108">
        <v>17.16</v>
      </c>
    </row>
    <row r="2183" spans="1:10" ht="30" customHeight="1" thickBot="1" x14ac:dyDescent="0.25">
      <c r="A2183" s="100"/>
      <c r="B2183" s="100"/>
      <c r="C2183" s="100"/>
      <c r="D2183" s="100"/>
      <c r="E2183" s="100"/>
      <c r="F2183" s="100"/>
      <c r="G2183" s="100" t="s">
        <v>1853</v>
      </c>
      <c r="H2183" s="107">
        <v>80.2</v>
      </c>
      <c r="I2183" s="100" t="s">
        <v>1852</v>
      </c>
      <c r="J2183" s="102">
        <v>1376.23</v>
      </c>
    </row>
    <row r="2184" spans="1:10" ht="1.1499999999999999" customHeight="1" thickTop="1" x14ac:dyDescent="0.2">
      <c r="A2184" s="106"/>
      <c r="B2184" s="106"/>
      <c r="C2184" s="106"/>
      <c r="D2184" s="106"/>
      <c r="E2184" s="106"/>
      <c r="F2184" s="106"/>
      <c r="G2184" s="106"/>
      <c r="H2184" s="106"/>
      <c r="I2184" s="106"/>
      <c r="J2184" s="106"/>
    </row>
    <row r="2185" spans="1:10" ht="18" customHeight="1" x14ac:dyDescent="0.2">
      <c r="A2185" s="117" t="s">
        <v>533</v>
      </c>
      <c r="B2185" s="126" t="s">
        <v>5</v>
      </c>
      <c r="C2185" s="117" t="s">
        <v>6</v>
      </c>
      <c r="D2185" s="117" t="s">
        <v>7</v>
      </c>
      <c r="E2185" s="136" t="s">
        <v>1113</v>
      </c>
      <c r="F2185" s="136"/>
      <c r="G2185" s="7" t="s">
        <v>8</v>
      </c>
      <c r="H2185" s="126" t="s">
        <v>9</v>
      </c>
      <c r="I2185" s="126" t="s">
        <v>10</v>
      </c>
      <c r="J2185" s="126" t="s">
        <v>12</v>
      </c>
    </row>
    <row r="2186" spans="1:10" ht="24" customHeight="1" x14ac:dyDescent="0.2">
      <c r="A2186" s="116" t="s">
        <v>1861</v>
      </c>
      <c r="B2186" s="1" t="s">
        <v>531</v>
      </c>
      <c r="C2186" s="116" t="s">
        <v>20</v>
      </c>
      <c r="D2186" s="116" t="s">
        <v>532</v>
      </c>
      <c r="E2186" s="137">
        <v>15</v>
      </c>
      <c r="F2186" s="137"/>
      <c r="G2186" s="2" t="s">
        <v>96</v>
      </c>
      <c r="H2186" s="115">
        <v>1</v>
      </c>
      <c r="I2186" s="61">
        <v>21.85</v>
      </c>
      <c r="J2186" s="61">
        <v>21.85</v>
      </c>
    </row>
    <row r="2187" spans="1:10" ht="24" customHeight="1" x14ac:dyDescent="0.2">
      <c r="A2187" s="113" t="s">
        <v>1859</v>
      </c>
      <c r="B2187" s="114" t="s">
        <v>2233</v>
      </c>
      <c r="C2187" s="113" t="s">
        <v>20</v>
      </c>
      <c r="D2187" s="113" t="s">
        <v>2232</v>
      </c>
      <c r="E2187" s="139" t="s">
        <v>1369</v>
      </c>
      <c r="F2187" s="139"/>
      <c r="G2187" s="112" t="s">
        <v>96</v>
      </c>
      <c r="H2187" s="111">
        <v>1.1000000000000001</v>
      </c>
      <c r="I2187" s="110">
        <v>19.86</v>
      </c>
      <c r="J2187" s="110">
        <v>21.85</v>
      </c>
    </row>
    <row r="2188" spans="1:10" x14ac:dyDescent="0.2">
      <c r="A2188" s="109"/>
      <c r="B2188" s="109"/>
      <c r="C2188" s="109"/>
      <c r="D2188" s="109"/>
      <c r="E2188" s="109" t="s">
        <v>1858</v>
      </c>
      <c r="F2188" s="108">
        <v>0</v>
      </c>
      <c r="G2188" s="109" t="s">
        <v>1857</v>
      </c>
      <c r="H2188" s="108">
        <v>0</v>
      </c>
      <c r="I2188" s="109" t="s">
        <v>1856</v>
      </c>
      <c r="J2188" s="108">
        <v>0</v>
      </c>
    </row>
    <row r="2189" spans="1:10" ht="13.9" customHeight="1" x14ac:dyDescent="0.2">
      <c r="A2189" s="109"/>
      <c r="B2189" s="109"/>
      <c r="C2189" s="109"/>
      <c r="D2189" s="109"/>
      <c r="E2189" s="109" t="s">
        <v>1855</v>
      </c>
      <c r="F2189" s="108">
        <v>5.8011749999999997</v>
      </c>
      <c r="G2189" s="109"/>
      <c r="H2189" s="140" t="s">
        <v>1854</v>
      </c>
      <c r="I2189" s="140"/>
      <c r="J2189" s="108">
        <v>27.65</v>
      </c>
    </row>
    <row r="2190" spans="1:10" ht="30" customHeight="1" thickBot="1" x14ac:dyDescent="0.25">
      <c r="A2190" s="100"/>
      <c r="B2190" s="100"/>
      <c r="C2190" s="100"/>
      <c r="D2190" s="100"/>
      <c r="E2190" s="100"/>
      <c r="F2190" s="100"/>
      <c r="G2190" s="100" t="s">
        <v>1853</v>
      </c>
      <c r="H2190" s="107">
        <v>423.87</v>
      </c>
      <c r="I2190" s="100" t="s">
        <v>1852</v>
      </c>
      <c r="J2190" s="102">
        <v>11720.01</v>
      </c>
    </row>
    <row r="2191" spans="1:10" ht="1.1499999999999999" customHeight="1" thickTop="1" x14ac:dyDescent="0.2">
      <c r="A2191" s="106"/>
      <c r="B2191" s="106"/>
      <c r="C2191" s="106"/>
      <c r="D2191" s="106"/>
      <c r="E2191" s="106"/>
      <c r="F2191" s="106"/>
      <c r="G2191" s="106"/>
      <c r="H2191" s="106"/>
      <c r="I2191" s="106"/>
      <c r="J2191" s="106"/>
    </row>
    <row r="2192" spans="1:10" ht="18" customHeight="1" x14ac:dyDescent="0.2">
      <c r="A2192" s="117" t="s">
        <v>1255</v>
      </c>
      <c r="B2192" s="126" t="s">
        <v>5</v>
      </c>
      <c r="C2192" s="117" t="s">
        <v>6</v>
      </c>
      <c r="D2192" s="117" t="s">
        <v>7</v>
      </c>
      <c r="E2192" s="136" t="s">
        <v>1113</v>
      </c>
      <c r="F2192" s="136"/>
      <c r="G2192" s="7" t="s">
        <v>8</v>
      </c>
      <c r="H2192" s="126" t="s">
        <v>9</v>
      </c>
      <c r="I2192" s="126" t="s">
        <v>10</v>
      </c>
      <c r="J2192" s="126" t="s">
        <v>12</v>
      </c>
    </row>
    <row r="2193" spans="1:10" ht="24" customHeight="1" x14ac:dyDescent="0.2">
      <c r="A2193" s="116" t="s">
        <v>1861</v>
      </c>
      <c r="B2193" s="1" t="s">
        <v>534</v>
      </c>
      <c r="C2193" s="116" t="s">
        <v>20</v>
      </c>
      <c r="D2193" s="116" t="s">
        <v>535</v>
      </c>
      <c r="E2193" s="137">
        <v>19</v>
      </c>
      <c r="F2193" s="137"/>
      <c r="G2193" s="2" t="s">
        <v>22</v>
      </c>
      <c r="H2193" s="115">
        <v>1</v>
      </c>
      <c r="I2193" s="61">
        <v>273</v>
      </c>
      <c r="J2193" s="61">
        <v>273</v>
      </c>
    </row>
    <row r="2194" spans="1:10" ht="24" customHeight="1" x14ac:dyDescent="0.2">
      <c r="A2194" s="113" t="s">
        <v>1859</v>
      </c>
      <c r="B2194" s="114" t="s">
        <v>2042</v>
      </c>
      <c r="C2194" s="113" t="s">
        <v>20</v>
      </c>
      <c r="D2194" s="113" t="s">
        <v>2041</v>
      </c>
      <c r="E2194" s="139" t="s">
        <v>1369</v>
      </c>
      <c r="F2194" s="139"/>
      <c r="G2194" s="112" t="s">
        <v>22</v>
      </c>
      <c r="H2194" s="111">
        <v>1</v>
      </c>
      <c r="I2194" s="110">
        <v>273</v>
      </c>
      <c r="J2194" s="110">
        <v>273</v>
      </c>
    </row>
    <row r="2195" spans="1:10" x14ac:dyDescent="0.2">
      <c r="A2195" s="109"/>
      <c r="B2195" s="109"/>
      <c r="C2195" s="109"/>
      <c r="D2195" s="109"/>
      <c r="E2195" s="109" t="s">
        <v>1858</v>
      </c>
      <c r="F2195" s="108">
        <v>0</v>
      </c>
      <c r="G2195" s="109" t="s">
        <v>1857</v>
      </c>
      <c r="H2195" s="108">
        <v>0</v>
      </c>
      <c r="I2195" s="109" t="s">
        <v>1856</v>
      </c>
      <c r="J2195" s="108">
        <v>0</v>
      </c>
    </row>
    <row r="2196" spans="1:10" ht="13.9" customHeight="1" x14ac:dyDescent="0.2">
      <c r="A2196" s="109"/>
      <c r="B2196" s="109"/>
      <c r="C2196" s="109"/>
      <c r="D2196" s="109"/>
      <c r="E2196" s="109" t="s">
        <v>1855</v>
      </c>
      <c r="F2196" s="108">
        <v>72.481499999999997</v>
      </c>
      <c r="G2196" s="109"/>
      <c r="H2196" s="140" t="s">
        <v>1854</v>
      </c>
      <c r="I2196" s="140"/>
      <c r="J2196" s="108">
        <v>345.48</v>
      </c>
    </row>
    <row r="2197" spans="1:10" ht="30" customHeight="1" thickBot="1" x14ac:dyDescent="0.25">
      <c r="A2197" s="100"/>
      <c r="B2197" s="100"/>
      <c r="C2197" s="100"/>
      <c r="D2197" s="100"/>
      <c r="E2197" s="100"/>
      <c r="F2197" s="100"/>
      <c r="G2197" s="100" t="s">
        <v>1853</v>
      </c>
      <c r="H2197" s="107">
        <v>27.3</v>
      </c>
      <c r="I2197" s="100" t="s">
        <v>1852</v>
      </c>
      <c r="J2197" s="102">
        <v>9431.6</v>
      </c>
    </row>
    <row r="2198" spans="1:10" ht="1.1499999999999999" customHeight="1" thickTop="1" x14ac:dyDescent="0.2">
      <c r="A2198" s="106"/>
      <c r="B2198" s="106"/>
      <c r="C2198" s="106"/>
      <c r="D2198" s="106"/>
      <c r="E2198" s="106"/>
      <c r="F2198" s="106"/>
      <c r="G2198" s="106"/>
      <c r="H2198" s="106"/>
      <c r="I2198" s="106"/>
      <c r="J2198" s="106"/>
    </row>
    <row r="2199" spans="1:10" ht="24" customHeight="1" x14ac:dyDescent="0.2">
      <c r="A2199" s="123" t="s">
        <v>536</v>
      </c>
      <c r="B2199" s="123"/>
      <c r="C2199" s="123"/>
      <c r="D2199" s="123" t="s">
        <v>537</v>
      </c>
      <c r="E2199" s="123"/>
      <c r="F2199" s="142"/>
      <c r="G2199" s="142"/>
      <c r="H2199" s="3"/>
      <c r="I2199" s="123"/>
      <c r="J2199" s="63">
        <v>100715.48</v>
      </c>
    </row>
    <row r="2200" spans="1:10" ht="18" customHeight="1" x14ac:dyDescent="0.2">
      <c r="A2200" s="117" t="s">
        <v>538</v>
      </c>
      <c r="B2200" s="126" t="s">
        <v>5</v>
      </c>
      <c r="C2200" s="117" t="s">
        <v>6</v>
      </c>
      <c r="D2200" s="117" t="s">
        <v>7</v>
      </c>
      <c r="E2200" s="136" t="s">
        <v>1113</v>
      </c>
      <c r="F2200" s="136"/>
      <c r="G2200" s="7" t="s">
        <v>8</v>
      </c>
      <c r="H2200" s="126" t="s">
        <v>9</v>
      </c>
      <c r="I2200" s="126" t="s">
        <v>10</v>
      </c>
      <c r="J2200" s="126" t="s">
        <v>12</v>
      </c>
    </row>
    <row r="2201" spans="1:10" ht="24" customHeight="1" x14ac:dyDescent="0.2">
      <c r="A2201" s="116" t="s">
        <v>1861</v>
      </c>
      <c r="B2201" s="1" t="s">
        <v>539</v>
      </c>
      <c r="C2201" s="116" t="s">
        <v>20</v>
      </c>
      <c r="D2201" s="116" t="s">
        <v>540</v>
      </c>
      <c r="E2201" s="137">
        <v>20</v>
      </c>
      <c r="F2201" s="137"/>
      <c r="G2201" s="2" t="s">
        <v>22</v>
      </c>
      <c r="H2201" s="115">
        <v>1</v>
      </c>
      <c r="I2201" s="61">
        <v>4.8</v>
      </c>
      <c r="J2201" s="61">
        <v>4.8</v>
      </c>
    </row>
    <row r="2202" spans="1:10" ht="24" customHeight="1" x14ac:dyDescent="0.2">
      <c r="A2202" s="113" t="s">
        <v>1859</v>
      </c>
      <c r="B2202" s="114" t="s">
        <v>1899</v>
      </c>
      <c r="C2202" s="113" t="s">
        <v>20</v>
      </c>
      <c r="D2202" s="113" t="s">
        <v>1898</v>
      </c>
      <c r="E2202" s="139" t="s">
        <v>1369</v>
      </c>
      <c r="F2202" s="139"/>
      <c r="G2202" s="112" t="s">
        <v>49</v>
      </c>
      <c r="H2202" s="111">
        <v>5.1999999999999998E-3</v>
      </c>
      <c r="I2202" s="110">
        <v>162.78</v>
      </c>
      <c r="J2202" s="110">
        <v>0.85</v>
      </c>
    </row>
    <row r="2203" spans="1:10" ht="24" customHeight="1" x14ac:dyDescent="0.2">
      <c r="A2203" s="113" t="s">
        <v>1859</v>
      </c>
      <c r="B2203" s="114" t="s">
        <v>1897</v>
      </c>
      <c r="C2203" s="113" t="s">
        <v>20</v>
      </c>
      <c r="D2203" s="113" t="s">
        <v>1896</v>
      </c>
      <c r="E2203" s="139" t="s">
        <v>1369</v>
      </c>
      <c r="F2203" s="139"/>
      <c r="G2203" s="112" t="s">
        <v>96</v>
      </c>
      <c r="H2203" s="111">
        <v>2.27</v>
      </c>
      <c r="I2203" s="110">
        <v>0.6</v>
      </c>
      <c r="J2203" s="110">
        <v>1.36</v>
      </c>
    </row>
    <row r="2204" spans="1:10" ht="24" customHeight="1" x14ac:dyDescent="0.2">
      <c r="A2204" s="113" t="s">
        <v>1859</v>
      </c>
      <c r="B2204" s="114" t="s">
        <v>1866</v>
      </c>
      <c r="C2204" s="113" t="s">
        <v>20</v>
      </c>
      <c r="D2204" s="113" t="s">
        <v>1865</v>
      </c>
      <c r="E2204" s="139" t="s">
        <v>1860</v>
      </c>
      <c r="F2204" s="139"/>
      <c r="G2204" s="112" t="s">
        <v>1864</v>
      </c>
      <c r="H2204" s="111">
        <v>9.0700000000000003E-2</v>
      </c>
      <c r="I2204" s="110">
        <v>15.97</v>
      </c>
      <c r="J2204" s="110">
        <v>1.45</v>
      </c>
    </row>
    <row r="2205" spans="1:10" ht="24" customHeight="1" x14ac:dyDescent="0.2">
      <c r="A2205" s="113" t="s">
        <v>1859</v>
      </c>
      <c r="B2205" s="114" t="s">
        <v>1872</v>
      </c>
      <c r="C2205" s="113" t="s">
        <v>20</v>
      </c>
      <c r="D2205" s="113" t="s">
        <v>1871</v>
      </c>
      <c r="E2205" s="139" t="s">
        <v>1860</v>
      </c>
      <c r="F2205" s="139"/>
      <c r="G2205" s="112" t="s">
        <v>1864</v>
      </c>
      <c r="H2205" s="111">
        <v>0.1077</v>
      </c>
      <c r="I2205" s="110">
        <v>10.62</v>
      </c>
      <c r="J2205" s="110">
        <v>1.1399999999999999</v>
      </c>
    </row>
    <row r="2206" spans="1:10" x14ac:dyDescent="0.2">
      <c r="A2206" s="109"/>
      <c r="B2206" s="109"/>
      <c r="C2206" s="109"/>
      <c r="D2206" s="109"/>
      <c r="E2206" s="109" t="s">
        <v>1858</v>
      </c>
      <c r="F2206" s="108">
        <v>2.59</v>
      </c>
      <c r="G2206" s="109" t="s">
        <v>1857</v>
      </c>
      <c r="H2206" s="108">
        <v>0</v>
      </c>
      <c r="I2206" s="109" t="s">
        <v>1856</v>
      </c>
      <c r="J2206" s="108">
        <v>2.59</v>
      </c>
    </row>
    <row r="2207" spans="1:10" ht="13.9" customHeight="1" x14ac:dyDescent="0.2">
      <c r="A2207" s="109"/>
      <c r="B2207" s="109"/>
      <c r="C2207" s="109"/>
      <c r="D2207" s="109"/>
      <c r="E2207" s="109" t="s">
        <v>1855</v>
      </c>
      <c r="F2207" s="108">
        <v>1.2744</v>
      </c>
      <c r="G2207" s="109"/>
      <c r="H2207" s="140" t="s">
        <v>1854</v>
      </c>
      <c r="I2207" s="140"/>
      <c r="J2207" s="108">
        <v>6.07</v>
      </c>
    </row>
    <row r="2208" spans="1:10" ht="30" customHeight="1" thickBot="1" x14ac:dyDescent="0.25">
      <c r="A2208" s="100"/>
      <c r="B2208" s="100"/>
      <c r="C2208" s="100"/>
      <c r="D2208" s="100"/>
      <c r="E2208" s="100"/>
      <c r="F2208" s="100"/>
      <c r="G2208" s="100" t="s">
        <v>1853</v>
      </c>
      <c r="H2208" s="107">
        <v>551.80999999999995</v>
      </c>
      <c r="I2208" s="100" t="s">
        <v>1852</v>
      </c>
      <c r="J2208" s="102">
        <v>3349.49</v>
      </c>
    </row>
    <row r="2209" spans="1:10" ht="1.1499999999999999" customHeight="1" thickTop="1" x14ac:dyDescent="0.2">
      <c r="A2209" s="106"/>
      <c r="B2209" s="106"/>
      <c r="C2209" s="106"/>
      <c r="D2209" s="106"/>
      <c r="E2209" s="106"/>
      <c r="F2209" s="106"/>
      <c r="G2209" s="106"/>
      <c r="H2209" s="106"/>
      <c r="I2209" s="106"/>
      <c r="J2209" s="106"/>
    </row>
    <row r="2210" spans="1:10" ht="18" customHeight="1" x14ac:dyDescent="0.2">
      <c r="A2210" s="117" t="s">
        <v>541</v>
      </c>
      <c r="B2210" s="126" t="s">
        <v>5</v>
      </c>
      <c r="C2210" s="117" t="s">
        <v>6</v>
      </c>
      <c r="D2210" s="117" t="s">
        <v>7</v>
      </c>
      <c r="E2210" s="136" t="s">
        <v>1113</v>
      </c>
      <c r="F2210" s="136"/>
      <c r="G2210" s="7" t="s">
        <v>8</v>
      </c>
      <c r="H2210" s="126" t="s">
        <v>9</v>
      </c>
      <c r="I2210" s="126" t="s">
        <v>10</v>
      </c>
      <c r="J2210" s="126" t="s">
        <v>12</v>
      </c>
    </row>
    <row r="2211" spans="1:10" ht="24" customHeight="1" x14ac:dyDescent="0.2">
      <c r="A2211" s="116" t="s">
        <v>1861</v>
      </c>
      <c r="B2211" s="1" t="s">
        <v>542</v>
      </c>
      <c r="C2211" s="116" t="s">
        <v>20</v>
      </c>
      <c r="D2211" s="116" t="s">
        <v>543</v>
      </c>
      <c r="E2211" s="137">
        <v>20</v>
      </c>
      <c r="F2211" s="137"/>
      <c r="G2211" s="2" t="s">
        <v>22</v>
      </c>
      <c r="H2211" s="115">
        <v>1</v>
      </c>
      <c r="I2211" s="61">
        <v>13.65</v>
      </c>
      <c r="J2211" s="61">
        <v>13.65</v>
      </c>
    </row>
    <row r="2212" spans="1:10" ht="24" customHeight="1" x14ac:dyDescent="0.2">
      <c r="A2212" s="113" t="s">
        <v>1859</v>
      </c>
      <c r="B2212" s="114" t="s">
        <v>2010</v>
      </c>
      <c r="C2212" s="113" t="s">
        <v>20</v>
      </c>
      <c r="D2212" s="113" t="s">
        <v>2009</v>
      </c>
      <c r="E2212" s="139" t="s">
        <v>1369</v>
      </c>
      <c r="F2212" s="139"/>
      <c r="G2212" s="112" t="s">
        <v>49</v>
      </c>
      <c r="H2212" s="111">
        <v>8.3000000000000001E-3</v>
      </c>
      <c r="I2212" s="110">
        <v>162.78</v>
      </c>
      <c r="J2212" s="110">
        <v>1.35</v>
      </c>
    </row>
    <row r="2213" spans="1:10" ht="24" customHeight="1" x14ac:dyDescent="0.2">
      <c r="A2213" s="113" t="s">
        <v>1859</v>
      </c>
      <c r="B2213" s="114" t="s">
        <v>2008</v>
      </c>
      <c r="C2213" s="113" t="s">
        <v>20</v>
      </c>
      <c r="D2213" s="113" t="s">
        <v>2007</v>
      </c>
      <c r="E2213" s="139" t="s">
        <v>1369</v>
      </c>
      <c r="F2213" s="139"/>
      <c r="G2213" s="112" t="s">
        <v>96</v>
      </c>
      <c r="H2213" s="111">
        <v>0.95550000000000002</v>
      </c>
      <c r="I2213" s="110">
        <v>0.75</v>
      </c>
      <c r="J2213" s="110">
        <v>0.72</v>
      </c>
    </row>
    <row r="2214" spans="1:10" ht="24" customHeight="1" x14ac:dyDescent="0.2">
      <c r="A2214" s="113" t="s">
        <v>1859</v>
      </c>
      <c r="B2214" s="114" t="s">
        <v>1897</v>
      </c>
      <c r="C2214" s="113" t="s">
        <v>20</v>
      </c>
      <c r="D2214" s="113" t="s">
        <v>1896</v>
      </c>
      <c r="E2214" s="139" t="s">
        <v>1369</v>
      </c>
      <c r="F2214" s="139"/>
      <c r="G2214" s="112" t="s">
        <v>96</v>
      </c>
      <c r="H2214" s="111">
        <v>0.52500000000000002</v>
      </c>
      <c r="I2214" s="110">
        <v>0.6</v>
      </c>
      <c r="J2214" s="110">
        <v>0.32</v>
      </c>
    </row>
    <row r="2215" spans="1:10" ht="24" customHeight="1" x14ac:dyDescent="0.2">
      <c r="A2215" s="113" t="s">
        <v>1859</v>
      </c>
      <c r="B2215" s="114" t="s">
        <v>1866</v>
      </c>
      <c r="C2215" s="113" t="s">
        <v>20</v>
      </c>
      <c r="D2215" s="113" t="s">
        <v>1865</v>
      </c>
      <c r="E2215" s="139" t="s">
        <v>1860</v>
      </c>
      <c r="F2215" s="139"/>
      <c r="G2215" s="112" t="s">
        <v>1864</v>
      </c>
      <c r="H2215" s="111">
        <v>0.43890000000000001</v>
      </c>
      <c r="I2215" s="110">
        <v>15.97</v>
      </c>
      <c r="J2215" s="110">
        <v>7.01</v>
      </c>
    </row>
    <row r="2216" spans="1:10" ht="24" customHeight="1" x14ac:dyDescent="0.2">
      <c r="A2216" s="113" t="s">
        <v>1859</v>
      </c>
      <c r="B2216" s="114" t="s">
        <v>1872</v>
      </c>
      <c r="C2216" s="113" t="s">
        <v>20</v>
      </c>
      <c r="D2216" s="113" t="s">
        <v>1871</v>
      </c>
      <c r="E2216" s="139" t="s">
        <v>1860</v>
      </c>
      <c r="F2216" s="139"/>
      <c r="G2216" s="112" t="s">
        <v>1864</v>
      </c>
      <c r="H2216" s="111">
        <v>0.4</v>
      </c>
      <c r="I2216" s="110">
        <v>10.62</v>
      </c>
      <c r="J2216" s="110">
        <v>4.25</v>
      </c>
    </row>
    <row r="2217" spans="1:10" x14ac:dyDescent="0.2">
      <c r="A2217" s="109"/>
      <c r="B2217" s="109"/>
      <c r="C2217" s="109"/>
      <c r="D2217" s="109"/>
      <c r="E2217" s="109" t="s">
        <v>1858</v>
      </c>
      <c r="F2217" s="108">
        <v>11.26</v>
      </c>
      <c r="G2217" s="109" t="s">
        <v>1857</v>
      </c>
      <c r="H2217" s="108">
        <v>0</v>
      </c>
      <c r="I2217" s="109" t="s">
        <v>1856</v>
      </c>
      <c r="J2217" s="108">
        <v>11.26</v>
      </c>
    </row>
    <row r="2218" spans="1:10" ht="13.9" customHeight="1" x14ac:dyDescent="0.2">
      <c r="A2218" s="109"/>
      <c r="B2218" s="109"/>
      <c r="C2218" s="109"/>
      <c r="D2218" s="109"/>
      <c r="E2218" s="109" t="s">
        <v>1855</v>
      </c>
      <c r="F2218" s="108">
        <v>3.6240749999999999</v>
      </c>
      <c r="G2218" s="109"/>
      <c r="H2218" s="140" t="s">
        <v>1854</v>
      </c>
      <c r="I2218" s="140"/>
      <c r="J2218" s="108">
        <v>17.27</v>
      </c>
    </row>
    <row r="2219" spans="1:10" ht="30" customHeight="1" thickBot="1" x14ac:dyDescent="0.25">
      <c r="A2219" s="100"/>
      <c r="B2219" s="100"/>
      <c r="C2219" s="100"/>
      <c r="D2219" s="100"/>
      <c r="E2219" s="100"/>
      <c r="F2219" s="100"/>
      <c r="G2219" s="100" t="s">
        <v>1853</v>
      </c>
      <c r="H2219" s="107">
        <v>1508.99</v>
      </c>
      <c r="I2219" s="100" t="s">
        <v>1852</v>
      </c>
      <c r="J2219" s="102">
        <v>26060.26</v>
      </c>
    </row>
    <row r="2220" spans="1:10" ht="1.1499999999999999" customHeight="1" thickTop="1" x14ac:dyDescent="0.2">
      <c r="A2220" s="106"/>
      <c r="B2220" s="106"/>
      <c r="C2220" s="106"/>
      <c r="D2220" s="106"/>
      <c r="E2220" s="106"/>
      <c r="F2220" s="106"/>
      <c r="G2220" s="106"/>
      <c r="H2220" s="106"/>
      <c r="I2220" s="106"/>
      <c r="J2220" s="106"/>
    </row>
    <row r="2221" spans="1:10" ht="18" customHeight="1" x14ac:dyDescent="0.2">
      <c r="A2221" s="117" t="s">
        <v>544</v>
      </c>
      <c r="B2221" s="126" t="s">
        <v>5</v>
      </c>
      <c r="C2221" s="117" t="s">
        <v>6</v>
      </c>
      <c r="D2221" s="117" t="s">
        <v>7</v>
      </c>
      <c r="E2221" s="136" t="s">
        <v>1113</v>
      </c>
      <c r="F2221" s="136"/>
      <c r="G2221" s="7" t="s">
        <v>8</v>
      </c>
      <c r="H2221" s="126" t="s">
        <v>9</v>
      </c>
      <c r="I2221" s="126" t="s">
        <v>10</v>
      </c>
      <c r="J2221" s="126" t="s">
        <v>12</v>
      </c>
    </row>
    <row r="2222" spans="1:10" ht="24" customHeight="1" x14ac:dyDescent="0.2">
      <c r="A2222" s="116" t="s">
        <v>1861</v>
      </c>
      <c r="B2222" s="1" t="s">
        <v>545</v>
      </c>
      <c r="C2222" s="116" t="s">
        <v>20</v>
      </c>
      <c r="D2222" s="116" t="s">
        <v>546</v>
      </c>
      <c r="E2222" s="137">
        <v>20</v>
      </c>
      <c r="F2222" s="137"/>
      <c r="G2222" s="2" t="s">
        <v>22</v>
      </c>
      <c r="H2222" s="115">
        <v>1</v>
      </c>
      <c r="I2222" s="61">
        <v>19.16</v>
      </c>
      <c r="J2222" s="61">
        <v>19.16</v>
      </c>
    </row>
    <row r="2223" spans="1:10" ht="24" customHeight="1" x14ac:dyDescent="0.2">
      <c r="A2223" s="113" t="s">
        <v>1859</v>
      </c>
      <c r="B2223" s="114" t="s">
        <v>1899</v>
      </c>
      <c r="C2223" s="113" t="s">
        <v>20</v>
      </c>
      <c r="D2223" s="113" t="s">
        <v>1898</v>
      </c>
      <c r="E2223" s="139" t="s">
        <v>1369</v>
      </c>
      <c r="F2223" s="139"/>
      <c r="G2223" s="112" t="s">
        <v>49</v>
      </c>
      <c r="H2223" s="111">
        <v>2.5499999999999998E-2</v>
      </c>
      <c r="I2223" s="110">
        <v>162.78</v>
      </c>
      <c r="J2223" s="110">
        <v>4.1500000000000004</v>
      </c>
    </row>
    <row r="2224" spans="1:10" ht="24" customHeight="1" x14ac:dyDescent="0.2">
      <c r="A2224" s="113" t="s">
        <v>1859</v>
      </c>
      <c r="B2224" s="114" t="s">
        <v>1897</v>
      </c>
      <c r="C2224" s="113" t="s">
        <v>20</v>
      </c>
      <c r="D2224" s="113" t="s">
        <v>1896</v>
      </c>
      <c r="E2224" s="139" t="s">
        <v>1369</v>
      </c>
      <c r="F2224" s="139"/>
      <c r="G2224" s="112" t="s">
        <v>96</v>
      </c>
      <c r="H2224" s="111">
        <v>7.665</v>
      </c>
      <c r="I2224" s="110">
        <v>0.6</v>
      </c>
      <c r="J2224" s="110">
        <v>4.5999999999999996</v>
      </c>
    </row>
    <row r="2225" spans="1:10" ht="24" customHeight="1" x14ac:dyDescent="0.2">
      <c r="A2225" s="113" t="s">
        <v>1859</v>
      </c>
      <c r="B2225" s="114" t="s">
        <v>1866</v>
      </c>
      <c r="C2225" s="113" t="s">
        <v>20</v>
      </c>
      <c r="D2225" s="113" t="s">
        <v>1865</v>
      </c>
      <c r="E2225" s="139" t="s">
        <v>1860</v>
      </c>
      <c r="F2225" s="139"/>
      <c r="G2225" s="112" t="s">
        <v>1864</v>
      </c>
      <c r="H2225" s="111">
        <v>0.3528</v>
      </c>
      <c r="I2225" s="110">
        <v>15.97</v>
      </c>
      <c r="J2225" s="110">
        <v>5.63</v>
      </c>
    </row>
    <row r="2226" spans="1:10" ht="24" customHeight="1" x14ac:dyDescent="0.2">
      <c r="A2226" s="113" t="s">
        <v>1859</v>
      </c>
      <c r="B2226" s="114" t="s">
        <v>1872</v>
      </c>
      <c r="C2226" s="113" t="s">
        <v>20</v>
      </c>
      <c r="D2226" s="113" t="s">
        <v>1871</v>
      </c>
      <c r="E2226" s="139" t="s">
        <v>1860</v>
      </c>
      <c r="F2226" s="139"/>
      <c r="G2226" s="112" t="s">
        <v>1864</v>
      </c>
      <c r="H2226" s="111">
        <v>0.4501</v>
      </c>
      <c r="I2226" s="110">
        <v>10.62</v>
      </c>
      <c r="J2226" s="110">
        <v>4.78</v>
      </c>
    </row>
    <row r="2227" spans="1:10" x14ac:dyDescent="0.2">
      <c r="A2227" s="109"/>
      <c r="B2227" s="109"/>
      <c r="C2227" s="109"/>
      <c r="D2227" s="109"/>
      <c r="E2227" s="109" t="s">
        <v>1858</v>
      </c>
      <c r="F2227" s="108">
        <v>10.41</v>
      </c>
      <c r="G2227" s="109" t="s">
        <v>1857</v>
      </c>
      <c r="H2227" s="108">
        <v>0</v>
      </c>
      <c r="I2227" s="109" t="s">
        <v>1856</v>
      </c>
      <c r="J2227" s="108">
        <v>10.41</v>
      </c>
    </row>
    <row r="2228" spans="1:10" ht="13.9" customHeight="1" x14ac:dyDescent="0.2">
      <c r="A2228" s="109"/>
      <c r="B2228" s="109"/>
      <c r="C2228" s="109"/>
      <c r="D2228" s="109"/>
      <c r="E2228" s="109" t="s">
        <v>1855</v>
      </c>
      <c r="F2228" s="108">
        <v>5.0869799999999996</v>
      </c>
      <c r="G2228" s="109"/>
      <c r="H2228" s="140" t="s">
        <v>1854</v>
      </c>
      <c r="I2228" s="140"/>
      <c r="J2228" s="108">
        <v>24.25</v>
      </c>
    </row>
    <row r="2229" spans="1:10" ht="30" customHeight="1" thickBot="1" x14ac:dyDescent="0.25">
      <c r="A2229" s="100"/>
      <c r="B2229" s="100"/>
      <c r="C2229" s="100"/>
      <c r="D2229" s="100"/>
      <c r="E2229" s="100"/>
      <c r="F2229" s="100"/>
      <c r="G2229" s="100" t="s">
        <v>1853</v>
      </c>
      <c r="H2229" s="107">
        <v>131.03</v>
      </c>
      <c r="I2229" s="100" t="s">
        <v>1852</v>
      </c>
      <c r="J2229" s="102">
        <v>3177.48</v>
      </c>
    </row>
    <row r="2230" spans="1:10" ht="1.1499999999999999" customHeight="1" thickTop="1" x14ac:dyDescent="0.2">
      <c r="A2230" s="106"/>
      <c r="B2230" s="106"/>
      <c r="C2230" s="106"/>
      <c r="D2230" s="106"/>
      <c r="E2230" s="106"/>
      <c r="F2230" s="106"/>
      <c r="G2230" s="106"/>
      <c r="H2230" s="106"/>
      <c r="I2230" s="106"/>
      <c r="J2230" s="106"/>
    </row>
    <row r="2231" spans="1:10" ht="18" customHeight="1" x14ac:dyDescent="0.2">
      <c r="A2231" s="117" t="s">
        <v>547</v>
      </c>
      <c r="B2231" s="126" t="s">
        <v>5</v>
      </c>
      <c r="C2231" s="117" t="s">
        <v>6</v>
      </c>
      <c r="D2231" s="117" t="s">
        <v>7</v>
      </c>
      <c r="E2231" s="136" t="s">
        <v>1113</v>
      </c>
      <c r="F2231" s="136"/>
      <c r="G2231" s="7" t="s">
        <v>8</v>
      </c>
      <c r="H2231" s="126" t="s">
        <v>9</v>
      </c>
      <c r="I2231" s="126" t="s">
        <v>10</v>
      </c>
      <c r="J2231" s="126" t="s">
        <v>12</v>
      </c>
    </row>
    <row r="2232" spans="1:10" ht="24" customHeight="1" x14ac:dyDescent="0.2">
      <c r="A2232" s="116" t="s">
        <v>1861</v>
      </c>
      <c r="B2232" s="1" t="s">
        <v>548</v>
      </c>
      <c r="C2232" s="116" t="s">
        <v>20</v>
      </c>
      <c r="D2232" s="116" t="s">
        <v>549</v>
      </c>
      <c r="E2232" s="137">
        <v>20</v>
      </c>
      <c r="F2232" s="137"/>
      <c r="G2232" s="2" t="s">
        <v>22</v>
      </c>
      <c r="H2232" s="115">
        <v>1</v>
      </c>
      <c r="I2232" s="61">
        <v>54.76</v>
      </c>
      <c r="J2232" s="61">
        <v>54.76</v>
      </c>
    </row>
    <row r="2233" spans="1:10" ht="24" customHeight="1" x14ac:dyDescent="0.2">
      <c r="A2233" s="113" t="s">
        <v>1859</v>
      </c>
      <c r="B2233" s="114" t="s">
        <v>2160</v>
      </c>
      <c r="C2233" s="113" t="s">
        <v>20</v>
      </c>
      <c r="D2233" s="113" t="s">
        <v>2159</v>
      </c>
      <c r="E2233" s="139" t="s">
        <v>1369</v>
      </c>
      <c r="F2233" s="139"/>
      <c r="G2233" s="112" t="s">
        <v>96</v>
      </c>
      <c r="H2233" s="111">
        <v>7.5</v>
      </c>
      <c r="I2233" s="110">
        <v>1.03</v>
      </c>
      <c r="J2233" s="110">
        <v>7.73</v>
      </c>
    </row>
    <row r="2234" spans="1:10" ht="24" customHeight="1" x14ac:dyDescent="0.2">
      <c r="A2234" s="113" t="s">
        <v>1859</v>
      </c>
      <c r="B2234" s="114" t="s">
        <v>2134</v>
      </c>
      <c r="C2234" s="113" t="s">
        <v>20</v>
      </c>
      <c r="D2234" s="113" t="s">
        <v>2133</v>
      </c>
      <c r="E2234" s="139" t="s">
        <v>1369</v>
      </c>
      <c r="F2234" s="139"/>
      <c r="G2234" s="112" t="s">
        <v>96</v>
      </c>
      <c r="H2234" s="111">
        <v>0.1464</v>
      </c>
      <c r="I2234" s="110">
        <v>3.27</v>
      </c>
      <c r="J2234" s="110">
        <v>0.48</v>
      </c>
    </row>
    <row r="2235" spans="1:10" ht="24" customHeight="1" x14ac:dyDescent="0.2">
      <c r="A2235" s="113" t="s">
        <v>1859</v>
      </c>
      <c r="B2235" s="114" t="s">
        <v>2231</v>
      </c>
      <c r="C2235" s="113" t="s">
        <v>20</v>
      </c>
      <c r="D2235" s="113" t="s">
        <v>2230</v>
      </c>
      <c r="E2235" s="139" t="s">
        <v>1369</v>
      </c>
      <c r="F2235" s="139"/>
      <c r="G2235" s="112" t="s">
        <v>22</v>
      </c>
      <c r="H2235" s="111">
        <v>1.05</v>
      </c>
      <c r="I2235" s="110">
        <v>25.9</v>
      </c>
      <c r="J2235" s="110">
        <v>27.2</v>
      </c>
    </row>
    <row r="2236" spans="1:10" ht="24" customHeight="1" x14ac:dyDescent="0.2">
      <c r="A2236" s="113" t="s">
        <v>1859</v>
      </c>
      <c r="B2236" s="114" t="s">
        <v>1872</v>
      </c>
      <c r="C2236" s="113" t="s">
        <v>20</v>
      </c>
      <c r="D2236" s="113" t="s">
        <v>1871</v>
      </c>
      <c r="E2236" s="139" t="s">
        <v>1860</v>
      </c>
      <c r="F2236" s="139"/>
      <c r="G2236" s="112" t="s">
        <v>1864</v>
      </c>
      <c r="H2236" s="111">
        <v>0.94940000000000002</v>
      </c>
      <c r="I2236" s="110">
        <v>10.62</v>
      </c>
      <c r="J2236" s="110">
        <v>10.08</v>
      </c>
    </row>
    <row r="2237" spans="1:10" ht="24" customHeight="1" x14ac:dyDescent="0.2">
      <c r="A2237" s="113" t="s">
        <v>1859</v>
      </c>
      <c r="B2237" s="114" t="s">
        <v>2130</v>
      </c>
      <c r="C2237" s="113" t="s">
        <v>20</v>
      </c>
      <c r="D2237" s="113" t="s">
        <v>2129</v>
      </c>
      <c r="E2237" s="139" t="s">
        <v>1860</v>
      </c>
      <c r="F2237" s="139"/>
      <c r="G2237" s="112" t="s">
        <v>1864</v>
      </c>
      <c r="H2237" s="111">
        <v>0.58069999999999999</v>
      </c>
      <c r="I2237" s="110">
        <v>15.97</v>
      </c>
      <c r="J2237" s="110">
        <v>9.27</v>
      </c>
    </row>
    <row r="2238" spans="1:10" x14ac:dyDescent="0.2">
      <c r="A2238" s="109"/>
      <c r="B2238" s="109"/>
      <c r="C2238" s="109"/>
      <c r="D2238" s="109"/>
      <c r="E2238" s="109" t="s">
        <v>1858</v>
      </c>
      <c r="F2238" s="108">
        <v>19.350000000000001</v>
      </c>
      <c r="G2238" s="109" t="s">
        <v>1857</v>
      </c>
      <c r="H2238" s="108">
        <v>0</v>
      </c>
      <c r="I2238" s="109" t="s">
        <v>1856</v>
      </c>
      <c r="J2238" s="108">
        <v>19.350000000000001</v>
      </c>
    </row>
    <row r="2239" spans="1:10" ht="13.9" customHeight="1" x14ac:dyDescent="0.2">
      <c r="A2239" s="109"/>
      <c r="B2239" s="109"/>
      <c r="C2239" s="109"/>
      <c r="D2239" s="109"/>
      <c r="E2239" s="109" t="s">
        <v>1855</v>
      </c>
      <c r="F2239" s="108">
        <v>14.538779999999999</v>
      </c>
      <c r="G2239" s="109"/>
      <c r="H2239" s="140" t="s">
        <v>1854</v>
      </c>
      <c r="I2239" s="140"/>
      <c r="J2239" s="108">
        <v>69.3</v>
      </c>
    </row>
    <row r="2240" spans="1:10" ht="30" customHeight="1" thickBot="1" x14ac:dyDescent="0.25">
      <c r="A2240" s="100"/>
      <c r="B2240" s="100"/>
      <c r="C2240" s="100"/>
      <c r="D2240" s="100"/>
      <c r="E2240" s="100"/>
      <c r="F2240" s="100"/>
      <c r="G2240" s="100" t="s">
        <v>1853</v>
      </c>
      <c r="H2240" s="107">
        <v>137.80000000000001</v>
      </c>
      <c r="I2240" s="100" t="s">
        <v>1852</v>
      </c>
      <c r="J2240" s="102">
        <v>9549.5400000000009</v>
      </c>
    </row>
    <row r="2241" spans="1:10" ht="1.1499999999999999" customHeight="1" thickTop="1" x14ac:dyDescent="0.2">
      <c r="A2241" s="106"/>
      <c r="B2241" s="106"/>
      <c r="C2241" s="106"/>
      <c r="D2241" s="106"/>
      <c r="E2241" s="106"/>
      <c r="F2241" s="106"/>
      <c r="G2241" s="106"/>
      <c r="H2241" s="106"/>
      <c r="I2241" s="106"/>
      <c r="J2241" s="106"/>
    </row>
    <row r="2242" spans="1:10" ht="18" customHeight="1" x14ac:dyDescent="0.2">
      <c r="A2242" s="117" t="s">
        <v>550</v>
      </c>
      <c r="B2242" s="126" t="s">
        <v>5</v>
      </c>
      <c r="C2242" s="117" t="s">
        <v>6</v>
      </c>
      <c r="D2242" s="117" t="s">
        <v>7</v>
      </c>
      <c r="E2242" s="136" t="s">
        <v>1113</v>
      </c>
      <c r="F2242" s="136"/>
      <c r="G2242" s="7" t="s">
        <v>8</v>
      </c>
      <c r="H2242" s="126" t="s">
        <v>9</v>
      </c>
      <c r="I2242" s="126" t="s">
        <v>10</v>
      </c>
      <c r="J2242" s="126" t="s">
        <v>12</v>
      </c>
    </row>
    <row r="2243" spans="1:10" ht="24" customHeight="1" x14ac:dyDescent="0.2">
      <c r="A2243" s="116" t="s">
        <v>1861</v>
      </c>
      <c r="B2243" s="1" t="s">
        <v>551</v>
      </c>
      <c r="C2243" s="116" t="s">
        <v>20</v>
      </c>
      <c r="D2243" s="116" t="s">
        <v>552</v>
      </c>
      <c r="E2243" s="137">
        <v>26</v>
      </c>
      <c r="F2243" s="137"/>
      <c r="G2243" s="2" t="s">
        <v>22</v>
      </c>
      <c r="H2243" s="115">
        <v>1</v>
      </c>
      <c r="I2243" s="61">
        <v>5.82</v>
      </c>
      <c r="J2243" s="61">
        <v>5.82</v>
      </c>
    </row>
    <row r="2244" spans="1:10" ht="24" customHeight="1" x14ac:dyDescent="0.2">
      <c r="A2244" s="113" t="s">
        <v>1859</v>
      </c>
      <c r="B2244" s="114" t="s">
        <v>2229</v>
      </c>
      <c r="C2244" s="113" t="s">
        <v>20</v>
      </c>
      <c r="D2244" s="113" t="s">
        <v>2228</v>
      </c>
      <c r="E2244" s="139" t="s">
        <v>1369</v>
      </c>
      <c r="F2244" s="139"/>
      <c r="G2244" s="112" t="s">
        <v>96</v>
      </c>
      <c r="H2244" s="111">
        <v>0.45</v>
      </c>
      <c r="I2244" s="110">
        <v>2.12</v>
      </c>
      <c r="J2244" s="110">
        <v>0.95</v>
      </c>
    </row>
    <row r="2245" spans="1:10" ht="24" customHeight="1" x14ac:dyDescent="0.2">
      <c r="A2245" s="113" t="s">
        <v>1859</v>
      </c>
      <c r="B2245" s="114" t="s">
        <v>2004</v>
      </c>
      <c r="C2245" s="113" t="s">
        <v>20</v>
      </c>
      <c r="D2245" s="113" t="s">
        <v>2003</v>
      </c>
      <c r="E2245" s="139" t="s">
        <v>1369</v>
      </c>
      <c r="F2245" s="139"/>
      <c r="G2245" s="112" t="s">
        <v>246</v>
      </c>
      <c r="H2245" s="111">
        <v>0.1</v>
      </c>
      <c r="I2245" s="110">
        <v>0.71</v>
      </c>
      <c r="J2245" s="110">
        <v>7.0000000000000007E-2</v>
      </c>
    </row>
    <row r="2246" spans="1:10" ht="24" customHeight="1" x14ac:dyDescent="0.2">
      <c r="A2246" s="113" t="s">
        <v>1859</v>
      </c>
      <c r="B2246" s="114" t="s">
        <v>1951</v>
      </c>
      <c r="C2246" s="113" t="s">
        <v>20</v>
      </c>
      <c r="D2246" s="113" t="s">
        <v>1950</v>
      </c>
      <c r="E2246" s="139" t="s">
        <v>1860</v>
      </c>
      <c r="F2246" s="139"/>
      <c r="G2246" s="112" t="s">
        <v>1864</v>
      </c>
      <c r="H2246" s="111">
        <v>0.14849999999999999</v>
      </c>
      <c r="I2246" s="110">
        <v>10.62</v>
      </c>
      <c r="J2246" s="110">
        <v>1.58</v>
      </c>
    </row>
    <row r="2247" spans="1:10" ht="24" customHeight="1" x14ac:dyDescent="0.2">
      <c r="A2247" s="113" t="s">
        <v>1859</v>
      </c>
      <c r="B2247" s="114" t="s">
        <v>1998</v>
      </c>
      <c r="C2247" s="113" t="s">
        <v>20</v>
      </c>
      <c r="D2247" s="113" t="s">
        <v>1997</v>
      </c>
      <c r="E2247" s="139" t="s">
        <v>1860</v>
      </c>
      <c r="F2247" s="139"/>
      <c r="G2247" s="112" t="s">
        <v>1864</v>
      </c>
      <c r="H2247" s="111">
        <v>0.2016</v>
      </c>
      <c r="I2247" s="110">
        <v>15.97</v>
      </c>
      <c r="J2247" s="110">
        <v>3.22</v>
      </c>
    </row>
    <row r="2248" spans="1:10" x14ac:dyDescent="0.2">
      <c r="A2248" s="109"/>
      <c r="B2248" s="109"/>
      <c r="C2248" s="109"/>
      <c r="D2248" s="109"/>
      <c r="E2248" s="109" t="s">
        <v>1858</v>
      </c>
      <c r="F2248" s="108">
        <v>4.8</v>
      </c>
      <c r="G2248" s="109" t="s">
        <v>1857</v>
      </c>
      <c r="H2248" s="108">
        <v>0</v>
      </c>
      <c r="I2248" s="109" t="s">
        <v>1856</v>
      </c>
      <c r="J2248" s="108">
        <v>4.8</v>
      </c>
    </row>
    <row r="2249" spans="1:10" ht="13.9" customHeight="1" x14ac:dyDescent="0.2">
      <c r="A2249" s="109"/>
      <c r="B2249" s="109"/>
      <c r="C2249" s="109"/>
      <c r="D2249" s="109"/>
      <c r="E2249" s="109" t="s">
        <v>1855</v>
      </c>
      <c r="F2249" s="108">
        <v>1.54521</v>
      </c>
      <c r="G2249" s="109"/>
      <c r="H2249" s="140" t="s">
        <v>1854</v>
      </c>
      <c r="I2249" s="140"/>
      <c r="J2249" s="108">
        <v>7.37</v>
      </c>
    </row>
    <row r="2250" spans="1:10" ht="30" customHeight="1" thickBot="1" x14ac:dyDescent="0.25">
      <c r="A2250" s="100"/>
      <c r="B2250" s="100"/>
      <c r="C2250" s="100"/>
      <c r="D2250" s="100"/>
      <c r="E2250" s="100"/>
      <c r="F2250" s="100"/>
      <c r="G2250" s="100" t="s">
        <v>1853</v>
      </c>
      <c r="H2250" s="107">
        <v>1796.8</v>
      </c>
      <c r="I2250" s="100" t="s">
        <v>1852</v>
      </c>
      <c r="J2250" s="102">
        <v>13242.42</v>
      </c>
    </row>
    <row r="2251" spans="1:10" ht="1.1499999999999999" customHeight="1" thickTop="1" x14ac:dyDescent="0.2">
      <c r="A2251" s="106"/>
      <c r="B2251" s="106"/>
      <c r="C2251" s="106"/>
      <c r="D2251" s="106"/>
      <c r="E2251" s="106"/>
      <c r="F2251" s="106"/>
      <c r="G2251" s="106"/>
      <c r="H2251" s="106"/>
      <c r="I2251" s="106"/>
      <c r="J2251" s="106"/>
    </row>
    <row r="2252" spans="1:10" ht="18" customHeight="1" x14ac:dyDescent="0.2">
      <c r="A2252" s="117" t="s">
        <v>553</v>
      </c>
      <c r="B2252" s="126" t="s">
        <v>5</v>
      </c>
      <c r="C2252" s="117" t="s">
        <v>6</v>
      </c>
      <c r="D2252" s="117" t="s">
        <v>7</v>
      </c>
      <c r="E2252" s="136" t="s">
        <v>1113</v>
      </c>
      <c r="F2252" s="136"/>
      <c r="G2252" s="7" t="s">
        <v>8</v>
      </c>
      <c r="H2252" s="126" t="s">
        <v>9</v>
      </c>
      <c r="I2252" s="126" t="s">
        <v>10</v>
      </c>
      <c r="J2252" s="126" t="s">
        <v>12</v>
      </c>
    </row>
    <row r="2253" spans="1:10" ht="24" customHeight="1" x14ac:dyDescent="0.2">
      <c r="A2253" s="116" t="s">
        <v>1861</v>
      </c>
      <c r="B2253" s="1" t="s">
        <v>554</v>
      </c>
      <c r="C2253" s="116" t="s">
        <v>20</v>
      </c>
      <c r="D2253" s="116" t="s">
        <v>555</v>
      </c>
      <c r="E2253" s="137">
        <v>26</v>
      </c>
      <c r="F2253" s="137"/>
      <c r="G2253" s="2" t="s">
        <v>22</v>
      </c>
      <c r="H2253" s="115">
        <v>1</v>
      </c>
      <c r="I2253" s="61">
        <v>7.16</v>
      </c>
      <c r="J2253" s="61">
        <v>7.16</v>
      </c>
    </row>
    <row r="2254" spans="1:10" ht="24" customHeight="1" x14ac:dyDescent="0.2">
      <c r="A2254" s="113" t="s">
        <v>1859</v>
      </c>
      <c r="B2254" s="114" t="s">
        <v>2004</v>
      </c>
      <c r="C2254" s="113" t="s">
        <v>20</v>
      </c>
      <c r="D2254" s="113" t="s">
        <v>2003</v>
      </c>
      <c r="E2254" s="139" t="s">
        <v>1369</v>
      </c>
      <c r="F2254" s="139"/>
      <c r="G2254" s="112" t="s">
        <v>246</v>
      </c>
      <c r="H2254" s="111">
        <v>0.1</v>
      </c>
      <c r="I2254" s="110">
        <v>0.71</v>
      </c>
      <c r="J2254" s="110">
        <v>7.0000000000000007E-2</v>
      </c>
    </row>
    <row r="2255" spans="1:10" ht="24" customHeight="1" x14ac:dyDescent="0.2">
      <c r="A2255" s="113" t="s">
        <v>1859</v>
      </c>
      <c r="B2255" s="114" t="s">
        <v>2227</v>
      </c>
      <c r="C2255" s="113" t="s">
        <v>20</v>
      </c>
      <c r="D2255" s="113" t="s">
        <v>2226</v>
      </c>
      <c r="E2255" s="139" t="s">
        <v>1369</v>
      </c>
      <c r="F2255" s="139"/>
      <c r="G2255" s="112" t="s">
        <v>1877</v>
      </c>
      <c r="H2255" s="111">
        <v>0.17</v>
      </c>
      <c r="I2255" s="110">
        <v>17.84</v>
      </c>
      <c r="J2255" s="110">
        <v>3.03</v>
      </c>
    </row>
    <row r="2256" spans="1:10" ht="24" customHeight="1" x14ac:dyDescent="0.2">
      <c r="A2256" s="113" t="s">
        <v>1859</v>
      </c>
      <c r="B2256" s="114" t="s">
        <v>1998</v>
      </c>
      <c r="C2256" s="113" t="s">
        <v>20</v>
      </c>
      <c r="D2256" s="113" t="s">
        <v>1997</v>
      </c>
      <c r="E2256" s="139" t="s">
        <v>1860</v>
      </c>
      <c r="F2256" s="139"/>
      <c r="G2256" s="112" t="s">
        <v>1864</v>
      </c>
      <c r="H2256" s="111">
        <v>0.2</v>
      </c>
      <c r="I2256" s="110">
        <v>15.97</v>
      </c>
      <c r="J2256" s="110">
        <v>3.19</v>
      </c>
    </row>
    <row r="2257" spans="1:10" ht="24" customHeight="1" x14ac:dyDescent="0.2">
      <c r="A2257" s="113" t="s">
        <v>1859</v>
      </c>
      <c r="B2257" s="114" t="s">
        <v>1951</v>
      </c>
      <c r="C2257" s="113" t="s">
        <v>20</v>
      </c>
      <c r="D2257" s="113" t="s">
        <v>1950</v>
      </c>
      <c r="E2257" s="139" t="s">
        <v>1860</v>
      </c>
      <c r="F2257" s="139"/>
      <c r="G2257" s="112" t="s">
        <v>1864</v>
      </c>
      <c r="H2257" s="111">
        <v>8.2199999999999995E-2</v>
      </c>
      <c r="I2257" s="110">
        <v>10.62</v>
      </c>
      <c r="J2257" s="110">
        <v>0.87</v>
      </c>
    </row>
    <row r="2258" spans="1:10" x14ac:dyDescent="0.2">
      <c r="A2258" s="109"/>
      <c r="B2258" s="109"/>
      <c r="C2258" s="109"/>
      <c r="D2258" s="109"/>
      <c r="E2258" s="109" t="s">
        <v>1858</v>
      </c>
      <c r="F2258" s="108">
        <v>4.0599999999999996</v>
      </c>
      <c r="G2258" s="109" t="s">
        <v>1857</v>
      </c>
      <c r="H2258" s="108">
        <v>0</v>
      </c>
      <c r="I2258" s="109" t="s">
        <v>1856</v>
      </c>
      <c r="J2258" s="108">
        <v>4.0599999999999996</v>
      </c>
    </row>
    <row r="2259" spans="1:10" ht="13.9" customHeight="1" x14ac:dyDescent="0.2">
      <c r="A2259" s="109"/>
      <c r="B2259" s="109"/>
      <c r="C2259" s="109"/>
      <c r="D2259" s="109"/>
      <c r="E2259" s="109" t="s">
        <v>1855</v>
      </c>
      <c r="F2259" s="108">
        <v>1.9009799999999999</v>
      </c>
      <c r="G2259" s="109"/>
      <c r="H2259" s="140" t="s">
        <v>1854</v>
      </c>
      <c r="I2259" s="140"/>
      <c r="J2259" s="108">
        <v>9.06</v>
      </c>
    </row>
    <row r="2260" spans="1:10" ht="30" customHeight="1" thickBot="1" x14ac:dyDescent="0.25">
      <c r="A2260" s="100"/>
      <c r="B2260" s="100"/>
      <c r="C2260" s="100"/>
      <c r="D2260" s="100"/>
      <c r="E2260" s="100"/>
      <c r="F2260" s="100"/>
      <c r="G2260" s="100" t="s">
        <v>1853</v>
      </c>
      <c r="H2260" s="107">
        <v>1796.8</v>
      </c>
      <c r="I2260" s="100" t="s">
        <v>1852</v>
      </c>
      <c r="J2260" s="102">
        <v>16279.01</v>
      </c>
    </row>
    <row r="2261" spans="1:10" ht="1.1499999999999999" customHeight="1" thickTop="1" x14ac:dyDescent="0.2">
      <c r="A2261" s="106"/>
      <c r="B2261" s="106"/>
      <c r="C2261" s="106"/>
      <c r="D2261" s="106"/>
      <c r="E2261" s="106"/>
      <c r="F2261" s="106"/>
      <c r="G2261" s="106"/>
      <c r="H2261" s="106"/>
      <c r="I2261" s="106"/>
      <c r="J2261" s="106"/>
    </row>
    <row r="2262" spans="1:10" ht="18" customHeight="1" x14ac:dyDescent="0.2">
      <c r="A2262" s="117" t="s">
        <v>556</v>
      </c>
      <c r="B2262" s="126" t="s">
        <v>5</v>
      </c>
      <c r="C2262" s="117" t="s">
        <v>6</v>
      </c>
      <c r="D2262" s="117" t="s">
        <v>7</v>
      </c>
      <c r="E2262" s="136" t="s">
        <v>1113</v>
      </c>
      <c r="F2262" s="136"/>
      <c r="G2262" s="7" t="s">
        <v>8</v>
      </c>
      <c r="H2262" s="126" t="s">
        <v>9</v>
      </c>
      <c r="I2262" s="126" t="s">
        <v>10</v>
      </c>
      <c r="J2262" s="126" t="s">
        <v>12</v>
      </c>
    </row>
    <row r="2263" spans="1:10" ht="24" customHeight="1" x14ac:dyDescent="0.2">
      <c r="A2263" s="116" t="s">
        <v>1861</v>
      </c>
      <c r="B2263" s="1" t="s">
        <v>557</v>
      </c>
      <c r="C2263" s="116" t="s">
        <v>20</v>
      </c>
      <c r="D2263" s="116" t="s">
        <v>558</v>
      </c>
      <c r="E2263" s="137">
        <v>26</v>
      </c>
      <c r="F2263" s="137"/>
      <c r="G2263" s="2" t="s">
        <v>22</v>
      </c>
      <c r="H2263" s="115">
        <v>1</v>
      </c>
      <c r="I2263" s="61">
        <v>1.71</v>
      </c>
      <c r="J2263" s="61">
        <v>1.71</v>
      </c>
    </row>
    <row r="2264" spans="1:10" ht="24" customHeight="1" x14ac:dyDescent="0.2">
      <c r="A2264" s="113" t="s">
        <v>1859</v>
      </c>
      <c r="B2264" s="114" t="s">
        <v>2002</v>
      </c>
      <c r="C2264" s="113" t="s">
        <v>20</v>
      </c>
      <c r="D2264" s="113" t="s">
        <v>2001</v>
      </c>
      <c r="E2264" s="139" t="s">
        <v>1369</v>
      </c>
      <c r="F2264" s="139"/>
      <c r="G2264" s="112" t="s">
        <v>1877</v>
      </c>
      <c r="H2264" s="111">
        <v>0.12</v>
      </c>
      <c r="I2264" s="110">
        <v>8.34</v>
      </c>
      <c r="J2264" s="110">
        <v>1</v>
      </c>
    </row>
    <row r="2265" spans="1:10" ht="24" customHeight="1" x14ac:dyDescent="0.2">
      <c r="A2265" s="113" t="s">
        <v>1859</v>
      </c>
      <c r="B2265" s="114" t="s">
        <v>1998</v>
      </c>
      <c r="C2265" s="113" t="s">
        <v>20</v>
      </c>
      <c r="D2265" s="113" t="s">
        <v>1997</v>
      </c>
      <c r="E2265" s="139" t="s">
        <v>1860</v>
      </c>
      <c r="F2265" s="139"/>
      <c r="G2265" s="112" t="s">
        <v>1864</v>
      </c>
      <c r="H2265" s="111">
        <v>4.4299999999999999E-2</v>
      </c>
      <c r="I2265" s="110">
        <v>15.97</v>
      </c>
      <c r="J2265" s="110">
        <v>0.71</v>
      </c>
    </row>
    <row r="2266" spans="1:10" x14ac:dyDescent="0.2">
      <c r="A2266" s="109"/>
      <c r="B2266" s="109"/>
      <c r="C2266" s="109"/>
      <c r="D2266" s="109"/>
      <c r="E2266" s="109" t="s">
        <v>1858</v>
      </c>
      <c r="F2266" s="108">
        <v>0.71</v>
      </c>
      <c r="G2266" s="109" t="s">
        <v>1857</v>
      </c>
      <c r="H2266" s="108">
        <v>0</v>
      </c>
      <c r="I2266" s="109" t="s">
        <v>1856</v>
      </c>
      <c r="J2266" s="108">
        <v>0.71</v>
      </c>
    </row>
    <row r="2267" spans="1:10" ht="13.9" customHeight="1" x14ac:dyDescent="0.2">
      <c r="A2267" s="109"/>
      <c r="B2267" s="109"/>
      <c r="C2267" s="109"/>
      <c r="D2267" s="109"/>
      <c r="E2267" s="109" t="s">
        <v>1855</v>
      </c>
      <c r="F2267" s="108">
        <v>0.45400499999999999</v>
      </c>
      <c r="G2267" s="109"/>
      <c r="H2267" s="140" t="s">
        <v>1854</v>
      </c>
      <c r="I2267" s="140"/>
      <c r="J2267" s="108">
        <v>2.16</v>
      </c>
    </row>
    <row r="2268" spans="1:10" ht="30" customHeight="1" thickBot="1" x14ac:dyDescent="0.25">
      <c r="A2268" s="100"/>
      <c r="B2268" s="100"/>
      <c r="C2268" s="100"/>
      <c r="D2268" s="100"/>
      <c r="E2268" s="100"/>
      <c r="F2268" s="100"/>
      <c r="G2268" s="100" t="s">
        <v>1853</v>
      </c>
      <c r="H2268" s="107">
        <v>1796.8</v>
      </c>
      <c r="I2268" s="100" t="s">
        <v>1852</v>
      </c>
      <c r="J2268" s="102">
        <v>3881.09</v>
      </c>
    </row>
    <row r="2269" spans="1:10" ht="1.1499999999999999" customHeight="1" thickTop="1" x14ac:dyDescent="0.2">
      <c r="A2269" s="106"/>
      <c r="B2269" s="106"/>
      <c r="C2269" s="106"/>
      <c r="D2269" s="106"/>
      <c r="E2269" s="106"/>
      <c r="F2269" s="106"/>
      <c r="G2269" s="106"/>
      <c r="H2269" s="106"/>
      <c r="I2269" s="106"/>
      <c r="J2269" s="106"/>
    </row>
    <row r="2270" spans="1:10" ht="18" customHeight="1" x14ac:dyDescent="0.2">
      <c r="A2270" s="117" t="s">
        <v>559</v>
      </c>
      <c r="B2270" s="126" t="s">
        <v>5</v>
      </c>
      <c r="C2270" s="117" t="s">
        <v>6</v>
      </c>
      <c r="D2270" s="117" t="s">
        <v>7</v>
      </c>
      <c r="E2270" s="136" t="s">
        <v>1113</v>
      </c>
      <c r="F2270" s="136"/>
      <c r="G2270" s="7" t="s">
        <v>8</v>
      </c>
      <c r="H2270" s="126" t="s">
        <v>9</v>
      </c>
      <c r="I2270" s="126" t="s">
        <v>10</v>
      </c>
      <c r="J2270" s="126" t="s">
        <v>12</v>
      </c>
    </row>
    <row r="2271" spans="1:10" ht="24" customHeight="1" x14ac:dyDescent="0.2">
      <c r="A2271" s="116" t="s">
        <v>1861</v>
      </c>
      <c r="B2271" s="1" t="s">
        <v>560</v>
      </c>
      <c r="C2271" s="116" t="s">
        <v>244</v>
      </c>
      <c r="D2271" s="116" t="s">
        <v>561</v>
      </c>
      <c r="E2271" s="137" t="s">
        <v>1478</v>
      </c>
      <c r="F2271" s="137"/>
      <c r="G2271" s="2" t="s">
        <v>22</v>
      </c>
      <c r="H2271" s="115">
        <v>1</v>
      </c>
      <c r="I2271" s="61">
        <v>103.98</v>
      </c>
      <c r="J2271" s="61">
        <v>103.98</v>
      </c>
    </row>
    <row r="2272" spans="1:10" ht="24" customHeight="1" x14ac:dyDescent="0.2">
      <c r="A2272" s="121" t="s">
        <v>1888</v>
      </c>
      <c r="B2272" s="122" t="s">
        <v>2225</v>
      </c>
      <c r="C2272" s="121" t="s">
        <v>244</v>
      </c>
      <c r="D2272" s="121" t="s">
        <v>2224</v>
      </c>
      <c r="E2272" s="138" t="s">
        <v>1891</v>
      </c>
      <c r="F2272" s="138"/>
      <c r="G2272" s="120" t="s">
        <v>2221</v>
      </c>
      <c r="H2272" s="119">
        <v>4.5</v>
      </c>
      <c r="I2272" s="118">
        <v>1.75</v>
      </c>
      <c r="J2272" s="118">
        <v>7.88</v>
      </c>
    </row>
    <row r="2273" spans="1:10" ht="24" customHeight="1" x14ac:dyDescent="0.2">
      <c r="A2273" s="121" t="s">
        <v>1888</v>
      </c>
      <c r="B2273" s="122" t="s">
        <v>1890</v>
      </c>
      <c r="C2273" s="121" t="s">
        <v>244</v>
      </c>
      <c r="D2273" s="121" t="s">
        <v>1889</v>
      </c>
      <c r="E2273" s="138" t="s">
        <v>1885</v>
      </c>
      <c r="F2273" s="138"/>
      <c r="G2273" s="120" t="s">
        <v>1864</v>
      </c>
      <c r="H2273" s="119">
        <v>0.45</v>
      </c>
      <c r="I2273" s="118">
        <v>3.61</v>
      </c>
      <c r="J2273" s="118">
        <v>1.62</v>
      </c>
    </row>
    <row r="2274" spans="1:10" ht="24" customHeight="1" x14ac:dyDescent="0.2">
      <c r="A2274" s="121" t="s">
        <v>1888</v>
      </c>
      <c r="B2274" s="122" t="s">
        <v>1887</v>
      </c>
      <c r="C2274" s="121" t="s">
        <v>244</v>
      </c>
      <c r="D2274" s="121" t="s">
        <v>1886</v>
      </c>
      <c r="E2274" s="138" t="s">
        <v>1885</v>
      </c>
      <c r="F2274" s="138"/>
      <c r="G2274" s="120" t="s">
        <v>1864</v>
      </c>
      <c r="H2274" s="119">
        <v>0.55000000000000004</v>
      </c>
      <c r="I2274" s="118">
        <v>3.51</v>
      </c>
      <c r="J2274" s="118">
        <v>1.93</v>
      </c>
    </row>
    <row r="2275" spans="1:10" ht="24" customHeight="1" x14ac:dyDescent="0.2">
      <c r="A2275" s="113" t="s">
        <v>1859</v>
      </c>
      <c r="B2275" s="114" t="s">
        <v>2223</v>
      </c>
      <c r="C2275" s="113" t="s">
        <v>244</v>
      </c>
      <c r="D2275" s="113" t="s">
        <v>2222</v>
      </c>
      <c r="E2275" s="139" t="s">
        <v>1369</v>
      </c>
      <c r="F2275" s="139"/>
      <c r="G2275" s="112" t="s">
        <v>2221</v>
      </c>
      <c r="H2275" s="111">
        <v>0.38</v>
      </c>
      <c r="I2275" s="110">
        <v>3.5</v>
      </c>
      <c r="J2275" s="110">
        <v>1.33</v>
      </c>
    </row>
    <row r="2276" spans="1:10" ht="36" customHeight="1" x14ac:dyDescent="0.2">
      <c r="A2276" s="113" t="s">
        <v>1859</v>
      </c>
      <c r="B2276" s="114" t="s">
        <v>2220</v>
      </c>
      <c r="C2276" s="113" t="s">
        <v>244</v>
      </c>
      <c r="D2276" s="113" t="s">
        <v>2219</v>
      </c>
      <c r="E2276" s="139" t="s">
        <v>1369</v>
      </c>
      <c r="F2276" s="139"/>
      <c r="G2276" s="112" t="s">
        <v>22</v>
      </c>
      <c r="H2276" s="111">
        <v>1.05</v>
      </c>
      <c r="I2276" s="110">
        <v>74.17</v>
      </c>
      <c r="J2276" s="110">
        <v>77.88</v>
      </c>
    </row>
    <row r="2277" spans="1:10" ht="24" customHeight="1" x14ac:dyDescent="0.2">
      <c r="A2277" s="113" t="s">
        <v>1859</v>
      </c>
      <c r="B2277" s="114" t="s">
        <v>1882</v>
      </c>
      <c r="C2277" s="113" t="s">
        <v>25</v>
      </c>
      <c r="D2277" s="113" t="s">
        <v>1865</v>
      </c>
      <c r="E2277" s="139" t="s">
        <v>1860</v>
      </c>
      <c r="F2277" s="139"/>
      <c r="G2277" s="112" t="s">
        <v>61</v>
      </c>
      <c r="H2277" s="111">
        <v>0.55000000000000004</v>
      </c>
      <c r="I2277" s="110">
        <v>15.71</v>
      </c>
      <c r="J2277" s="110">
        <v>8.64</v>
      </c>
    </row>
    <row r="2278" spans="1:10" ht="24" customHeight="1" x14ac:dyDescent="0.2">
      <c r="A2278" s="113" t="s">
        <v>1859</v>
      </c>
      <c r="B2278" s="114" t="s">
        <v>1881</v>
      </c>
      <c r="C2278" s="113" t="s">
        <v>25</v>
      </c>
      <c r="D2278" s="113" t="s">
        <v>1880</v>
      </c>
      <c r="E2278" s="139" t="s">
        <v>1860</v>
      </c>
      <c r="F2278" s="139"/>
      <c r="G2278" s="112" t="s">
        <v>61</v>
      </c>
      <c r="H2278" s="111">
        <v>0.45</v>
      </c>
      <c r="I2278" s="110">
        <v>10.44</v>
      </c>
      <c r="J2278" s="110">
        <v>4.7</v>
      </c>
    </row>
    <row r="2279" spans="1:10" x14ac:dyDescent="0.2">
      <c r="A2279" s="109"/>
      <c r="B2279" s="109"/>
      <c r="C2279" s="109"/>
      <c r="D2279" s="109"/>
      <c r="E2279" s="109" t="s">
        <v>1858</v>
      </c>
      <c r="F2279" s="108">
        <v>13.66</v>
      </c>
      <c r="G2279" s="109" t="s">
        <v>1857</v>
      </c>
      <c r="H2279" s="108">
        <v>0</v>
      </c>
      <c r="I2279" s="109" t="s">
        <v>1856</v>
      </c>
      <c r="J2279" s="108">
        <v>13.66</v>
      </c>
    </row>
    <row r="2280" spans="1:10" ht="13.9" customHeight="1" x14ac:dyDescent="0.2">
      <c r="A2280" s="109"/>
      <c r="B2280" s="109"/>
      <c r="C2280" s="109"/>
      <c r="D2280" s="109"/>
      <c r="E2280" s="109" t="s">
        <v>1855</v>
      </c>
      <c r="F2280" s="108">
        <v>27.60669</v>
      </c>
      <c r="G2280" s="109"/>
      <c r="H2280" s="140" t="s">
        <v>1854</v>
      </c>
      <c r="I2280" s="140"/>
      <c r="J2280" s="108">
        <v>131.59</v>
      </c>
    </row>
    <row r="2281" spans="1:10" ht="30" customHeight="1" thickBot="1" x14ac:dyDescent="0.25">
      <c r="A2281" s="100"/>
      <c r="B2281" s="100"/>
      <c r="C2281" s="100"/>
      <c r="D2281" s="100"/>
      <c r="E2281" s="100"/>
      <c r="F2281" s="100"/>
      <c r="G2281" s="100" t="s">
        <v>1853</v>
      </c>
      <c r="H2281" s="107">
        <v>79.81</v>
      </c>
      <c r="I2281" s="100" t="s">
        <v>1852</v>
      </c>
      <c r="J2281" s="102">
        <v>10502.2</v>
      </c>
    </row>
    <row r="2282" spans="1:10" ht="1.1499999999999999" customHeight="1" thickTop="1" x14ac:dyDescent="0.2">
      <c r="A2282" s="106"/>
      <c r="B2282" s="106"/>
      <c r="C2282" s="106"/>
      <c r="D2282" s="106"/>
      <c r="E2282" s="106"/>
      <c r="F2282" s="106"/>
      <c r="G2282" s="106"/>
      <c r="H2282" s="106"/>
      <c r="I2282" s="106"/>
      <c r="J2282" s="106"/>
    </row>
    <row r="2283" spans="1:10" ht="18" customHeight="1" x14ac:dyDescent="0.2">
      <c r="A2283" s="117" t="s">
        <v>562</v>
      </c>
      <c r="B2283" s="126" t="s">
        <v>5</v>
      </c>
      <c r="C2283" s="117" t="s">
        <v>6</v>
      </c>
      <c r="D2283" s="117" t="s">
        <v>7</v>
      </c>
      <c r="E2283" s="136" t="s">
        <v>1113</v>
      </c>
      <c r="F2283" s="136"/>
      <c r="G2283" s="7" t="s">
        <v>8</v>
      </c>
      <c r="H2283" s="126" t="s">
        <v>9</v>
      </c>
      <c r="I2283" s="126" t="s">
        <v>10</v>
      </c>
      <c r="J2283" s="126" t="s">
        <v>12</v>
      </c>
    </row>
    <row r="2284" spans="1:10" ht="24" customHeight="1" x14ac:dyDescent="0.2">
      <c r="A2284" s="116" t="s">
        <v>1861</v>
      </c>
      <c r="B2284" s="1" t="s">
        <v>563</v>
      </c>
      <c r="C2284" s="116" t="s">
        <v>20</v>
      </c>
      <c r="D2284" s="116" t="s">
        <v>564</v>
      </c>
      <c r="E2284" s="137">
        <v>26</v>
      </c>
      <c r="F2284" s="137"/>
      <c r="G2284" s="2" t="s">
        <v>22</v>
      </c>
      <c r="H2284" s="115">
        <v>1</v>
      </c>
      <c r="I2284" s="61">
        <v>11.96</v>
      </c>
      <c r="J2284" s="61">
        <v>11.96</v>
      </c>
    </row>
    <row r="2285" spans="1:10" ht="24" customHeight="1" x14ac:dyDescent="0.2">
      <c r="A2285" s="113" t="s">
        <v>1859</v>
      </c>
      <c r="B2285" s="114" t="s">
        <v>2218</v>
      </c>
      <c r="C2285" s="113" t="s">
        <v>20</v>
      </c>
      <c r="D2285" s="113" t="s">
        <v>2217</v>
      </c>
      <c r="E2285" s="139" t="s">
        <v>1369</v>
      </c>
      <c r="F2285" s="139"/>
      <c r="G2285" s="112" t="s">
        <v>96</v>
      </c>
      <c r="H2285" s="111">
        <v>1.0326</v>
      </c>
      <c r="I2285" s="110">
        <v>5.57</v>
      </c>
      <c r="J2285" s="110">
        <v>5.75</v>
      </c>
    </row>
    <row r="2286" spans="1:10" ht="24" customHeight="1" x14ac:dyDescent="0.2">
      <c r="A2286" s="113" t="s">
        <v>1859</v>
      </c>
      <c r="B2286" s="114" t="s">
        <v>2004</v>
      </c>
      <c r="C2286" s="113" t="s">
        <v>20</v>
      </c>
      <c r="D2286" s="113" t="s">
        <v>2003</v>
      </c>
      <c r="E2286" s="139" t="s">
        <v>1369</v>
      </c>
      <c r="F2286" s="139"/>
      <c r="G2286" s="112" t="s">
        <v>246</v>
      </c>
      <c r="H2286" s="111">
        <v>0.1</v>
      </c>
      <c r="I2286" s="110">
        <v>0.71</v>
      </c>
      <c r="J2286" s="110">
        <v>7.0000000000000007E-2</v>
      </c>
    </row>
    <row r="2287" spans="1:10" ht="24" customHeight="1" x14ac:dyDescent="0.2">
      <c r="A2287" s="113" t="s">
        <v>1859</v>
      </c>
      <c r="B2287" s="114" t="s">
        <v>2002</v>
      </c>
      <c r="C2287" s="113" t="s">
        <v>20</v>
      </c>
      <c r="D2287" s="113" t="s">
        <v>2001</v>
      </c>
      <c r="E2287" s="139" t="s">
        <v>1369</v>
      </c>
      <c r="F2287" s="139"/>
      <c r="G2287" s="112" t="s">
        <v>1877</v>
      </c>
      <c r="H2287" s="111">
        <v>0.12</v>
      </c>
      <c r="I2287" s="110">
        <v>8.34</v>
      </c>
      <c r="J2287" s="110">
        <v>1</v>
      </c>
    </row>
    <row r="2288" spans="1:10" ht="24" customHeight="1" x14ac:dyDescent="0.2">
      <c r="A2288" s="113" t="s">
        <v>1859</v>
      </c>
      <c r="B2288" s="114" t="s">
        <v>1951</v>
      </c>
      <c r="C2288" s="113" t="s">
        <v>20</v>
      </c>
      <c r="D2288" s="113" t="s">
        <v>1950</v>
      </c>
      <c r="E2288" s="139" t="s">
        <v>1860</v>
      </c>
      <c r="F2288" s="139"/>
      <c r="G2288" s="112" t="s">
        <v>1864</v>
      </c>
      <c r="H2288" s="111">
        <v>9.2799999999999994E-2</v>
      </c>
      <c r="I2288" s="110">
        <v>10.62</v>
      </c>
      <c r="J2288" s="110">
        <v>0.99</v>
      </c>
    </row>
    <row r="2289" spans="1:10" ht="24" customHeight="1" x14ac:dyDescent="0.2">
      <c r="A2289" s="113" t="s">
        <v>1859</v>
      </c>
      <c r="B2289" s="114" t="s">
        <v>1998</v>
      </c>
      <c r="C2289" s="113" t="s">
        <v>20</v>
      </c>
      <c r="D2289" s="113" t="s">
        <v>1997</v>
      </c>
      <c r="E2289" s="139" t="s">
        <v>1860</v>
      </c>
      <c r="F2289" s="139"/>
      <c r="G2289" s="112" t="s">
        <v>1864</v>
      </c>
      <c r="H2289" s="111">
        <v>0.26</v>
      </c>
      <c r="I2289" s="110">
        <v>15.97</v>
      </c>
      <c r="J2289" s="110">
        <v>4.1500000000000004</v>
      </c>
    </row>
    <row r="2290" spans="1:10" x14ac:dyDescent="0.2">
      <c r="A2290" s="109"/>
      <c r="B2290" s="109"/>
      <c r="C2290" s="109"/>
      <c r="D2290" s="109"/>
      <c r="E2290" s="109" t="s">
        <v>1858</v>
      </c>
      <c r="F2290" s="108">
        <v>5.14</v>
      </c>
      <c r="G2290" s="109" t="s">
        <v>1857</v>
      </c>
      <c r="H2290" s="108">
        <v>0</v>
      </c>
      <c r="I2290" s="109" t="s">
        <v>1856</v>
      </c>
      <c r="J2290" s="108">
        <v>5.14</v>
      </c>
    </row>
    <row r="2291" spans="1:10" ht="13.9" customHeight="1" x14ac:dyDescent="0.2">
      <c r="A2291" s="109"/>
      <c r="B2291" s="109"/>
      <c r="C2291" s="109"/>
      <c r="D2291" s="109"/>
      <c r="E2291" s="109" t="s">
        <v>1855</v>
      </c>
      <c r="F2291" s="108">
        <v>3.1753800000000001</v>
      </c>
      <c r="G2291" s="109"/>
      <c r="H2291" s="140" t="s">
        <v>1854</v>
      </c>
      <c r="I2291" s="140"/>
      <c r="J2291" s="108">
        <v>15.14</v>
      </c>
    </row>
    <row r="2292" spans="1:10" ht="30" customHeight="1" thickBot="1" x14ac:dyDescent="0.25">
      <c r="A2292" s="100"/>
      <c r="B2292" s="100"/>
      <c r="C2292" s="100"/>
      <c r="D2292" s="100"/>
      <c r="E2292" s="100"/>
      <c r="F2292" s="100"/>
      <c r="G2292" s="100" t="s">
        <v>1853</v>
      </c>
      <c r="H2292" s="107">
        <v>969.22</v>
      </c>
      <c r="I2292" s="100" t="s">
        <v>1852</v>
      </c>
      <c r="J2292" s="102">
        <v>14673.99</v>
      </c>
    </row>
    <row r="2293" spans="1:10" ht="1.1499999999999999" customHeight="1" thickTop="1" x14ac:dyDescent="0.2">
      <c r="A2293" s="106"/>
      <c r="B2293" s="106"/>
      <c r="C2293" s="106"/>
      <c r="D2293" s="106"/>
      <c r="E2293" s="106"/>
      <c r="F2293" s="106"/>
      <c r="G2293" s="106"/>
      <c r="H2293" s="106"/>
      <c r="I2293" s="106"/>
      <c r="J2293" s="106"/>
    </row>
    <row r="2294" spans="1:10" ht="24" customHeight="1" x14ac:dyDescent="0.2">
      <c r="A2294" s="123" t="s">
        <v>565</v>
      </c>
      <c r="B2294" s="123"/>
      <c r="C2294" s="123"/>
      <c r="D2294" s="123" t="s">
        <v>566</v>
      </c>
      <c r="E2294" s="123"/>
      <c r="F2294" s="142"/>
      <c r="G2294" s="142"/>
      <c r="H2294" s="3"/>
      <c r="I2294" s="123"/>
      <c r="J2294" s="63">
        <v>13853.43</v>
      </c>
    </row>
    <row r="2295" spans="1:10" ht="18" customHeight="1" x14ac:dyDescent="0.2">
      <c r="A2295" s="117" t="s">
        <v>567</v>
      </c>
      <c r="B2295" s="126" t="s">
        <v>5</v>
      </c>
      <c r="C2295" s="117" t="s">
        <v>6</v>
      </c>
      <c r="D2295" s="117" t="s">
        <v>7</v>
      </c>
      <c r="E2295" s="136" t="s">
        <v>1113</v>
      </c>
      <c r="F2295" s="136"/>
      <c r="G2295" s="7" t="s">
        <v>8</v>
      </c>
      <c r="H2295" s="126" t="s">
        <v>9</v>
      </c>
      <c r="I2295" s="126" t="s">
        <v>10</v>
      </c>
      <c r="J2295" s="126" t="s">
        <v>12</v>
      </c>
    </row>
    <row r="2296" spans="1:10" ht="36" customHeight="1" x14ac:dyDescent="0.2">
      <c r="A2296" s="116" t="s">
        <v>1861</v>
      </c>
      <c r="B2296" s="1" t="s">
        <v>568</v>
      </c>
      <c r="C2296" s="116" t="s">
        <v>25</v>
      </c>
      <c r="D2296" s="116" t="s">
        <v>569</v>
      </c>
      <c r="E2296" s="137" t="s">
        <v>1439</v>
      </c>
      <c r="F2296" s="137"/>
      <c r="G2296" s="2" t="s">
        <v>22</v>
      </c>
      <c r="H2296" s="115">
        <v>1</v>
      </c>
      <c r="I2296" s="61">
        <v>37.659999999999997</v>
      </c>
      <c r="J2296" s="61">
        <v>37.659999999999997</v>
      </c>
    </row>
    <row r="2297" spans="1:10" ht="36" customHeight="1" x14ac:dyDescent="0.2">
      <c r="A2297" s="121" t="s">
        <v>1888</v>
      </c>
      <c r="B2297" s="122" t="s">
        <v>2216</v>
      </c>
      <c r="C2297" s="121" t="s">
        <v>25</v>
      </c>
      <c r="D2297" s="121" t="s">
        <v>2215</v>
      </c>
      <c r="E2297" s="138" t="s">
        <v>1902</v>
      </c>
      <c r="F2297" s="138"/>
      <c r="G2297" s="120" t="s">
        <v>49</v>
      </c>
      <c r="H2297" s="119">
        <v>2.5000000000000001E-2</v>
      </c>
      <c r="I2297" s="118">
        <v>623.4</v>
      </c>
      <c r="J2297" s="118">
        <v>15.59</v>
      </c>
    </row>
    <row r="2298" spans="1:10" ht="24" customHeight="1" x14ac:dyDescent="0.2">
      <c r="A2298" s="121" t="s">
        <v>1888</v>
      </c>
      <c r="B2298" s="122" t="s">
        <v>2046</v>
      </c>
      <c r="C2298" s="121" t="s">
        <v>25</v>
      </c>
      <c r="D2298" s="121" t="s">
        <v>2045</v>
      </c>
      <c r="E2298" s="138" t="s">
        <v>1902</v>
      </c>
      <c r="F2298" s="138"/>
      <c r="G2298" s="120" t="s">
        <v>61</v>
      </c>
      <c r="H2298" s="119">
        <v>0.73</v>
      </c>
      <c r="I2298" s="118">
        <v>21.54</v>
      </c>
      <c r="J2298" s="118">
        <v>15.72</v>
      </c>
    </row>
    <row r="2299" spans="1:10" ht="24" customHeight="1" x14ac:dyDescent="0.2">
      <c r="A2299" s="121" t="s">
        <v>1888</v>
      </c>
      <c r="B2299" s="122" t="s">
        <v>1906</v>
      </c>
      <c r="C2299" s="121" t="s">
        <v>25</v>
      </c>
      <c r="D2299" s="121" t="s">
        <v>1905</v>
      </c>
      <c r="E2299" s="138" t="s">
        <v>1902</v>
      </c>
      <c r="F2299" s="138"/>
      <c r="G2299" s="120" t="s">
        <v>61</v>
      </c>
      <c r="H2299" s="119">
        <v>0.14799999999999999</v>
      </c>
      <c r="I2299" s="118">
        <v>16.059999999999999</v>
      </c>
      <c r="J2299" s="118">
        <v>2.38</v>
      </c>
    </row>
    <row r="2300" spans="1:10" ht="36" customHeight="1" x14ac:dyDescent="0.2">
      <c r="A2300" s="113" t="s">
        <v>1859</v>
      </c>
      <c r="B2300" s="114" t="s">
        <v>2214</v>
      </c>
      <c r="C2300" s="113" t="s">
        <v>25</v>
      </c>
      <c r="D2300" s="113" t="s">
        <v>2213</v>
      </c>
      <c r="E2300" s="139" t="s">
        <v>1369</v>
      </c>
      <c r="F2300" s="139"/>
      <c r="G2300" s="112" t="s">
        <v>1562</v>
      </c>
      <c r="H2300" s="111">
        <v>0.55900000000000005</v>
      </c>
      <c r="I2300" s="110">
        <v>7.11</v>
      </c>
      <c r="J2300" s="110">
        <v>3.97</v>
      </c>
    </row>
    <row r="2301" spans="1:10" x14ac:dyDescent="0.2">
      <c r="A2301" s="109"/>
      <c r="B2301" s="109"/>
      <c r="C2301" s="109"/>
      <c r="D2301" s="109"/>
      <c r="E2301" s="109" t="s">
        <v>1858</v>
      </c>
      <c r="F2301" s="108">
        <v>15.2</v>
      </c>
      <c r="G2301" s="109" t="s">
        <v>1857</v>
      </c>
      <c r="H2301" s="108">
        <v>0</v>
      </c>
      <c r="I2301" s="109" t="s">
        <v>1856</v>
      </c>
      <c r="J2301" s="108">
        <v>15.2</v>
      </c>
    </row>
    <row r="2302" spans="1:10" ht="13.9" customHeight="1" x14ac:dyDescent="0.2">
      <c r="A2302" s="109"/>
      <c r="B2302" s="109"/>
      <c r="C2302" s="109"/>
      <c r="D2302" s="109"/>
      <c r="E2302" s="109" t="s">
        <v>1855</v>
      </c>
      <c r="F2302" s="108">
        <v>9.9987300000000001</v>
      </c>
      <c r="G2302" s="109"/>
      <c r="H2302" s="140" t="s">
        <v>1854</v>
      </c>
      <c r="I2302" s="140"/>
      <c r="J2302" s="108">
        <v>47.66</v>
      </c>
    </row>
    <row r="2303" spans="1:10" ht="30" customHeight="1" thickBot="1" x14ac:dyDescent="0.25">
      <c r="A2303" s="100"/>
      <c r="B2303" s="100"/>
      <c r="C2303" s="100"/>
      <c r="D2303" s="100"/>
      <c r="E2303" s="100"/>
      <c r="F2303" s="100"/>
      <c r="G2303" s="100" t="s">
        <v>1853</v>
      </c>
      <c r="H2303" s="107">
        <v>60</v>
      </c>
      <c r="I2303" s="100" t="s">
        <v>1852</v>
      </c>
      <c r="J2303" s="102">
        <v>2859.6</v>
      </c>
    </row>
    <row r="2304" spans="1:10" ht="1.1499999999999999" customHeight="1" thickTop="1" x14ac:dyDescent="0.2">
      <c r="A2304" s="106"/>
      <c r="B2304" s="106"/>
      <c r="C2304" s="106"/>
      <c r="D2304" s="106"/>
      <c r="E2304" s="106"/>
      <c r="F2304" s="106"/>
      <c r="G2304" s="106"/>
      <c r="H2304" s="106"/>
      <c r="I2304" s="106"/>
      <c r="J2304" s="106"/>
    </row>
    <row r="2305" spans="1:10" ht="18" customHeight="1" x14ac:dyDescent="0.2">
      <c r="A2305" s="117" t="s">
        <v>570</v>
      </c>
      <c r="B2305" s="126" t="s">
        <v>5</v>
      </c>
      <c r="C2305" s="117" t="s">
        <v>6</v>
      </c>
      <c r="D2305" s="117" t="s">
        <v>7</v>
      </c>
      <c r="E2305" s="136" t="s">
        <v>1113</v>
      </c>
      <c r="F2305" s="136"/>
      <c r="G2305" s="7" t="s">
        <v>8</v>
      </c>
      <c r="H2305" s="126" t="s">
        <v>9</v>
      </c>
      <c r="I2305" s="126" t="s">
        <v>10</v>
      </c>
      <c r="J2305" s="126" t="s">
        <v>12</v>
      </c>
    </row>
    <row r="2306" spans="1:10" ht="24" customHeight="1" x14ac:dyDescent="0.2">
      <c r="A2306" s="116" t="s">
        <v>1861</v>
      </c>
      <c r="B2306" s="1" t="s">
        <v>571</v>
      </c>
      <c r="C2306" s="116" t="s">
        <v>20</v>
      </c>
      <c r="D2306" s="116" t="s">
        <v>572</v>
      </c>
      <c r="E2306" s="137">
        <v>12</v>
      </c>
      <c r="F2306" s="137"/>
      <c r="G2306" s="2" t="s">
        <v>22</v>
      </c>
      <c r="H2306" s="115">
        <v>1</v>
      </c>
      <c r="I2306" s="61">
        <v>82.3</v>
      </c>
      <c r="J2306" s="61">
        <v>82.3</v>
      </c>
    </row>
    <row r="2307" spans="1:10" ht="24" customHeight="1" x14ac:dyDescent="0.2">
      <c r="A2307" s="113" t="s">
        <v>1859</v>
      </c>
      <c r="B2307" s="114" t="s">
        <v>2212</v>
      </c>
      <c r="C2307" s="113" t="s">
        <v>20</v>
      </c>
      <c r="D2307" s="113" t="s">
        <v>2211</v>
      </c>
      <c r="E2307" s="139" t="s">
        <v>1369</v>
      </c>
      <c r="F2307" s="139"/>
      <c r="G2307" s="112" t="s">
        <v>1877</v>
      </c>
      <c r="H2307" s="111">
        <v>0.61499999999999999</v>
      </c>
      <c r="I2307" s="110">
        <v>14.83</v>
      </c>
      <c r="J2307" s="110">
        <v>9.1199999999999992</v>
      </c>
    </row>
    <row r="2308" spans="1:10" ht="24" customHeight="1" x14ac:dyDescent="0.2">
      <c r="A2308" s="113" t="s">
        <v>1859</v>
      </c>
      <c r="B2308" s="114" t="s">
        <v>2210</v>
      </c>
      <c r="C2308" s="113" t="s">
        <v>20</v>
      </c>
      <c r="D2308" s="113" t="s">
        <v>2209</v>
      </c>
      <c r="E2308" s="139" t="s">
        <v>1369</v>
      </c>
      <c r="F2308" s="139"/>
      <c r="G2308" s="112" t="s">
        <v>22</v>
      </c>
      <c r="H2308" s="111">
        <v>1.125</v>
      </c>
      <c r="I2308" s="110">
        <v>47.64</v>
      </c>
      <c r="J2308" s="110">
        <v>53.6</v>
      </c>
    </row>
    <row r="2309" spans="1:10" ht="24" customHeight="1" x14ac:dyDescent="0.2">
      <c r="A2309" s="113" t="s">
        <v>1859</v>
      </c>
      <c r="B2309" s="114" t="s">
        <v>2208</v>
      </c>
      <c r="C2309" s="113" t="s">
        <v>20</v>
      </c>
      <c r="D2309" s="113" t="s">
        <v>2207</v>
      </c>
      <c r="E2309" s="139" t="s">
        <v>1369</v>
      </c>
      <c r="F2309" s="139"/>
      <c r="G2309" s="112" t="s">
        <v>96</v>
      </c>
      <c r="H2309" s="111">
        <v>0.26</v>
      </c>
      <c r="I2309" s="110">
        <v>9.23</v>
      </c>
      <c r="J2309" s="110">
        <v>2.4</v>
      </c>
    </row>
    <row r="2310" spans="1:10" ht="24" customHeight="1" x14ac:dyDescent="0.2">
      <c r="A2310" s="113" t="s">
        <v>1859</v>
      </c>
      <c r="B2310" s="114" t="s">
        <v>1951</v>
      </c>
      <c r="C2310" s="113" t="s">
        <v>20</v>
      </c>
      <c r="D2310" s="113" t="s">
        <v>1950</v>
      </c>
      <c r="E2310" s="139" t="s">
        <v>1860</v>
      </c>
      <c r="F2310" s="139"/>
      <c r="G2310" s="112" t="s">
        <v>1864</v>
      </c>
      <c r="H2310" s="111">
        <v>0.192</v>
      </c>
      <c r="I2310" s="110">
        <v>10.62</v>
      </c>
      <c r="J2310" s="110">
        <v>2.04</v>
      </c>
    </row>
    <row r="2311" spans="1:10" ht="24" customHeight="1" x14ac:dyDescent="0.2">
      <c r="A2311" s="113" t="s">
        <v>1859</v>
      </c>
      <c r="B2311" s="114" t="s">
        <v>1949</v>
      </c>
      <c r="C2311" s="113" t="s">
        <v>20</v>
      </c>
      <c r="D2311" s="113" t="s">
        <v>1948</v>
      </c>
      <c r="E2311" s="139" t="s">
        <v>1860</v>
      </c>
      <c r="F2311" s="139"/>
      <c r="G2311" s="112" t="s">
        <v>1864</v>
      </c>
      <c r="H2311" s="111">
        <v>0.94799999999999995</v>
      </c>
      <c r="I2311" s="110">
        <v>15.97</v>
      </c>
      <c r="J2311" s="110">
        <v>15.14</v>
      </c>
    </row>
    <row r="2312" spans="1:10" x14ac:dyDescent="0.2">
      <c r="A2312" s="109"/>
      <c r="B2312" s="109"/>
      <c r="C2312" s="109"/>
      <c r="D2312" s="109"/>
      <c r="E2312" s="109" t="s">
        <v>1858</v>
      </c>
      <c r="F2312" s="108">
        <v>17.18</v>
      </c>
      <c r="G2312" s="109" t="s">
        <v>1857</v>
      </c>
      <c r="H2312" s="108">
        <v>0</v>
      </c>
      <c r="I2312" s="109" t="s">
        <v>1856</v>
      </c>
      <c r="J2312" s="108">
        <v>17.18</v>
      </c>
    </row>
    <row r="2313" spans="1:10" ht="13.9" customHeight="1" x14ac:dyDescent="0.2">
      <c r="A2313" s="109"/>
      <c r="B2313" s="109"/>
      <c r="C2313" s="109"/>
      <c r="D2313" s="109"/>
      <c r="E2313" s="109" t="s">
        <v>1855</v>
      </c>
      <c r="F2313" s="108">
        <v>21.850650000000002</v>
      </c>
      <c r="G2313" s="109"/>
      <c r="H2313" s="140" t="s">
        <v>1854</v>
      </c>
      <c r="I2313" s="140"/>
      <c r="J2313" s="108">
        <v>104.15</v>
      </c>
    </row>
    <row r="2314" spans="1:10" ht="30" customHeight="1" thickBot="1" x14ac:dyDescent="0.25">
      <c r="A2314" s="100"/>
      <c r="B2314" s="100"/>
      <c r="C2314" s="100"/>
      <c r="D2314" s="100"/>
      <c r="E2314" s="100"/>
      <c r="F2314" s="100"/>
      <c r="G2314" s="100" t="s">
        <v>1853</v>
      </c>
      <c r="H2314" s="107">
        <v>67.760000000000005</v>
      </c>
      <c r="I2314" s="100" t="s">
        <v>1852</v>
      </c>
      <c r="J2314" s="102">
        <v>7057.2</v>
      </c>
    </row>
    <row r="2315" spans="1:10" ht="1.1499999999999999" customHeight="1" thickTop="1" x14ac:dyDescent="0.2">
      <c r="A2315" s="106"/>
      <c r="B2315" s="106"/>
      <c r="C2315" s="106"/>
      <c r="D2315" s="106"/>
      <c r="E2315" s="106"/>
      <c r="F2315" s="106"/>
      <c r="G2315" s="106"/>
      <c r="H2315" s="106"/>
      <c r="I2315" s="106"/>
      <c r="J2315" s="106"/>
    </row>
    <row r="2316" spans="1:10" ht="18" customHeight="1" x14ac:dyDescent="0.2">
      <c r="A2316" s="117" t="s">
        <v>573</v>
      </c>
      <c r="B2316" s="126" t="s">
        <v>5</v>
      </c>
      <c r="C2316" s="117" t="s">
        <v>6</v>
      </c>
      <c r="D2316" s="117" t="s">
        <v>7</v>
      </c>
      <c r="E2316" s="136" t="s">
        <v>1113</v>
      </c>
      <c r="F2316" s="136"/>
      <c r="G2316" s="7" t="s">
        <v>8</v>
      </c>
      <c r="H2316" s="126" t="s">
        <v>9</v>
      </c>
      <c r="I2316" s="126" t="s">
        <v>10</v>
      </c>
      <c r="J2316" s="126" t="s">
        <v>12</v>
      </c>
    </row>
    <row r="2317" spans="1:10" ht="24" customHeight="1" x14ac:dyDescent="0.2">
      <c r="A2317" s="116" t="s">
        <v>1861</v>
      </c>
      <c r="B2317" s="1" t="s">
        <v>574</v>
      </c>
      <c r="C2317" s="116" t="s">
        <v>20</v>
      </c>
      <c r="D2317" s="116" t="s">
        <v>575</v>
      </c>
      <c r="E2317" s="137">
        <v>12</v>
      </c>
      <c r="F2317" s="137"/>
      <c r="G2317" s="2" t="s">
        <v>22</v>
      </c>
      <c r="H2317" s="115">
        <v>1</v>
      </c>
      <c r="I2317" s="61">
        <v>14.06</v>
      </c>
      <c r="J2317" s="61">
        <v>14.06</v>
      </c>
    </row>
    <row r="2318" spans="1:10" ht="24" customHeight="1" x14ac:dyDescent="0.2">
      <c r="A2318" s="113" t="s">
        <v>1859</v>
      </c>
      <c r="B2318" s="114" t="s">
        <v>2206</v>
      </c>
      <c r="C2318" s="113" t="s">
        <v>20</v>
      </c>
      <c r="D2318" s="113" t="s">
        <v>2205</v>
      </c>
      <c r="E2318" s="139" t="s">
        <v>1369</v>
      </c>
      <c r="F2318" s="139"/>
      <c r="G2318" s="112" t="s">
        <v>1877</v>
      </c>
      <c r="H2318" s="111">
        <v>1</v>
      </c>
      <c r="I2318" s="110">
        <v>12.15</v>
      </c>
      <c r="J2318" s="110">
        <v>12.15</v>
      </c>
    </row>
    <row r="2319" spans="1:10" ht="24" customHeight="1" x14ac:dyDescent="0.2">
      <c r="A2319" s="113" t="s">
        <v>1859</v>
      </c>
      <c r="B2319" s="114" t="s">
        <v>1872</v>
      </c>
      <c r="C2319" s="113" t="s">
        <v>20</v>
      </c>
      <c r="D2319" s="113" t="s">
        <v>1871</v>
      </c>
      <c r="E2319" s="139" t="s">
        <v>1860</v>
      </c>
      <c r="F2319" s="139"/>
      <c r="G2319" s="112" t="s">
        <v>1864</v>
      </c>
      <c r="H2319" s="111">
        <v>0.02</v>
      </c>
      <c r="I2319" s="110">
        <v>10.62</v>
      </c>
      <c r="J2319" s="110">
        <v>0.21</v>
      </c>
    </row>
    <row r="2320" spans="1:10" ht="24" customHeight="1" x14ac:dyDescent="0.2">
      <c r="A2320" s="113" t="s">
        <v>1859</v>
      </c>
      <c r="B2320" s="114" t="s">
        <v>1949</v>
      </c>
      <c r="C2320" s="113" t="s">
        <v>20</v>
      </c>
      <c r="D2320" s="113" t="s">
        <v>1948</v>
      </c>
      <c r="E2320" s="139" t="s">
        <v>1860</v>
      </c>
      <c r="F2320" s="139"/>
      <c r="G2320" s="112" t="s">
        <v>1864</v>
      </c>
      <c r="H2320" s="111">
        <v>0.1067</v>
      </c>
      <c r="I2320" s="110">
        <v>15.97</v>
      </c>
      <c r="J2320" s="110">
        <v>1.7</v>
      </c>
    </row>
    <row r="2321" spans="1:10" x14ac:dyDescent="0.2">
      <c r="A2321" s="109"/>
      <c r="B2321" s="109"/>
      <c r="C2321" s="109"/>
      <c r="D2321" s="109"/>
      <c r="E2321" s="109" t="s">
        <v>1858</v>
      </c>
      <c r="F2321" s="108">
        <v>1.91</v>
      </c>
      <c r="G2321" s="109" t="s">
        <v>1857</v>
      </c>
      <c r="H2321" s="108">
        <v>0</v>
      </c>
      <c r="I2321" s="109" t="s">
        <v>1856</v>
      </c>
      <c r="J2321" s="108">
        <v>1.91</v>
      </c>
    </row>
    <row r="2322" spans="1:10" ht="13.9" customHeight="1" x14ac:dyDescent="0.2">
      <c r="A2322" s="109"/>
      <c r="B2322" s="109"/>
      <c r="C2322" s="109"/>
      <c r="D2322" s="109"/>
      <c r="E2322" s="109" t="s">
        <v>1855</v>
      </c>
      <c r="F2322" s="108">
        <v>3.7329300000000001</v>
      </c>
      <c r="G2322" s="109"/>
      <c r="H2322" s="140" t="s">
        <v>1854</v>
      </c>
      <c r="I2322" s="140"/>
      <c r="J2322" s="108">
        <v>17.79</v>
      </c>
    </row>
    <row r="2323" spans="1:10" ht="30" customHeight="1" thickBot="1" x14ac:dyDescent="0.25">
      <c r="A2323" s="100"/>
      <c r="B2323" s="100"/>
      <c r="C2323" s="100"/>
      <c r="D2323" s="100"/>
      <c r="E2323" s="100"/>
      <c r="F2323" s="100"/>
      <c r="G2323" s="100" t="s">
        <v>1853</v>
      </c>
      <c r="H2323" s="107">
        <v>41.83</v>
      </c>
      <c r="I2323" s="100" t="s">
        <v>1852</v>
      </c>
      <c r="J2323" s="102">
        <v>744.16</v>
      </c>
    </row>
    <row r="2324" spans="1:10" ht="1.1499999999999999" customHeight="1" thickTop="1" x14ac:dyDescent="0.2">
      <c r="A2324" s="106"/>
      <c r="B2324" s="106"/>
      <c r="C2324" s="106"/>
      <c r="D2324" s="106"/>
      <c r="E2324" s="106"/>
      <c r="F2324" s="106"/>
      <c r="G2324" s="106"/>
      <c r="H2324" s="106"/>
      <c r="I2324" s="106"/>
      <c r="J2324" s="106"/>
    </row>
    <row r="2325" spans="1:10" ht="18" customHeight="1" x14ac:dyDescent="0.2">
      <c r="A2325" s="117" t="s">
        <v>576</v>
      </c>
      <c r="B2325" s="126" t="s">
        <v>5</v>
      </c>
      <c r="C2325" s="117" t="s">
        <v>6</v>
      </c>
      <c r="D2325" s="117" t="s">
        <v>7</v>
      </c>
      <c r="E2325" s="136" t="s">
        <v>1113</v>
      </c>
      <c r="F2325" s="136"/>
      <c r="G2325" s="7" t="s">
        <v>8</v>
      </c>
      <c r="H2325" s="126" t="s">
        <v>9</v>
      </c>
      <c r="I2325" s="126" t="s">
        <v>10</v>
      </c>
      <c r="J2325" s="126" t="s">
        <v>12</v>
      </c>
    </row>
    <row r="2326" spans="1:10" ht="24" customHeight="1" x14ac:dyDescent="0.2">
      <c r="A2326" s="116" t="s">
        <v>1861</v>
      </c>
      <c r="B2326" s="1" t="s">
        <v>577</v>
      </c>
      <c r="C2326" s="116" t="s">
        <v>20</v>
      </c>
      <c r="D2326" s="116" t="s">
        <v>578</v>
      </c>
      <c r="E2326" s="137">
        <v>12</v>
      </c>
      <c r="F2326" s="137"/>
      <c r="G2326" s="2" t="s">
        <v>22</v>
      </c>
      <c r="H2326" s="115">
        <v>1</v>
      </c>
      <c r="I2326" s="61">
        <v>28.04</v>
      </c>
      <c r="J2326" s="61">
        <v>28.04</v>
      </c>
    </row>
    <row r="2327" spans="1:10" ht="24" customHeight="1" x14ac:dyDescent="0.2">
      <c r="A2327" s="113" t="s">
        <v>1859</v>
      </c>
      <c r="B2327" s="114" t="s">
        <v>1899</v>
      </c>
      <c r="C2327" s="113" t="s">
        <v>20</v>
      </c>
      <c r="D2327" s="113" t="s">
        <v>1898</v>
      </c>
      <c r="E2327" s="139" t="s">
        <v>1369</v>
      </c>
      <c r="F2327" s="139"/>
      <c r="G2327" s="112" t="s">
        <v>49</v>
      </c>
      <c r="H2327" s="111">
        <v>2.4299999999999999E-2</v>
      </c>
      <c r="I2327" s="110">
        <v>162.78</v>
      </c>
      <c r="J2327" s="110">
        <v>3.96</v>
      </c>
    </row>
    <row r="2328" spans="1:10" ht="24" customHeight="1" x14ac:dyDescent="0.2">
      <c r="A2328" s="113" t="s">
        <v>1859</v>
      </c>
      <c r="B2328" s="114" t="s">
        <v>1897</v>
      </c>
      <c r="C2328" s="113" t="s">
        <v>20</v>
      </c>
      <c r="D2328" s="113" t="s">
        <v>1896</v>
      </c>
      <c r="E2328" s="139" t="s">
        <v>1369</v>
      </c>
      <c r="F2328" s="139"/>
      <c r="G2328" s="112" t="s">
        <v>96</v>
      </c>
      <c r="H2328" s="111">
        <v>9.7200000000000006</v>
      </c>
      <c r="I2328" s="110">
        <v>0.6</v>
      </c>
      <c r="J2328" s="110">
        <v>5.83</v>
      </c>
    </row>
    <row r="2329" spans="1:10" ht="24" customHeight="1" x14ac:dyDescent="0.2">
      <c r="A2329" s="113" t="s">
        <v>1859</v>
      </c>
      <c r="B2329" s="114" t="s">
        <v>2204</v>
      </c>
      <c r="C2329" s="113" t="s">
        <v>20</v>
      </c>
      <c r="D2329" s="113" t="s">
        <v>2203</v>
      </c>
      <c r="E2329" s="139" t="s">
        <v>1369</v>
      </c>
      <c r="F2329" s="139"/>
      <c r="G2329" s="112" t="s">
        <v>96</v>
      </c>
      <c r="H2329" s="111">
        <v>0.34</v>
      </c>
      <c r="I2329" s="110">
        <v>6.12</v>
      </c>
      <c r="J2329" s="110">
        <v>2.08</v>
      </c>
    </row>
    <row r="2330" spans="1:10" ht="24" customHeight="1" x14ac:dyDescent="0.2">
      <c r="A2330" s="113" t="s">
        <v>1859</v>
      </c>
      <c r="B2330" s="114" t="s">
        <v>1866</v>
      </c>
      <c r="C2330" s="113" t="s">
        <v>20</v>
      </c>
      <c r="D2330" s="113" t="s">
        <v>1865</v>
      </c>
      <c r="E2330" s="139" t="s">
        <v>1860</v>
      </c>
      <c r="F2330" s="139"/>
      <c r="G2330" s="112" t="s">
        <v>1864</v>
      </c>
      <c r="H2330" s="111">
        <v>0.6724</v>
      </c>
      <c r="I2330" s="110">
        <v>15.97</v>
      </c>
      <c r="J2330" s="110">
        <v>10.74</v>
      </c>
    </row>
    <row r="2331" spans="1:10" ht="24" customHeight="1" x14ac:dyDescent="0.2">
      <c r="A2331" s="113" t="s">
        <v>1859</v>
      </c>
      <c r="B2331" s="114" t="s">
        <v>1872</v>
      </c>
      <c r="C2331" s="113" t="s">
        <v>20</v>
      </c>
      <c r="D2331" s="113" t="s">
        <v>1871</v>
      </c>
      <c r="E2331" s="139" t="s">
        <v>1860</v>
      </c>
      <c r="F2331" s="139"/>
      <c r="G2331" s="112" t="s">
        <v>1864</v>
      </c>
      <c r="H2331" s="111">
        <v>0.51100000000000001</v>
      </c>
      <c r="I2331" s="110">
        <v>10.62</v>
      </c>
      <c r="J2331" s="110">
        <v>5.43</v>
      </c>
    </row>
    <row r="2332" spans="1:10" x14ac:dyDescent="0.2">
      <c r="A2332" s="109"/>
      <c r="B2332" s="109"/>
      <c r="C2332" s="109"/>
      <c r="D2332" s="109"/>
      <c r="E2332" s="109" t="s">
        <v>1858</v>
      </c>
      <c r="F2332" s="108">
        <v>16.170000000000002</v>
      </c>
      <c r="G2332" s="109" t="s">
        <v>1857</v>
      </c>
      <c r="H2332" s="108">
        <v>0</v>
      </c>
      <c r="I2332" s="109" t="s">
        <v>1856</v>
      </c>
      <c r="J2332" s="108">
        <v>16.170000000000002</v>
      </c>
    </row>
    <row r="2333" spans="1:10" ht="13.9" customHeight="1" x14ac:dyDescent="0.2">
      <c r="A2333" s="109"/>
      <c r="B2333" s="109"/>
      <c r="C2333" s="109"/>
      <c r="D2333" s="109"/>
      <c r="E2333" s="109" t="s">
        <v>1855</v>
      </c>
      <c r="F2333" s="108">
        <v>7.4446199999999996</v>
      </c>
      <c r="G2333" s="109"/>
      <c r="H2333" s="140" t="s">
        <v>1854</v>
      </c>
      <c r="I2333" s="140"/>
      <c r="J2333" s="108">
        <v>35.479999999999997</v>
      </c>
    </row>
    <row r="2334" spans="1:10" ht="30" customHeight="1" thickBot="1" x14ac:dyDescent="0.25">
      <c r="A2334" s="100"/>
      <c r="B2334" s="100"/>
      <c r="C2334" s="100"/>
      <c r="D2334" s="100"/>
      <c r="E2334" s="100"/>
      <c r="F2334" s="100"/>
      <c r="G2334" s="100" t="s">
        <v>1853</v>
      </c>
      <c r="H2334" s="107">
        <v>11.4</v>
      </c>
      <c r="I2334" s="100" t="s">
        <v>1852</v>
      </c>
      <c r="J2334" s="102">
        <v>404.47</v>
      </c>
    </row>
    <row r="2335" spans="1:10" ht="1.1499999999999999" customHeight="1" thickTop="1" x14ac:dyDescent="0.2">
      <c r="A2335" s="106"/>
      <c r="B2335" s="106"/>
      <c r="C2335" s="106"/>
      <c r="D2335" s="106"/>
      <c r="E2335" s="106"/>
      <c r="F2335" s="106"/>
      <c r="G2335" s="106"/>
      <c r="H2335" s="106"/>
      <c r="I2335" s="106"/>
      <c r="J2335" s="106"/>
    </row>
    <row r="2336" spans="1:10" ht="18" customHeight="1" x14ac:dyDescent="0.2">
      <c r="A2336" s="117" t="s">
        <v>1254</v>
      </c>
      <c r="B2336" s="126" t="s">
        <v>5</v>
      </c>
      <c r="C2336" s="117" t="s">
        <v>6</v>
      </c>
      <c r="D2336" s="117" t="s">
        <v>7</v>
      </c>
      <c r="E2336" s="136" t="s">
        <v>1113</v>
      </c>
      <c r="F2336" s="136"/>
      <c r="G2336" s="7" t="s">
        <v>8</v>
      </c>
      <c r="H2336" s="126" t="s">
        <v>9</v>
      </c>
      <c r="I2336" s="126" t="s">
        <v>10</v>
      </c>
      <c r="J2336" s="126" t="s">
        <v>12</v>
      </c>
    </row>
    <row r="2337" spans="1:10" ht="24" customHeight="1" x14ac:dyDescent="0.2">
      <c r="A2337" s="116" t="s">
        <v>1861</v>
      </c>
      <c r="B2337" s="1" t="s">
        <v>1253</v>
      </c>
      <c r="C2337" s="116" t="s">
        <v>20</v>
      </c>
      <c r="D2337" s="116" t="s">
        <v>1252</v>
      </c>
      <c r="E2337" s="137">
        <v>12</v>
      </c>
      <c r="F2337" s="137"/>
      <c r="G2337" s="2" t="s">
        <v>22</v>
      </c>
      <c r="H2337" s="115">
        <v>1</v>
      </c>
      <c r="I2337" s="61">
        <v>22.03</v>
      </c>
      <c r="J2337" s="61">
        <v>22.03</v>
      </c>
    </row>
    <row r="2338" spans="1:10" ht="24" customHeight="1" x14ac:dyDescent="0.2">
      <c r="A2338" s="113" t="s">
        <v>1859</v>
      </c>
      <c r="B2338" s="114" t="s">
        <v>2202</v>
      </c>
      <c r="C2338" s="113" t="s">
        <v>20</v>
      </c>
      <c r="D2338" s="113" t="s">
        <v>2201</v>
      </c>
      <c r="E2338" s="139" t="s">
        <v>1369</v>
      </c>
      <c r="F2338" s="139"/>
      <c r="G2338" s="112" t="s">
        <v>96</v>
      </c>
      <c r="H2338" s="111">
        <v>3.2</v>
      </c>
      <c r="I2338" s="110">
        <v>3.87</v>
      </c>
      <c r="J2338" s="110">
        <v>12.38</v>
      </c>
    </row>
    <row r="2339" spans="1:10" ht="24" customHeight="1" x14ac:dyDescent="0.2">
      <c r="A2339" s="113" t="s">
        <v>1859</v>
      </c>
      <c r="B2339" s="114" t="s">
        <v>1951</v>
      </c>
      <c r="C2339" s="113" t="s">
        <v>20</v>
      </c>
      <c r="D2339" s="113" t="s">
        <v>1950</v>
      </c>
      <c r="E2339" s="139" t="s">
        <v>1860</v>
      </c>
      <c r="F2339" s="139"/>
      <c r="G2339" s="112" t="s">
        <v>1864</v>
      </c>
      <c r="H2339" s="111">
        <v>0.108</v>
      </c>
      <c r="I2339" s="110">
        <v>10.62</v>
      </c>
      <c r="J2339" s="110">
        <v>1.1499999999999999</v>
      </c>
    </row>
    <row r="2340" spans="1:10" ht="24" customHeight="1" x14ac:dyDescent="0.2">
      <c r="A2340" s="113" t="s">
        <v>1859</v>
      </c>
      <c r="B2340" s="114" t="s">
        <v>1949</v>
      </c>
      <c r="C2340" s="113" t="s">
        <v>20</v>
      </c>
      <c r="D2340" s="113" t="s">
        <v>1948</v>
      </c>
      <c r="E2340" s="139" t="s">
        <v>1860</v>
      </c>
      <c r="F2340" s="139"/>
      <c r="G2340" s="112" t="s">
        <v>1864</v>
      </c>
      <c r="H2340" s="111">
        <v>0.53200000000000003</v>
      </c>
      <c r="I2340" s="110">
        <v>15.97</v>
      </c>
      <c r="J2340" s="110">
        <v>8.5</v>
      </c>
    </row>
    <row r="2341" spans="1:10" x14ac:dyDescent="0.2">
      <c r="A2341" s="109"/>
      <c r="B2341" s="109"/>
      <c r="C2341" s="109"/>
      <c r="D2341" s="109"/>
      <c r="E2341" s="109" t="s">
        <v>1858</v>
      </c>
      <c r="F2341" s="108">
        <v>9.65</v>
      </c>
      <c r="G2341" s="109" t="s">
        <v>1857</v>
      </c>
      <c r="H2341" s="108">
        <v>0</v>
      </c>
      <c r="I2341" s="109" t="s">
        <v>1856</v>
      </c>
      <c r="J2341" s="108">
        <v>9.65</v>
      </c>
    </row>
    <row r="2342" spans="1:10" ht="13.9" customHeight="1" x14ac:dyDescent="0.2">
      <c r="A2342" s="109"/>
      <c r="B2342" s="109"/>
      <c r="C2342" s="109"/>
      <c r="D2342" s="109"/>
      <c r="E2342" s="109" t="s">
        <v>1855</v>
      </c>
      <c r="F2342" s="108">
        <v>5.8489649999999997</v>
      </c>
      <c r="G2342" s="109"/>
      <c r="H2342" s="140" t="s">
        <v>1854</v>
      </c>
      <c r="I2342" s="140"/>
      <c r="J2342" s="108">
        <v>27.88</v>
      </c>
    </row>
    <row r="2343" spans="1:10" ht="30" customHeight="1" thickBot="1" x14ac:dyDescent="0.25">
      <c r="A2343" s="100"/>
      <c r="B2343" s="100"/>
      <c r="C2343" s="100"/>
      <c r="D2343" s="100"/>
      <c r="E2343" s="100"/>
      <c r="F2343" s="100"/>
      <c r="G2343" s="100" t="s">
        <v>1853</v>
      </c>
      <c r="H2343" s="107">
        <v>100</v>
      </c>
      <c r="I2343" s="100" t="s">
        <v>1852</v>
      </c>
      <c r="J2343" s="102">
        <v>2788</v>
      </c>
    </row>
    <row r="2344" spans="1:10" ht="1.1499999999999999" customHeight="1" thickTop="1" x14ac:dyDescent="0.2">
      <c r="A2344" s="106"/>
      <c r="B2344" s="106"/>
      <c r="C2344" s="106"/>
      <c r="D2344" s="106"/>
      <c r="E2344" s="106"/>
      <c r="F2344" s="106"/>
      <c r="G2344" s="106"/>
      <c r="H2344" s="106"/>
      <c r="I2344" s="106"/>
      <c r="J2344" s="106"/>
    </row>
    <row r="2345" spans="1:10" ht="24" customHeight="1" x14ac:dyDescent="0.2">
      <c r="A2345" s="123" t="s">
        <v>579</v>
      </c>
      <c r="B2345" s="123"/>
      <c r="C2345" s="123"/>
      <c r="D2345" s="123" t="s">
        <v>580</v>
      </c>
      <c r="E2345" s="123"/>
      <c r="F2345" s="142"/>
      <c r="G2345" s="142"/>
      <c r="H2345" s="3"/>
      <c r="I2345" s="123"/>
      <c r="J2345" s="63">
        <v>108654.55</v>
      </c>
    </row>
    <row r="2346" spans="1:10" ht="18" customHeight="1" x14ac:dyDescent="0.2">
      <c r="A2346" s="117" t="s">
        <v>581</v>
      </c>
      <c r="B2346" s="126" t="s">
        <v>5</v>
      </c>
      <c r="C2346" s="117" t="s">
        <v>6</v>
      </c>
      <c r="D2346" s="117" t="s">
        <v>7</v>
      </c>
      <c r="E2346" s="136" t="s">
        <v>1113</v>
      </c>
      <c r="F2346" s="136"/>
      <c r="G2346" s="7" t="s">
        <v>8</v>
      </c>
      <c r="H2346" s="126" t="s">
        <v>9</v>
      </c>
      <c r="I2346" s="126" t="s">
        <v>10</v>
      </c>
      <c r="J2346" s="126" t="s">
        <v>12</v>
      </c>
    </row>
    <row r="2347" spans="1:10" ht="24" customHeight="1" x14ac:dyDescent="0.2">
      <c r="A2347" s="116" t="s">
        <v>1861</v>
      </c>
      <c r="B2347" s="1" t="s">
        <v>582</v>
      </c>
      <c r="C2347" s="116" t="s">
        <v>25</v>
      </c>
      <c r="D2347" s="116" t="s">
        <v>583</v>
      </c>
      <c r="E2347" s="137" t="s">
        <v>1481</v>
      </c>
      <c r="F2347" s="137"/>
      <c r="G2347" s="2" t="s">
        <v>22</v>
      </c>
      <c r="H2347" s="115">
        <v>1</v>
      </c>
      <c r="I2347" s="61">
        <v>56.56</v>
      </c>
      <c r="J2347" s="61">
        <v>56.56</v>
      </c>
    </row>
    <row r="2348" spans="1:10" ht="36" customHeight="1" x14ac:dyDescent="0.2">
      <c r="A2348" s="121" t="s">
        <v>1888</v>
      </c>
      <c r="B2348" s="122" t="s">
        <v>2193</v>
      </c>
      <c r="C2348" s="121" t="s">
        <v>25</v>
      </c>
      <c r="D2348" s="121" t="s">
        <v>2192</v>
      </c>
      <c r="E2348" s="138" t="s">
        <v>1908</v>
      </c>
      <c r="F2348" s="138"/>
      <c r="G2348" s="120" t="s">
        <v>1911</v>
      </c>
      <c r="H2348" s="119">
        <v>6.7999999999999996E-3</v>
      </c>
      <c r="I2348" s="118">
        <v>20.37</v>
      </c>
      <c r="J2348" s="118">
        <v>0.14000000000000001</v>
      </c>
    </row>
    <row r="2349" spans="1:10" ht="36" customHeight="1" x14ac:dyDescent="0.2">
      <c r="A2349" s="121" t="s">
        <v>1888</v>
      </c>
      <c r="B2349" s="122" t="s">
        <v>2191</v>
      </c>
      <c r="C2349" s="121" t="s">
        <v>25</v>
      </c>
      <c r="D2349" s="121" t="s">
        <v>2190</v>
      </c>
      <c r="E2349" s="138" t="s">
        <v>1908</v>
      </c>
      <c r="F2349" s="138"/>
      <c r="G2349" s="120" t="s">
        <v>1907</v>
      </c>
      <c r="H2349" s="119">
        <v>9.4000000000000004E-3</v>
      </c>
      <c r="I2349" s="118">
        <v>19.16</v>
      </c>
      <c r="J2349" s="118">
        <v>0.18</v>
      </c>
    </row>
    <row r="2350" spans="1:10" ht="24" customHeight="1" x14ac:dyDescent="0.2">
      <c r="A2350" s="121" t="s">
        <v>1888</v>
      </c>
      <c r="B2350" s="122" t="s">
        <v>2200</v>
      </c>
      <c r="C2350" s="121" t="s">
        <v>25</v>
      </c>
      <c r="D2350" s="121" t="s">
        <v>2199</v>
      </c>
      <c r="E2350" s="138" t="s">
        <v>1902</v>
      </c>
      <c r="F2350" s="138"/>
      <c r="G2350" s="120" t="s">
        <v>61</v>
      </c>
      <c r="H2350" s="119">
        <v>0.21299999999999999</v>
      </c>
      <c r="I2350" s="118">
        <v>24.2</v>
      </c>
      <c r="J2350" s="118">
        <v>5.15</v>
      </c>
    </row>
    <row r="2351" spans="1:10" ht="24" customHeight="1" x14ac:dyDescent="0.2">
      <c r="A2351" s="121" t="s">
        <v>1888</v>
      </c>
      <c r="B2351" s="122" t="s">
        <v>1906</v>
      </c>
      <c r="C2351" s="121" t="s">
        <v>25</v>
      </c>
      <c r="D2351" s="121" t="s">
        <v>1905</v>
      </c>
      <c r="E2351" s="138" t="s">
        <v>1902</v>
      </c>
      <c r="F2351" s="138"/>
      <c r="G2351" s="120" t="s">
        <v>61</v>
      </c>
      <c r="H2351" s="119">
        <v>0.106</v>
      </c>
      <c r="I2351" s="118">
        <v>16.059999999999999</v>
      </c>
      <c r="J2351" s="118">
        <v>1.7</v>
      </c>
    </row>
    <row r="2352" spans="1:10" ht="24" customHeight="1" x14ac:dyDescent="0.2">
      <c r="A2352" s="113" t="s">
        <v>1859</v>
      </c>
      <c r="B2352" s="114" t="s">
        <v>2198</v>
      </c>
      <c r="C2352" s="113" t="s">
        <v>25</v>
      </c>
      <c r="D2352" s="113" t="s">
        <v>2197</v>
      </c>
      <c r="E2352" s="139" t="s">
        <v>1369</v>
      </c>
      <c r="F2352" s="139"/>
      <c r="G2352" s="112" t="s">
        <v>2196</v>
      </c>
      <c r="H2352" s="111">
        <v>7.0000000000000001E-3</v>
      </c>
      <c r="I2352" s="110">
        <v>191.91</v>
      </c>
      <c r="J2352" s="110">
        <v>1.34</v>
      </c>
    </row>
    <row r="2353" spans="1:10" ht="36" customHeight="1" x14ac:dyDescent="0.2">
      <c r="A2353" s="113" t="s">
        <v>1859</v>
      </c>
      <c r="B2353" s="114" t="s">
        <v>2195</v>
      </c>
      <c r="C2353" s="113" t="s">
        <v>25</v>
      </c>
      <c r="D2353" s="113" t="s">
        <v>2194</v>
      </c>
      <c r="E2353" s="139" t="s">
        <v>1369</v>
      </c>
      <c r="F2353" s="139"/>
      <c r="G2353" s="112" t="s">
        <v>1303</v>
      </c>
      <c r="H2353" s="111">
        <v>4.3330000000000002</v>
      </c>
      <c r="I2353" s="110">
        <v>11.09</v>
      </c>
      <c r="J2353" s="110">
        <v>48.05</v>
      </c>
    </row>
    <row r="2354" spans="1:10" x14ac:dyDescent="0.2">
      <c r="A2354" s="109"/>
      <c r="B2354" s="109"/>
      <c r="C2354" s="109"/>
      <c r="D2354" s="109"/>
      <c r="E2354" s="109" t="s">
        <v>1858</v>
      </c>
      <c r="F2354" s="108">
        <v>1.36</v>
      </c>
      <c r="G2354" s="109" t="s">
        <v>1857</v>
      </c>
      <c r="H2354" s="108">
        <v>0</v>
      </c>
      <c r="I2354" s="109" t="s">
        <v>1856</v>
      </c>
      <c r="J2354" s="108">
        <v>1.36</v>
      </c>
    </row>
    <row r="2355" spans="1:10" ht="13.9" customHeight="1" x14ac:dyDescent="0.2">
      <c r="A2355" s="109"/>
      <c r="B2355" s="109"/>
      <c r="C2355" s="109"/>
      <c r="D2355" s="109"/>
      <c r="E2355" s="109" t="s">
        <v>1855</v>
      </c>
      <c r="F2355" s="108">
        <v>15.016679999999999</v>
      </c>
      <c r="G2355" s="109"/>
      <c r="H2355" s="140" t="s">
        <v>1854</v>
      </c>
      <c r="I2355" s="140"/>
      <c r="J2355" s="108">
        <v>71.58</v>
      </c>
    </row>
    <row r="2356" spans="1:10" ht="30" customHeight="1" thickBot="1" x14ac:dyDescent="0.25">
      <c r="A2356" s="100"/>
      <c r="B2356" s="100"/>
      <c r="C2356" s="100"/>
      <c r="D2356" s="100"/>
      <c r="E2356" s="100"/>
      <c r="F2356" s="100"/>
      <c r="G2356" s="100" t="s">
        <v>1853</v>
      </c>
      <c r="H2356" s="107">
        <v>155.35</v>
      </c>
      <c r="I2356" s="100" t="s">
        <v>1852</v>
      </c>
      <c r="J2356" s="102">
        <v>11119.95</v>
      </c>
    </row>
    <row r="2357" spans="1:10" ht="1.1499999999999999" customHeight="1" thickTop="1" x14ac:dyDescent="0.2">
      <c r="A2357" s="106"/>
      <c r="B2357" s="106"/>
      <c r="C2357" s="106"/>
      <c r="D2357" s="106"/>
      <c r="E2357" s="106"/>
      <c r="F2357" s="106"/>
      <c r="G2357" s="106"/>
      <c r="H2357" s="106"/>
      <c r="I2357" s="106"/>
      <c r="J2357" s="106"/>
    </row>
    <row r="2358" spans="1:10" ht="18" customHeight="1" x14ac:dyDescent="0.2">
      <c r="A2358" s="117" t="s">
        <v>584</v>
      </c>
      <c r="B2358" s="126" t="s">
        <v>5</v>
      </c>
      <c r="C2358" s="117" t="s">
        <v>6</v>
      </c>
      <c r="D2358" s="117" t="s">
        <v>7</v>
      </c>
      <c r="E2358" s="136" t="s">
        <v>1113</v>
      </c>
      <c r="F2358" s="136"/>
      <c r="G2358" s="7" t="s">
        <v>8</v>
      </c>
      <c r="H2358" s="126" t="s">
        <v>9</v>
      </c>
      <c r="I2358" s="126" t="s">
        <v>10</v>
      </c>
      <c r="J2358" s="126" t="s">
        <v>12</v>
      </c>
    </row>
    <row r="2359" spans="1:10" ht="36" customHeight="1" x14ac:dyDescent="0.2">
      <c r="A2359" s="116" t="s">
        <v>1861</v>
      </c>
      <c r="B2359" s="1" t="s">
        <v>585</v>
      </c>
      <c r="C2359" s="116" t="s">
        <v>25</v>
      </c>
      <c r="D2359" s="116" t="s">
        <v>586</v>
      </c>
      <c r="E2359" s="137" t="s">
        <v>1481</v>
      </c>
      <c r="F2359" s="137"/>
      <c r="G2359" s="2" t="s">
        <v>22</v>
      </c>
      <c r="H2359" s="115">
        <v>1</v>
      </c>
      <c r="I2359" s="61">
        <v>269.31</v>
      </c>
      <c r="J2359" s="61">
        <v>269.31</v>
      </c>
    </row>
    <row r="2360" spans="1:10" ht="36" customHeight="1" x14ac:dyDescent="0.2">
      <c r="A2360" s="121" t="s">
        <v>1888</v>
      </c>
      <c r="B2360" s="122" t="s">
        <v>2193</v>
      </c>
      <c r="C2360" s="121" t="s">
        <v>25</v>
      </c>
      <c r="D2360" s="121" t="s">
        <v>2192</v>
      </c>
      <c r="E2360" s="138" t="s">
        <v>1908</v>
      </c>
      <c r="F2360" s="138"/>
      <c r="G2360" s="120" t="s">
        <v>1911</v>
      </c>
      <c r="H2360" s="119">
        <v>8.9999999999999998E-4</v>
      </c>
      <c r="I2360" s="118">
        <v>20.37</v>
      </c>
      <c r="J2360" s="118">
        <v>0.02</v>
      </c>
    </row>
    <row r="2361" spans="1:10" ht="36" customHeight="1" x14ac:dyDescent="0.2">
      <c r="A2361" s="121" t="s">
        <v>1888</v>
      </c>
      <c r="B2361" s="122" t="s">
        <v>2191</v>
      </c>
      <c r="C2361" s="121" t="s">
        <v>25</v>
      </c>
      <c r="D2361" s="121" t="s">
        <v>2190</v>
      </c>
      <c r="E2361" s="138" t="s">
        <v>1908</v>
      </c>
      <c r="F2361" s="138"/>
      <c r="G2361" s="120" t="s">
        <v>1907</v>
      </c>
      <c r="H2361" s="119">
        <v>1.1999999999999999E-3</v>
      </c>
      <c r="I2361" s="118">
        <v>19.16</v>
      </c>
      <c r="J2361" s="118">
        <v>0.02</v>
      </c>
    </row>
    <row r="2362" spans="1:10" ht="24" customHeight="1" x14ac:dyDescent="0.2">
      <c r="A2362" s="121" t="s">
        <v>1888</v>
      </c>
      <c r="B2362" s="122" t="s">
        <v>1906</v>
      </c>
      <c r="C2362" s="121" t="s">
        <v>25</v>
      </c>
      <c r="D2362" s="121" t="s">
        <v>1905</v>
      </c>
      <c r="E2362" s="138" t="s">
        <v>1902</v>
      </c>
      <c r="F2362" s="138"/>
      <c r="G2362" s="120" t="s">
        <v>61</v>
      </c>
      <c r="H2362" s="119">
        <v>6.2E-2</v>
      </c>
      <c r="I2362" s="118">
        <v>16.059999999999999</v>
      </c>
      <c r="J2362" s="118">
        <v>1</v>
      </c>
    </row>
    <row r="2363" spans="1:10" ht="24" customHeight="1" x14ac:dyDescent="0.2">
      <c r="A2363" s="121" t="s">
        <v>1888</v>
      </c>
      <c r="B2363" s="122" t="s">
        <v>2189</v>
      </c>
      <c r="C2363" s="121" t="s">
        <v>25</v>
      </c>
      <c r="D2363" s="121" t="s">
        <v>2188</v>
      </c>
      <c r="E2363" s="138" t="s">
        <v>1902</v>
      </c>
      <c r="F2363" s="138"/>
      <c r="G2363" s="120" t="s">
        <v>61</v>
      </c>
      <c r="H2363" s="119">
        <v>5.6000000000000001E-2</v>
      </c>
      <c r="I2363" s="118">
        <v>21.09</v>
      </c>
      <c r="J2363" s="118">
        <v>1.18</v>
      </c>
    </row>
    <row r="2364" spans="1:10" ht="36" customHeight="1" x14ac:dyDescent="0.2">
      <c r="A2364" s="113" t="s">
        <v>1859</v>
      </c>
      <c r="B2364" s="114" t="s">
        <v>2187</v>
      </c>
      <c r="C2364" s="113" t="s">
        <v>25</v>
      </c>
      <c r="D2364" s="113" t="s">
        <v>2186</v>
      </c>
      <c r="E2364" s="139" t="s">
        <v>1369</v>
      </c>
      <c r="F2364" s="139"/>
      <c r="G2364" s="112" t="s">
        <v>2185</v>
      </c>
      <c r="H2364" s="111">
        <v>4.1500000000000004</v>
      </c>
      <c r="I2364" s="110">
        <v>1.41</v>
      </c>
      <c r="J2364" s="110">
        <v>5.85</v>
      </c>
    </row>
    <row r="2365" spans="1:10" ht="60" customHeight="1" x14ac:dyDescent="0.2">
      <c r="A2365" s="113" t="s">
        <v>1859</v>
      </c>
      <c r="B2365" s="114" t="s">
        <v>2184</v>
      </c>
      <c r="C2365" s="113" t="s">
        <v>25</v>
      </c>
      <c r="D2365" s="113" t="s">
        <v>2183</v>
      </c>
      <c r="E2365" s="139" t="s">
        <v>1369</v>
      </c>
      <c r="F2365" s="139"/>
      <c r="G2365" s="112" t="s">
        <v>22</v>
      </c>
      <c r="H2365" s="111">
        <v>1.1459999999999999</v>
      </c>
      <c r="I2365" s="110">
        <v>227.96</v>
      </c>
      <c r="J2365" s="110">
        <v>261.24</v>
      </c>
    </row>
    <row r="2366" spans="1:10" x14ac:dyDescent="0.2">
      <c r="A2366" s="109"/>
      <c r="B2366" s="109"/>
      <c r="C2366" s="109"/>
      <c r="D2366" s="109"/>
      <c r="E2366" s="109" t="s">
        <v>1858</v>
      </c>
      <c r="F2366" s="108">
        <v>1.56</v>
      </c>
      <c r="G2366" s="109" t="s">
        <v>1857</v>
      </c>
      <c r="H2366" s="108">
        <v>0.01</v>
      </c>
      <c r="I2366" s="109" t="s">
        <v>1856</v>
      </c>
      <c r="J2366" s="108">
        <v>1.57</v>
      </c>
    </row>
    <row r="2367" spans="1:10" ht="13.9" customHeight="1" x14ac:dyDescent="0.2">
      <c r="A2367" s="109"/>
      <c r="B2367" s="109"/>
      <c r="C2367" s="109"/>
      <c r="D2367" s="109"/>
      <c r="E2367" s="109" t="s">
        <v>1855</v>
      </c>
      <c r="F2367" s="108">
        <v>71.501805000000004</v>
      </c>
      <c r="G2367" s="109"/>
      <c r="H2367" s="140" t="s">
        <v>1854</v>
      </c>
      <c r="I2367" s="140"/>
      <c r="J2367" s="108">
        <v>340.81</v>
      </c>
    </row>
    <row r="2368" spans="1:10" ht="30" customHeight="1" thickBot="1" x14ac:dyDescent="0.25">
      <c r="A2368" s="100"/>
      <c r="B2368" s="100"/>
      <c r="C2368" s="100"/>
      <c r="D2368" s="100"/>
      <c r="E2368" s="100"/>
      <c r="F2368" s="100"/>
      <c r="G2368" s="100" t="s">
        <v>1853</v>
      </c>
      <c r="H2368" s="107">
        <v>155.35</v>
      </c>
      <c r="I2368" s="100" t="s">
        <v>1852</v>
      </c>
      <c r="J2368" s="102">
        <v>52944.83</v>
      </c>
    </row>
    <row r="2369" spans="1:10" ht="1.1499999999999999" customHeight="1" thickTop="1" x14ac:dyDescent="0.2">
      <c r="A2369" s="106"/>
      <c r="B2369" s="106"/>
      <c r="C2369" s="106"/>
      <c r="D2369" s="106"/>
      <c r="E2369" s="106"/>
      <c r="F2369" s="106"/>
      <c r="G2369" s="106"/>
      <c r="H2369" s="106"/>
      <c r="I2369" s="106"/>
      <c r="J2369" s="106"/>
    </row>
    <row r="2370" spans="1:10" ht="18" customHeight="1" x14ac:dyDescent="0.2">
      <c r="A2370" s="117" t="s">
        <v>587</v>
      </c>
      <c r="B2370" s="126" t="s">
        <v>5</v>
      </c>
      <c r="C2370" s="117" t="s">
        <v>6</v>
      </c>
      <c r="D2370" s="117" t="s">
        <v>7</v>
      </c>
      <c r="E2370" s="136" t="s">
        <v>1113</v>
      </c>
      <c r="F2370" s="136"/>
      <c r="G2370" s="7" t="s">
        <v>8</v>
      </c>
      <c r="H2370" s="126" t="s">
        <v>9</v>
      </c>
      <c r="I2370" s="126" t="s">
        <v>10</v>
      </c>
      <c r="J2370" s="126" t="s">
        <v>12</v>
      </c>
    </row>
    <row r="2371" spans="1:10" ht="48" customHeight="1" x14ac:dyDescent="0.2">
      <c r="A2371" s="116" t="s">
        <v>1861</v>
      </c>
      <c r="B2371" s="1" t="s">
        <v>1209</v>
      </c>
      <c r="C2371" s="116" t="s">
        <v>25</v>
      </c>
      <c r="D2371" s="116" t="s">
        <v>1208</v>
      </c>
      <c r="E2371" s="137" t="s">
        <v>1424</v>
      </c>
      <c r="F2371" s="137"/>
      <c r="G2371" s="2" t="s">
        <v>22</v>
      </c>
      <c r="H2371" s="115">
        <v>1</v>
      </c>
      <c r="I2371" s="61">
        <v>39.08</v>
      </c>
      <c r="J2371" s="61">
        <v>39.08</v>
      </c>
    </row>
    <row r="2372" spans="1:10" ht="24" customHeight="1" x14ac:dyDescent="0.2">
      <c r="A2372" s="121" t="s">
        <v>1888</v>
      </c>
      <c r="B2372" s="122" t="s">
        <v>1919</v>
      </c>
      <c r="C2372" s="121" t="s">
        <v>25</v>
      </c>
      <c r="D2372" s="121" t="s">
        <v>1918</v>
      </c>
      <c r="E2372" s="138" t="s">
        <v>1902</v>
      </c>
      <c r="F2372" s="138"/>
      <c r="G2372" s="120" t="s">
        <v>61</v>
      </c>
      <c r="H2372" s="119">
        <v>1.3559000000000001</v>
      </c>
      <c r="I2372" s="118">
        <v>22.61</v>
      </c>
      <c r="J2372" s="118">
        <v>30.66</v>
      </c>
    </row>
    <row r="2373" spans="1:10" ht="24" customHeight="1" x14ac:dyDescent="0.2">
      <c r="A2373" s="113" t="s">
        <v>1859</v>
      </c>
      <c r="B2373" s="114" t="s">
        <v>1917</v>
      </c>
      <c r="C2373" s="113" t="s">
        <v>25</v>
      </c>
      <c r="D2373" s="113" t="s">
        <v>1916</v>
      </c>
      <c r="E2373" s="139" t="s">
        <v>1369</v>
      </c>
      <c r="F2373" s="139"/>
      <c r="G2373" s="112" t="s">
        <v>1562</v>
      </c>
      <c r="H2373" s="111">
        <v>2.5499999999999998E-2</v>
      </c>
      <c r="I2373" s="110">
        <v>17</v>
      </c>
      <c r="J2373" s="110">
        <v>0.43</v>
      </c>
    </row>
    <row r="2374" spans="1:10" ht="24" customHeight="1" x14ac:dyDescent="0.2">
      <c r="A2374" s="113" t="s">
        <v>1859</v>
      </c>
      <c r="B2374" s="114" t="s">
        <v>1915</v>
      </c>
      <c r="C2374" s="113" t="s">
        <v>25</v>
      </c>
      <c r="D2374" s="113" t="s">
        <v>1914</v>
      </c>
      <c r="E2374" s="139" t="s">
        <v>1369</v>
      </c>
      <c r="F2374" s="139"/>
      <c r="G2374" s="112" t="s">
        <v>1562</v>
      </c>
      <c r="H2374" s="111">
        <v>0.25490000000000002</v>
      </c>
      <c r="I2374" s="110">
        <v>31.35</v>
      </c>
      <c r="J2374" s="110">
        <v>7.99</v>
      </c>
    </row>
    <row r="2375" spans="1:10" x14ac:dyDescent="0.2">
      <c r="A2375" s="109"/>
      <c r="B2375" s="109"/>
      <c r="C2375" s="109"/>
      <c r="D2375" s="109"/>
      <c r="E2375" s="109" t="s">
        <v>1858</v>
      </c>
      <c r="F2375" s="108">
        <v>21.56</v>
      </c>
      <c r="G2375" s="109" t="s">
        <v>1857</v>
      </c>
      <c r="H2375" s="108">
        <v>0</v>
      </c>
      <c r="I2375" s="109" t="s">
        <v>1856</v>
      </c>
      <c r="J2375" s="108">
        <v>21.56</v>
      </c>
    </row>
    <row r="2376" spans="1:10" ht="13.9" customHeight="1" x14ac:dyDescent="0.2">
      <c r="A2376" s="109"/>
      <c r="B2376" s="109"/>
      <c r="C2376" s="109"/>
      <c r="D2376" s="109"/>
      <c r="E2376" s="109" t="s">
        <v>1855</v>
      </c>
      <c r="F2376" s="108">
        <v>10.37574</v>
      </c>
      <c r="G2376" s="109"/>
      <c r="H2376" s="140" t="s">
        <v>1854</v>
      </c>
      <c r="I2376" s="140"/>
      <c r="J2376" s="108">
        <v>49.46</v>
      </c>
    </row>
    <row r="2377" spans="1:10" ht="30" customHeight="1" thickBot="1" x14ac:dyDescent="0.25">
      <c r="A2377" s="100"/>
      <c r="B2377" s="100"/>
      <c r="C2377" s="100"/>
      <c r="D2377" s="100"/>
      <c r="E2377" s="100"/>
      <c r="F2377" s="100"/>
      <c r="G2377" s="100" t="s">
        <v>1853</v>
      </c>
      <c r="H2377" s="107">
        <v>77.680000000000007</v>
      </c>
      <c r="I2377" s="100" t="s">
        <v>1852</v>
      </c>
      <c r="J2377" s="102">
        <v>3842.05</v>
      </c>
    </row>
    <row r="2378" spans="1:10" ht="1.1499999999999999" customHeight="1" thickTop="1" x14ac:dyDescent="0.2">
      <c r="A2378" s="106"/>
      <c r="B2378" s="106"/>
      <c r="C2378" s="106"/>
      <c r="D2378" s="106"/>
      <c r="E2378" s="106"/>
      <c r="F2378" s="106"/>
      <c r="G2378" s="106"/>
      <c r="H2378" s="106"/>
      <c r="I2378" s="106"/>
      <c r="J2378" s="106"/>
    </row>
    <row r="2379" spans="1:10" ht="18" customHeight="1" x14ac:dyDescent="0.2">
      <c r="A2379" s="117" t="s">
        <v>588</v>
      </c>
      <c r="B2379" s="126" t="s">
        <v>5</v>
      </c>
      <c r="C2379" s="117" t="s">
        <v>6</v>
      </c>
      <c r="D2379" s="117" t="s">
        <v>7</v>
      </c>
      <c r="E2379" s="136" t="s">
        <v>1113</v>
      </c>
      <c r="F2379" s="136"/>
      <c r="G2379" s="7" t="s">
        <v>8</v>
      </c>
      <c r="H2379" s="126" t="s">
        <v>9</v>
      </c>
      <c r="I2379" s="126" t="s">
        <v>10</v>
      </c>
      <c r="J2379" s="126" t="s">
        <v>12</v>
      </c>
    </row>
    <row r="2380" spans="1:10" ht="24" customHeight="1" x14ac:dyDescent="0.2">
      <c r="A2380" s="116" t="s">
        <v>1861</v>
      </c>
      <c r="B2380" s="1" t="s">
        <v>1227</v>
      </c>
      <c r="C2380" s="116" t="s">
        <v>249</v>
      </c>
      <c r="D2380" s="116" t="s">
        <v>1226</v>
      </c>
      <c r="E2380" s="137">
        <v>150</v>
      </c>
      <c r="F2380" s="137"/>
      <c r="G2380" s="2" t="s">
        <v>22</v>
      </c>
      <c r="H2380" s="115">
        <v>1</v>
      </c>
      <c r="I2380" s="61">
        <v>259.60000000000002</v>
      </c>
      <c r="J2380" s="61">
        <v>259.60000000000002</v>
      </c>
    </row>
    <row r="2381" spans="1:10" ht="24" customHeight="1" x14ac:dyDescent="0.2">
      <c r="A2381" s="121" t="s">
        <v>1888</v>
      </c>
      <c r="B2381" s="122" t="s">
        <v>1995</v>
      </c>
      <c r="C2381" s="121" t="s">
        <v>25</v>
      </c>
      <c r="D2381" s="121" t="s">
        <v>1994</v>
      </c>
      <c r="E2381" s="138" t="s">
        <v>1902</v>
      </c>
      <c r="F2381" s="138"/>
      <c r="G2381" s="120" t="s">
        <v>61</v>
      </c>
      <c r="H2381" s="119">
        <v>0.29399999999999998</v>
      </c>
      <c r="I2381" s="118">
        <v>16.809999999999999</v>
      </c>
      <c r="J2381" s="118">
        <v>4.9400000000000004</v>
      </c>
    </row>
    <row r="2382" spans="1:10" ht="24" customHeight="1" x14ac:dyDescent="0.2">
      <c r="A2382" s="121" t="s">
        <v>1888</v>
      </c>
      <c r="B2382" s="122" t="s">
        <v>1993</v>
      </c>
      <c r="C2382" s="121" t="s">
        <v>25</v>
      </c>
      <c r="D2382" s="121" t="s">
        <v>1992</v>
      </c>
      <c r="E2382" s="138" t="s">
        <v>1902</v>
      </c>
      <c r="F2382" s="138"/>
      <c r="G2382" s="120" t="s">
        <v>61</v>
      </c>
      <c r="H2382" s="119">
        <v>0.39200000000000002</v>
      </c>
      <c r="I2382" s="118">
        <v>19.25</v>
      </c>
      <c r="J2382" s="118">
        <v>7.55</v>
      </c>
    </row>
    <row r="2383" spans="1:10" ht="24" customHeight="1" x14ac:dyDescent="0.2">
      <c r="A2383" s="113" t="s">
        <v>1859</v>
      </c>
      <c r="B2383" s="114" t="s">
        <v>1991</v>
      </c>
      <c r="C2383" s="113" t="s">
        <v>249</v>
      </c>
      <c r="D2383" s="113" t="s">
        <v>1990</v>
      </c>
      <c r="E2383" s="139" t="s">
        <v>1369</v>
      </c>
      <c r="F2383" s="139"/>
      <c r="G2383" s="112" t="s">
        <v>22</v>
      </c>
      <c r="H2383" s="111">
        <v>1.05</v>
      </c>
      <c r="I2383" s="110">
        <v>213.48</v>
      </c>
      <c r="J2383" s="110">
        <v>224.15</v>
      </c>
    </row>
    <row r="2384" spans="1:10" ht="24" customHeight="1" x14ac:dyDescent="0.2">
      <c r="A2384" s="113" t="s">
        <v>1859</v>
      </c>
      <c r="B2384" s="114" t="s">
        <v>1989</v>
      </c>
      <c r="C2384" s="113" t="s">
        <v>249</v>
      </c>
      <c r="D2384" s="113" t="s">
        <v>1988</v>
      </c>
      <c r="E2384" s="139" t="s">
        <v>1369</v>
      </c>
      <c r="F2384" s="139"/>
      <c r="G2384" s="112" t="s">
        <v>92</v>
      </c>
      <c r="H2384" s="111">
        <v>1.6</v>
      </c>
      <c r="I2384" s="110">
        <v>14.35</v>
      </c>
      <c r="J2384" s="110">
        <v>22.96</v>
      </c>
    </row>
    <row r="2385" spans="1:10" x14ac:dyDescent="0.2">
      <c r="A2385" s="109"/>
      <c r="B2385" s="109"/>
      <c r="C2385" s="109"/>
      <c r="D2385" s="109"/>
      <c r="E2385" s="109" t="s">
        <v>1858</v>
      </c>
      <c r="F2385" s="108">
        <v>8.7100000000000009</v>
      </c>
      <c r="G2385" s="109" t="s">
        <v>1857</v>
      </c>
      <c r="H2385" s="108">
        <v>0</v>
      </c>
      <c r="I2385" s="109" t="s">
        <v>1856</v>
      </c>
      <c r="J2385" s="108">
        <v>8.7100000000000009</v>
      </c>
    </row>
    <row r="2386" spans="1:10" ht="13.9" customHeight="1" x14ac:dyDescent="0.2">
      <c r="A2386" s="109"/>
      <c r="B2386" s="109"/>
      <c r="C2386" s="109"/>
      <c r="D2386" s="109"/>
      <c r="E2386" s="109" t="s">
        <v>1855</v>
      </c>
      <c r="F2386" s="108">
        <v>68.9238</v>
      </c>
      <c r="G2386" s="109"/>
      <c r="H2386" s="140" t="s">
        <v>1854</v>
      </c>
      <c r="I2386" s="140"/>
      <c r="J2386" s="108">
        <v>328.52</v>
      </c>
    </row>
    <row r="2387" spans="1:10" ht="30" customHeight="1" thickBot="1" x14ac:dyDescent="0.25">
      <c r="A2387" s="100"/>
      <c r="B2387" s="100"/>
      <c r="C2387" s="100"/>
      <c r="D2387" s="100"/>
      <c r="E2387" s="100"/>
      <c r="F2387" s="100"/>
      <c r="G2387" s="100" t="s">
        <v>1853</v>
      </c>
      <c r="H2387" s="107">
        <v>78.92</v>
      </c>
      <c r="I2387" s="100" t="s">
        <v>1852</v>
      </c>
      <c r="J2387" s="102">
        <v>25926.799999999999</v>
      </c>
    </row>
    <row r="2388" spans="1:10" ht="1.1499999999999999" customHeight="1" thickTop="1" x14ac:dyDescent="0.2">
      <c r="A2388" s="106"/>
      <c r="B2388" s="106"/>
      <c r="C2388" s="106"/>
      <c r="D2388" s="106"/>
      <c r="E2388" s="106"/>
      <c r="F2388" s="106"/>
      <c r="G2388" s="106"/>
      <c r="H2388" s="106"/>
      <c r="I2388" s="106"/>
      <c r="J2388" s="106"/>
    </row>
    <row r="2389" spans="1:10" ht="18" customHeight="1" x14ac:dyDescent="0.2">
      <c r="A2389" s="117" t="s">
        <v>591</v>
      </c>
      <c r="B2389" s="126" t="s">
        <v>5</v>
      </c>
      <c r="C2389" s="117" t="s">
        <v>6</v>
      </c>
      <c r="D2389" s="117" t="s">
        <v>7</v>
      </c>
      <c r="E2389" s="136" t="s">
        <v>1113</v>
      </c>
      <c r="F2389" s="136"/>
      <c r="G2389" s="7" t="s">
        <v>8</v>
      </c>
      <c r="H2389" s="126" t="s">
        <v>9</v>
      </c>
      <c r="I2389" s="126" t="s">
        <v>10</v>
      </c>
      <c r="J2389" s="126" t="s">
        <v>12</v>
      </c>
    </row>
    <row r="2390" spans="1:10" ht="24" customHeight="1" x14ac:dyDescent="0.2">
      <c r="A2390" s="116" t="s">
        <v>1861</v>
      </c>
      <c r="B2390" s="1" t="s">
        <v>589</v>
      </c>
      <c r="C2390" s="116" t="s">
        <v>20</v>
      </c>
      <c r="D2390" s="116" t="s">
        <v>590</v>
      </c>
      <c r="E2390" s="137">
        <v>16</v>
      </c>
      <c r="F2390" s="137"/>
      <c r="G2390" s="2" t="s">
        <v>22</v>
      </c>
      <c r="H2390" s="115">
        <v>1</v>
      </c>
      <c r="I2390" s="61">
        <v>91.45</v>
      </c>
      <c r="J2390" s="61">
        <v>91.45</v>
      </c>
    </row>
    <row r="2391" spans="1:10" ht="24" customHeight="1" x14ac:dyDescent="0.2">
      <c r="A2391" s="113" t="s">
        <v>1859</v>
      </c>
      <c r="B2391" s="114" t="s">
        <v>2182</v>
      </c>
      <c r="C2391" s="113" t="s">
        <v>20</v>
      </c>
      <c r="D2391" s="113" t="s">
        <v>2181</v>
      </c>
      <c r="E2391" s="139" t="s">
        <v>1369</v>
      </c>
      <c r="F2391" s="139"/>
      <c r="G2391" s="112" t="s">
        <v>213</v>
      </c>
      <c r="H2391" s="111">
        <v>1.6667000000000001</v>
      </c>
      <c r="I2391" s="110">
        <v>27.72</v>
      </c>
      <c r="J2391" s="110">
        <v>46.2</v>
      </c>
    </row>
    <row r="2392" spans="1:10" ht="24" customHeight="1" x14ac:dyDescent="0.2">
      <c r="A2392" s="113" t="s">
        <v>1859</v>
      </c>
      <c r="B2392" s="114" t="s">
        <v>2180</v>
      </c>
      <c r="C2392" s="113" t="s">
        <v>20</v>
      </c>
      <c r="D2392" s="113" t="s">
        <v>2179</v>
      </c>
      <c r="E2392" s="139" t="s">
        <v>1860</v>
      </c>
      <c r="F2392" s="139"/>
      <c r="G2392" s="112" t="s">
        <v>1864</v>
      </c>
      <c r="H2392" s="111">
        <v>2.8332999999999999</v>
      </c>
      <c r="I2392" s="110">
        <v>15.97</v>
      </c>
      <c r="J2392" s="110">
        <v>45.25</v>
      </c>
    </row>
    <row r="2393" spans="1:10" x14ac:dyDescent="0.2">
      <c r="A2393" s="109"/>
      <c r="B2393" s="109"/>
      <c r="C2393" s="109"/>
      <c r="D2393" s="109"/>
      <c r="E2393" s="109" t="s">
        <v>1858</v>
      </c>
      <c r="F2393" s="108">
        <v>45.25</v>
      </c>
      <c r="G2393" s="109" t="s">
        <v>1857</v>
      </c>
      <c r="H2393" s="108">
        <v>0</v>
      </c>
      <c r="I2393" s="109" t="s">
        <v>1856</v>
      </c>
      <c r="J2393" s="108">
        <v>45.25</v>
      </c>
    </row>
    <row r="2394" spans="1:10" ht="13.9" customHeight="1" x14ac:dyDescent="0.2">
      <c r="A2394" s="109"/>
      <c r="B2394" s="109"/>
      <c r="C2394" s="109"/>
      <c r="D2394" s="109"/>
      <c r="E2394" s="109" t="s">
        <v>1855</v>
      </c>
      <c r="F2394" s="108">
        <v>24.279975</v>
      </c>
      <c r="G2394" s="109"/>
      <c r="H2394" s="140" t="s">
        <v>1854</v>
      </c>
      <c r="I2394" s="140"/>
      <c r="J2394" s="108">
        <v>115.73</v>
      </c>
    </row>
    <row r="2395" spans="1:10" ht="30" customHeight="1" thickBot="1" x14ac:dyDescent="0.25">
      <c r="A2395" s="100"/>
      <c r="B2395" s="100"/>
      <c r="C2395" s="100"/>
      <c r="D2395" s="100"/>
      <c r="E2395" s="100"/>
      <c r="F2395" s="100"/>
      <c r="G2395" s="100" t="s">
        <v>1853</v>
      </c>
      <c r="H2395" s="107">
        <v>42.29</v>
      </c>
      <c r="I2395" s="100" t="s">
        <v>1852</v>
      </c>
      <c r="J2395" s="102">
        <v>4894.22</v>
      </c>
    </row>
    <row r="2396" spans="1:10" ht="1.1499999999999999" customHeight="1" thickTop="1" x14ac:dyDescent="0.2">
      <c r="A2396" s="106"/>
      <c r="B2396" s="106"/>
      <c r="C2396" s="106"/>
      <c r="D2396" s="106"/>
      <c r="E2396" s="106"/>
      <c r="F2396" s="106"/>
      <c r="G2396" s="106"/>
      <c r="H2396" s="106"/>
      <c r="I2396" s="106"/>
      <c r="J2396" s="106"/>
    </row>
    <row r="2397" spans="1:10" ht="18" customHeight="1" x14ac:dyDescent="0.2">
      <c r="A2397" s="117" t="s">
        <v>594</v>
      </c>
      <c r="B2397" s="126" t="s">
        <v>5</v>
      </c>
      <c r="C2397" s="117" t="s">
        <v>6</v>
      </c>
      <c r="D2397" s="117" t="s">
        <v>7</v>
      </c>
      <c r="E2397" s="136" t="s">
        <v>1113</v>
      </c>
      <c r="F2397" s="136"/>
      <c r="G2397" s="7" t="s">
        <v>8</v>
      </c>
      <c r="H2397" s="126" t="s">
        <v>9</v>
      </c>
      <c r="I2397" s="126" t="s">
        <v>10</v>
      </c>
      <c r="J2397" s="126" t="s">
        <v>12</v>
      </c>
    </row>
    <row r="2398" spans="1:10" ht="24" customHeight="1" x14ac:dyDescent="0.2">
      <c r="A2398" s="116" t="s">
        <v>1861</v>
      </c>
      <c r="B2398" s="1" t="s">
        <v>592</v>
      </c>
      <c r="C2398" s="116" t="s">
        <v>20</v>
      </c>
      <c r="D2398" s="116" t="s">
        <v>593</v>
      </c>
      <c r="E2398" s="137">
        <v>16</v>
      </c>
      <c r="F2398" s="137"/>
      <c r="G2398" s="2" t="s">
        <v>22</v>
      </c>
      <c r="H2398" s="115">
        <v>1</v>
      </c>
      <c r="I2398" s="61">
        <v>84.71</v>
      </c>
      <c r="J2398" s="61">
        <v>84.71</v>
      </c>
    </row>
    <row r="2399" spans="1:10" ht="24" customHeight="1" x14ac:dyDescent="0.2">
      <c r="A2399" s="113" t="s">
        <v>1859</v>
      </c>
      <c r="B2399" s="114" t="s">
        <v>2178</v>
      </c>
      <c r="C2399" s="113" t="s">
        <v>20</v>
      </c>
      <c r="D2399" s="113" t="s">
        <v>2177</v>
      </c>
      <c r="E2399" s="139" t="s">
        <v>1369</v>
      </c>
      <c r="F2399" s="139"/>
      <c r="G2399" s="112" t="s">
        <v>213</v>
      </c>
      <c r="H2399" s="111">
        <v>2.75</v>
      </c>
      <c r="I2399" s="110">
        <v>18.48</v>
      </c>
      <c r="J2399" s="110">
        <v>50.82</v>
      </c>
    </row>
    <row r="2400" spans="1:10" ht="24" customHeight="1" x14ac:dyDescent="0.2">
      <c r="A2400" s="113" t="s">
        <v>1859</v>
      </c>
      <c r="B2400" s="114" t="s">
        <v>2176</v>
      </c>
      <c r="C2400" s="113" t="s">
        <v>20</v>
      </c>
      <c r="D2400" s="113" t="s">
        <v>2175</v>
      </c>
      <c r="E2400" s="139" t="s">
        <v>1369</v>
      </c>
      <c r="F2400" s="139"/>
      <c r="G2400" s="112" t="s">
        <v>96</v>
      </c>
      <c r="H2400" s="111">
        <v>3.6299999999999999E-2</v>
      </c>
      <c r="I2400" s="110">
        <v>17.86</v>
      </c>
      <c r="J2400" s="110">
        <v>0.65</v>
      </c>
    </row>
    <row r="2401" spans="1:10" ht="24" customHeight="1" x14ac:dyDescent="0.2">
      <c r="A2401" s="113" t="s">
        <v>1859</v>
      </c>
      <c r="B2401" s="114" t="s">
        <v>1866</v>
      </c>
      <c r="C2401" s="113" t="s">
        <v>20</v>
      </c>
      <c r="D2401" s="113" t="s">
        <v>1865</v>
      </c>
      <c r="E2401" s="139" t="s">
        <v>1860</v>
      </c>
      <c r="F2401" s="139"/>
      <c r="G2401" s="112" t="s">
        <v>1864</v>
      </c>
      <c r="H2401" s="111">
        <v>1.25</v>
      </c>
      <c r="I2401" s="110">
        <v>15.97</v>
      </c>
      <c r="J2401" s="110">
        <v>19.96</v>
      </c>
    </row>
    <row r="2402" spans="1:10" ht="24" customHeight="1" x14ac:dyDescent="0.2">
      <c r="A2402" s="113" t="s">
        <v>1859</v>
      </c>
      <c r="B2402" s="114" t="s">
        <v>1951</v>
      </c>
      <c r="C2402" s="113" t="s">
        <v>20</v>
      </c>
      <c r="D2402" s="113" t="s">
        <v>1950</v>
      </c>
      <c r="E2402" s="139" t="s">
        <v>1860</v>
      </c>
      <c r="F2402" s="139"/>
      <c r="G2402" s="112" t="s">
        <v>1864</v>
      </c>
      <c r="H2402" s="111">
        <v>1.25</v>
      </c>
      <c r="I2402" s="110">
        <v>10.62</v>
      </c>
      <c r="J2402" s="110">
        <v>13.28</v>
      </c>
    </row>
    <row r="2403" spans="1:10" x14ac:dyDescent="0.2">
      <c r="A2403" s="109"/>
      <c r="B2403" s="109"/>
      <c r="C2403" s="109"/>
      <c r="D2403" s="109"/>
      <c r="E2403" s="109" t="s">
        <v>1858</v>
      </c>
      <c r="F2403" s="108">
        <v>33.24</v>
      </c>
      <c r="G2403" s="109" t="s">
        <v>1857</v>
      </c>
      <c r="H2403" s="108">
        <v>0</v>
      </c>
      <c r="I2403" s="109" t="s">
        <v>1856</v>
      </c>
      <c r="J2403" s="108">
        <v>33.24</v>
      </c>
    </row>
    <row r="2404" spans="1:10" ht="13.9" customHeight="1" x14ac:dyDescent="0.2">
      <c r="A2404" s="109"/>
      <c r="B2404" s="109"/>
      <c r="C2404" s="109"/>
      <c r="D2404" s="109"/>
      <c r="E2404" s="109" t="s">
        <v>1855</v>
      </c>
      <c r="F2404" s="108">
        <v>22.490504999999999</v>
      </c>
      <c r="G2404" s="109"/>
      <c r="H2404" s="140" t="s">
        <v>1854</v>
      </c>
      <c r="I2404" s="140"/>
      <c r="J2404" s="108">
        <v>107.2</v>
      </c>
    </row>
    <row r="2405" spans="1:10" ht="30" customHeight="1" thickBot="1" x14ac:dyDescent="0.25">
      <c r="A2405" s="100"/>
      <c r="B2405" s="100"/>
      <c r="C2405" s="100"/>
      <c r="D2405" s="100"/>
      <c r="E2405" s="100"/>
      <c r="F2405" s="100"/>
      <c r="G2405" s="100" t="s">
        <v>1853</v>
      </c>
      <c r="H2405" s="107">
        <v>67.27</v>
      </c>
      <c r="I2405" s="100" t="s">
        <v>1852</v>
      </c>
      <c r="J2405" s="102">
        <v>7211.34</v>
      </c>
    </row>
    <row r="2406" spans="1:10" ht="1.1499999999999999" customHeight="1" thickTop="1" x14ac:dyDescent="0.2">
      <c r="A2406" s="106"/>
      <c r="B2406" s="106"/>
      <c r="C2406" s="106"/>
      <c r="D2406" s="106"/>
      <c r="E2406" s="106"/>
      <c r="F2406" s="106"/>
      <c r="G2406" s="106"/>
      <c r="H2406" s="106"/>
      <c r="I2406" s="106"/>
      <c r="J2406" s="106"/>
    </row>
    <row r="2407" spans="1:10" ht="18" customHeight="1" x14ac:dyDescent="0.2">
      <c r="A2407" s="117" t="s">
        <v>1251</v>
      </c>
      <c r="B2407" s="126" t="s">
        <v>5</v>
      </c>
      <c r="C2407" s="117" t="s">
        <v>6</v>
      </c>
      <c r="D2407" s="117" t="s">
        <v>7</v>
      </c>
      <c r="E2407" s="136" t="s">
        <v>1113</v>
      </c>
      <c r="F2407" s="136"/>
      <c r="G2407" s="7" t="s">
        <v>8</v>
      </c>
      <c r="H2407" s="126" t="s">
        <v>9</v>
      </c>
      <c r="I2407" s="126" t="s">
        <v>10</v>
      </c>
      <c r="J2407" s="126" t="s">
        <v>12</v>
      </c>
    </row>
    <row r="2408" spans="1:10" ht="36" customHeight="1" x14ac:dyDescent="0.2">
      <c r="A2408" s="116" t="s">
        <v>1861</v>
      </c>
      <c r="B2408" s="1" t="s">
        <v>595</v>
      </c>
      <c r="C2408" s="116" t="s">
        <v>20</v>
      </c>
      <c r="D2408" s="116" t="s">
        <v>596</v>
      </c>
      <c r="E2408" s="137">
        <v>20</v>
      </c>
      <c r="F2408" s="137"/>
      <c r="G2408" s="2" t="s">
        <v>22</v>
      </c>
      <c r="H2408" s="115">
        <v>1</v>
      </c>
      <c r="I2408" s="61">
        <v>53.4</v>
      </c>
      <c r="J2408" s="61">
        <v>53.4</v>
      </c>
    </row>
    <row r="2409" spans="1:10" ht="24" customHeight="1" x14ac:dyDescent="0.2">
      <c r="A2409" s="113" t="s">
        <v>1859</v>
      </c>
      <c r="B2409" s="114" t="s">
        <v>1899</v>
      </c>
      <c r="C2409" s="113" t="s">
        <v>20</v>
      </c>
      <c r="D2409" s="113" t="s">
        <v>1898</v>
      </c>
      <c r="E2409" s="139" t="s">
        <v>1369</v>
      </c>
      <c r="F2409" s="139"/>
      <c r="G2409" s="112" t="s">
        <v>49</v>
      </c>
      <c r="H2409" s="111">
        <v>5.2999999999999999E-2</v>
      </c>
      <c r="I2409" s="110">
        <v>162.78</v>
      </c>
      <c r="J2409" s="110">
        <v>8.6300000000000008</v>
      </c>
    </row>
    <row r="2410" spans="1:10" ht="24" customHeight="1" x14ac:dyDescent="0.2">
      <c r="A2410" s="113" t="s">
        <v>1859</v>
      </c>
      <c r="B2410" s="114" t="s">
        <v>2008</v>
      </c>
      <c r="C2410" s="113" t="s">
        <v>20</v>
      </c>
      <c r="D2410" s="113" t="s">
        <v>2007</v>
      </c>
      <c r="E2410" s="139" t="s">
        <v>1369</v>
      </c>
      <c r="F2410" s="139"/>
      <c r="G2410" s="112" t="s">
        <v>96</v>
      </c>
      <c r="H2410" s="111">
        <v>7.9615</v>
      </c>
      <c r="I2410" s="110">
        <v>0.75</v>
      </c>
      <c r="J2410" s="110">
        <v>5.97</v>
      </c>
    </row>
    <row r="2411" spans="1:10" ht="24" customHeight="1" x14ac:dyDescent="0.2">
      <c r="A2411" s="113" t="s">
        <v>1859</v>
      </c>
      <c r="B2411" s="114" t="s">
        <v>1897</v>
      </c>
      <c r="C2411" s="113" t="s">
        <v>20</v>
      </c>
      <c r="D2411" s="113" t="s">
        <v>1896</v>
      </c>
      <c r="E2411" s="139" t="s">
        <v>1369</v>
      </c>
      <c r="F2411" s="139"/>
      <c r="G2411" s="112" t="s">
        <v>96</v>
      </c>
      <c r="H2411" s="111">
        <v>6.5620000000000003</v>
      </c>
      <c r="I2411" s="110">
        <v>0.6</v>
      </c>
      <c r="J2411" s="110">
        <v>3.94</v>
      </c>
    </row>
    <row r="2412" spans="1:10" ht="24" customHeight="1" x14ac:dyDescent="0.2">
      <c r="A2412" s="113" t="s">
        <v>1859</v>
      </c>
      <c r="B2412" s="114" t="s">
        <v>1866</v>
      </c>
      <c r="C2412" s="113" t="s">
        <v>20</v>
      </c>
      <c r="D2412" s="113" t="s">
        <v>1865</v>
      </c>
      <c r="E2412" s="139" t="s">
        <v>1860</v>
      </c>
      <c r="F2412" s="139"/>
      <c r="G2412" s="112" t="s">
        <v>1864</v>
      </c>
      <c r="H2412" s="111">
        <v>1.323</v>
      </c>
      <c r="I2412" s="110">
        <v>15.97</v>
      </c>
      <c r="J2412" s="110">
        <v>21.13</v>
      </c>
    </row>
    <row r="2413" spans="1:10" ht="24" customHeight="1" x14ac:dyDescent="0.2">
      <c r="A2413" s="113" t="s">
        <v>1859</v>
      </c>
      <c r="B2413" s="114" t="s">
        <v>1872</v>
      </c>
      <c r="C2413" s="113" t="s">
        <v>20</v>
      </c>
      <c r="D2413" s="113" t="s">
        <v>1871</v>
      </c>
      <c r="E2413" s="139" t="s">
        <v>1860</v>
      </c>
      <c r="F2413" s="139"/>
      <c r="G2413" s="112" t="s">
        <v>1864</v>
      </c>
      <c r="H2413" s="111">
        <v>1.2929999999999999</v>
      </c>
      <c r="I2413" s="110">
        <v>10.62</v>
      </c>
      <c r="J2413" s="110">
        <v>13.73</v>
      </c>
    </row>
    <row r="2414" spans="1:10" x14ac:dyDescent="0.2">
      <c r="A2414" s="109"/>
      <c r="B2414" s="109"/>
      <c r="C2414" s="109"/>
      <c r="D2414" s="109"/>
      <c r="E2414" s="109" t="s">
        <v>1858</v>
      </c>
      <c r="F2414" s="108">
        <v>34.86</v>
      </c>
      <c r="G2414" s="109" t="s">
        <v>1857</v>
      </c>
      <c r="H2414" s="108">
        <v>0</v>
      </c>
      <c r="I2414" s="109" t="s">
        <v>1856</v>
      </c>
      <c r="J2414" s="108">
        <v>34.86</v>
      </c>
    </row>
    <row r="2415" spans="1:10" ht="13.9" customHeight="1" x14ac:dyDescent="0.2">
      <c r="A2415" s="109"/>
      <c r="B2415" s="109"/>
      <c r="C2415" s="109"/>
      <c r="D2415" s="109"/>
      <c r="E2415" s="109" t="s">
        <v>1855</v>
      </c>
      <c r="F2415" s="108">
        <v>14.1777</v>
      </c>
      <c r="G2415" s="109"/>
      <c r="H2415" s="140" t="s">
        <v>1854</v>
      </c>
      <c r="I2415" s="140"/>
      <c r="J2415" s="108">
        <v>67.58</v>
      </c>
    </row>
    <row r="2416" spans="1:10" ht="30" customHeight="1" thickBot="1" x14ac:dyDescent="0.25">
      <c r="A2416" s="100"/>
      <c r="B2416" s="100"/>
      <c r="C2416" s="100"/>
      <c r="D2416" s="100"/>
      <c r="E2416" s="100"/>
      <c r="F2416" s="100"/>
      <c r="G2416" s="100" t="s">
        <v>1853</v>
      </c>
      <c r="H2416" s="107">
        <v>40.18</v>
      </c>
      <c r="I2416" s="100" t="s">
        <v>1852</v>
      </c>
      <c r="J2416" s="102">
        <v>2715.36</v>
      </c>
    </row>
    <row r="2417" spans="1:10" ht="1.1499999999999999" customHeight="1" thickTop="1" x14ac:dyDescent="0.2">
      <c r="A2417" s="106"/>
      <c r="B2417" s="106"/>
      <c r="C2417" s="106"/>
      <c r="D2417" s="106"/>
      <c r="E2417" s="106"/>
      <c r="F2417" s="106"/>
      <c r="G2417" s="106"/>
      <c r="H2417" s="106"/>
      <c r="I2417" s="106"/>
      <c r="J2417" s="106"/>
    </row>
    <row r="2418" spans="1:10" ht="24" customHeight="1" x14ac:dyDescent="0.2">
      <c r="A2418" s="123" t="s">
        <v>597</v>
      </c>
      <c r="B2418" s="123"/>
      <c r="C2418" s="123"/>
      <c r="D2418" s="123" t="s">
        <v>598</v>
      </c>
      <c r="E2418" s="123"/>
      <c r="F2418" s="142"/>
      <c r="G2418" s="142"/>
      <c r="H2418" s="3"/>
      <c r="I2418" s="123"/>
      <c r="J2418" s="63">
        <v>178410.59</v>
      </c>
    </row>
    <row r="2419" spans="1:10" ht="18" customHeight="1" x14ac:dyDescent="0.2">
      <c r="A2419" s="117" t="s">
        <v>599</v>
      </c>
      <c r="B2419" s="126" t="s">
        <v>5</v>
      </c>
      <c r="C2419" s="117" t="s">
        <v>6</v>
      </c>
      <c r="D2419" s="117" t="s">
        <v>7</v>
      </c>
      <c r="E2419" s="136" t="s">
        <v>1113</v>
      </c>
      <c r="F2419" s="136"/>
      <c r="G2419" s="7" t="s">
        <v>8</v>
      </c>
      <c r="H2419" s="126" t="s">
        <v>9</v>
      </c>
      <c r="I2419" s="126" t="s">
        <v>10</v>
      </c>
      <c r="J2419" s="126" t="s">
        <v>12</v>
      </c>
    </row>
    <row r="2420" spans="1:10" ht="48" customHeight="1" x14ac:dyDescent="0.2">
      <c r="A2420" s="116" t="s">
        <v>1861</v>
      </c>
      <c r="B2420" s="1" t="s">
        <v>1627</v>
      </c>
      <c r="C2420" s="116" t="s">
        <v>25</v>
      </c>
      <c r="D2420" s="116" t="s">
        <v>1626</v>
      </c>
      <c r="E2420" s="137" t="s">
        <v>1465</v>
      </c>
      <c r="F2420" s="137"/>
      <c r="G2420" s="2" t="s">
        <v>22</v>
      </c>
      <c r="H2420" s="115">
        <v>1</v>
      </c>
      <c r="I2420" s="61">
        <v>37.880000000000003</v>
      </c>
      <c r="J2420" s="61">
        <v>37.880000000000003</v>
      </c>
    </row>
    <row r="2421" spans="1:10" ht="36" customHeight="1" x14ac:dyDescent="0.2">
      <c r="A2421" s="121" t="s">
        <v>1888</v>
      </c>
      <c r="B2421" s="122" t="s">
        <v>2170</v>
      </c>
      <c r="C2421" s="121" t="s">
        <v>25</v>
      </c>
      <c r="D2421" s="121" t="s">
        <v>2169</v>
      </c>
      <c r="E2421" s="138" t="s">
        <v>1902</v>
      </c>
      <c r="F2421" s="138"/>
      <c r="G2421" s="120" t="s">
        <v>49</v>
      </c>
      <c r="H2421" s="119">
        <v>4.3099999999999999E-2</v>
      </c>
      <c r="I2421" s="118">
        <v>638.05999999999995</v>
      </c>
      <c r="J2421" s="118">
        <v>27.5</v>
      </c>
    </row>
    <row r="2422" spans="1:10" ht="24" customHeight="1" x14ac:dyDescent="0.2">
      <c r="A2422" s="121" t="s">
        <v>1888</v>
      </c>
      <c r="B2422" s="122" t="s">
        <v>2046</v>
      </c>
      <c r="C2422" s="121" t="s">
        <v>25</v>
      </c>
      <c r="D2422" s="121" t="s">
        <v>2045</v>
      </c>
      <c r="E2422" s="138" t="s">
        <v>1902</v>
      </c>
      <c r="F2422" s="138"/>
      <c r="G2422" s="120" t="s">
        <v>61</v>
      </c>
      <c r="H2422" s="119">
        <v>0.245</v>
      </c>
      <c r="I2422" s="118">
        <v>21.54</v>
      </c>
      <c r="J2422" s="118">
        <v>5.28</v>
      </c>
    </row>
    <row r="2423" spans="1:10" ht="24" customHeight="1" x14ac:dyDescent="0.2">
      <c r="A2423" s="121" t="s">
        <v>1888</v>
      </c>
      <c r="B2423" s="122" t="s">
        <v>1906</v>
      </c>
      <c r="C2423" s="121" t="s">
        <v>25</v>
      </c>
      <c r="D2423" s="121" t="s">
        <v>1905</v>
      </c>
      <c r="E2423" s="138" t="s">
        <v>1902</v>
      </c>
      <c r="F2423" s="138"/>
      <c r="G2423" s="120" t="s">
        <v>61</v>
      </c>
      <c r="H2423" s="119">
        <v>0.123</v>
      </c>
      <c r="I2423" s="118">
        <v>16.059999999999999</v>
      </c>
      <c r="J2423" s="118">
        <v>1.98</v>
      </c>
    </row>
    <row r="2424" spans="1:10" ht="24" customHeight="1" x14ac:dyDescent="0.2">
      <c r="A2424" s="113" t="s">
        <v>1859</v>
      </c>
      <c r="B2424" s="114" t="s">
        <v>2174</v>
      </c>
      <c r="C2424" s="113" t="s">
        <v>25</v>
      </c>
      <c r="D2424" s="113" t="s">
        <v>2173</v>
      </c>
      <c r="E2424" s="139" t="s">
        <v>1369</v>
      </c>
      <c r="F2424" s="139"/>
      <c r="G2424" s="112" t="s">
        <v>1562</v>
      </c>
      <c r="H2424" s="111">
        <v>0.21</v>
      </c>
      <c r="I2424" s="110">
        <v>13.43</v>
      </c>
      <c r="J2424" s="110">
        <v>2.82</v>
      </c>
    </row>
    <row r="2425" spans="1:10" ht="24" customHeight="1" x14ac:dyDescent="0.2">
      <c r="A2425" s="113" t="s">
        <v>1859</v>
      </c>
      <c r="B2425" s="114" t="s">
        <v>2172</v>
      </c>
      <c r="C2425" s="113" t="s">
        <v>25</v>
      </c>
      <c r="D2425" s="113" t="s">
        <v>2171</v>
      </c>
      <c r="E2425" s="139" t="s">
        <v>1369</v>
      </c>
      <c r="F2425" s="139"/>
      <c r="G2425" s="112" t="s">
        <v>1303</v>
      </c>
      <c r="H2425" s="111">
        <v>0.5</v>
      </c>
      <c r="I2425" s="110">
        <v>0.6</v>
      </c>
      <c r="J2425" s="110">
        <v>0.3</v>
      </c>
    </row>
    <row r="2426" spans="1:10" x14ac:dyDescent="0.2">
      <c r="A2426" s="109"/>
      <c r="B2426" s="109"/>
      <c r="C2426" s="109"/>
      <c r="D2426" s="109"/>
      <c r="E2426" s="109" t="s">
        <v>1858</v>
      </c>
      <c r="F2426" s="108">
        <v>10.27</v>
      </c>
      <c r="G2426" s="109" t="s">
        <v>1857</v>
      </c>
      <c r="H2426" s="108">
        <v>0</v>
      </c>
      <c r="I2426" s="109" t="s">
        <v>1856</v>
      </c>
      <c r="J2426" s="108">
        <v>10.27</v>
      </c>
    </row>
    <row r="2427" spans="1:10" ht="13.9" customHeight="1" x14ac:dyDescent="0.2">
      <c r="A2427" s="109"/>
      <c r="B2427" s="109"/>
      <c r="C2427" s="109"/>
      <c r="D2427" s="109"/>
      <c r="E2427" s="109" t="s">
        <v>1855</v>
      </c>
      <c r="F2427" s="108">
        <v>10.05714</v>
      </c>
      <c r="G2427" s="109"/>
      <c r="H2427" s="140" t="s">
        <v>1854</v>
      </c>
      <c r="I2427" s="140"/>
      <c r="J2427" s="108">
        <v>47.94</v>
      </c>
    </row>
    <row r="2428" spans="1:10" ht="30" customHeight="1" thickBot="1" x14ac:dyDescent="0.25">
      <c r="A2428" s="100"/>
      <c r="B2428" s="100"/>
      <c r="C2428" s="100"/>
      <c r="D2428" s="100"/>
      <c r="E2428" s="100"/>
      <c r="F2428" s="100"/>
      <c r="G2428" s="100" t="s">
        <v>1853</v>
      </c>
      <c r="H2428" s="107">
        <v>748.52</v>
      </c>
      <c r="I2428" s="100" t="s">
        <v>1852</v>
      </c>
      <c r="J2428" s="102">
        <v>35884.050000000003</v>
      </c>
    </row>
    <row r="2429" spans="1:10" ht="1.1499999999999999" customHeight="1" thickTop="1" x14ac:dyDescent="0.2">
      <c r="A2429" s="106"/>
      <c r="B2429" s="106"/>
      <c r="C2429" s="106"/>
      <c r="D2429" s="106"/>
      <c r="E2429" s="106"/>
      <c r="F2429" s="106"/>
      <c r="G2429" s="106"/>
      <c r="H2429" s="106"/>
      <c r="I2429" s="106"/>
      <c r="J2429" s="106"/>
    </row>
    <row r="2430" spans="1:10" ht="18" customHeight="1" x14ac:dyDescent="0.2">
      <c r="A2430" s="117" t="s">
        <v>600</v>
      </c>
      <c r="B2430" s="126" t="s">
        <v>5</v>
      </c>
      <c r="C2430" s="117" t="s">
        <v>6</v>
      </c>
      <c r="D2430" s="117" t="s">
        <v>7</v>
      </c>
      <c r="E2430" s="136" t="s">
        <v>1113</v>
      </c>
      <c r="F2430" s="136"/>
      <c r="G2430" s="7" t="s">
        <v>8</v>
      </c>
      <c r="H2430" s="126" t="s">
        <v>9</v>
      </c>
      <c r="I2430" s="126" t="s">
        <v>10</v>
      </c>
      <c r="J2430" s="126" t="s">
        <v>12</v>
      </c>
    </row>
    <row r="2431" spans="1:10" ht="24" customHeight="1" x14ac:dyDescent="0.2">
      <c r="A2431" s="116" t="s">
        <v>1861</v>
      </c>
      <c r="B2431" s="1" t="s">
        <v>1625</v>
      </c>
      <c r="C2431" s="116" t="s">
        <v>25</v>
      </c>
      <c r="D2431" s="116" t="s">
        <v>1624</v>
      </c>
      <c r="E2431" s="137" t="s">
        <v>1465</v>
      </c>
      <c r="F2431" s="137"/>
      <c r="G2431" s="2" t="s">
        <v>22</v>
      </c>
      <c r="H2431" s="115">
        <v>1</v>
      </c>
      <c r="I2431" s="61">
        <v>111.5</v>
      </c>
      <c r="J2431" s="61">
        <v>111.5</v>
      </c>
    </row>
    <row r="2432" spans="1:10" ht="36" customHeight="1" x14ac:dyDescent="0.2">
      <c r="A2432" s="121" t="s">
        <v>1888</v>
      </c>
      <c r="B2432" s="122" t="s">
        <v>2170</v>
      </c>
      <c r="C2432" s="121" t="s">
        <v>25</v>
      </c>
      <c r="D2432" s="121" t="s">
        <v>2169</v>
      </c>
      <c r="E2432" s="138" t="s">
        <v>1902</v>
      </c>
      <c r="F2432" s="138"/>
      <c r="G2432" s="120" t="s">
        <v>49</v>
      </c>
      <c r="H2432" s="119">
        <v>0.02</v>
      </c>
      <c r="I2432" s="118">
        <v>638.05999999999995</v>
      </c>
      <c r="J2432" s="118">
        <v>12.76</v>
      </c>
    </row>
    <row r="2433" spans="1:10" ht="24" customHeight="1" x14ac:dyDescent="0.2">
      <c r="A2433" s="121" t="s">
        <v>1888</v>
      </c>
      <c r="B2433" s="122" t="s">
        <v>1906</v>
      </c>
      <c r="C2433" s="121" t="s">
        <v>25</v>
      </c>
      <c r="D2433" s="121" t="s">
        <v>1905</v>
      </c>
      <c r="E2433" s="138" t="s">
        <v>1902</v>
      </c>
      <c r="F2433" s="138"/>
      <c r="G2433" s="120" t="s">
        <v>61</v>
      </c>
      <c r="H2433" s="119">
        <v>0.3</v>
      </c>
      <c r="I2433" s="118">
        <v>16.059999999999999</v>
      </c>
      <c r="J2433" s="118">
        <v>4.82</v>
      </c>
    </row>
    <row r="2434" spans="1:10" ht="24" customHeight="1" x14ac:dyDescent="0.2">
      <c r="A2434" s="121" t="s">
        <v>1888</v>
      </c>
      <c r="B2434" s="122" t="s">
        <v>2046</v>
      </c>
      <c r="C2434" s="121" t="s">
        <v>25</v>
      </c>
      <c r="D2434" s="121" t="s">
        <v>2045</v>
      </c>
      <c r="E2434" s="138" t="s">
        <v>1902</v>
      </c>
      <c r="F2434" s="138"/>
      <c r="G2434" s="120" t="s">
        <v>61</v>
      </c>
      <c r="H2434" s="119">
        <v>0.6</v>
      </c>
      <c r="I2434" s="118">
        <v>21.54</v>
      </c>
      <c r="J2434" s="118">
        <v>12.92</v>
      </c>
    </row>
    <row r="2435" spans="1:10" ht="24" customHeight="1" x14ac:dyDescent="0.2">
      <c r="A2435" s="113" t="s">
        <v>1859</v>
      </c>
      <c r="B2435" s="114" t="s">
        <v>2168</v>
      </c>
      <c r="C2435" s="113" t="s">
        <v>25</v>
      </c>
      <c r="D2435" s="113" t="s">
        <v>2167</v>
      </c>
      <c r="E2435" s="139" t="s">
        <v>1369</v>
      </c>
      <c r="F2435" s="139"/>
      <c r="G2435" s="112" t="s">
        <v>92</v>
      </c>
      <c r="H2435" s="111">
        <v>1</v>
      </c>
      <c r="I2435" s="110">
        <v>1.1000000000000001</v>
      </c>
      <c r="J2435" s="110">
        <v>1.1000000000000001</v>
      </c>
    </row>
    <row r="2436" spans="1:10" ht="36" customHeight="1" x14ac:dyDescent="0.2">
      <c r="A2436" s="113" t="s">
        <v>1859</v>
      </c>
      <c r="B2436" s="114" t="s">
        <v>2166</v>
      </c>
      <c r="C2436" s="113" t="s">
        <v>25</v>
      </c>
      <c r="D2436" s="113" t="s">
        <v>2165</v>
      </c>
      <c r="E2436" s="139" t="s">
        <v>1369</v>
      </c>
      <c r="F2436" s="139"/>
      <c r="G2436" s="112" t="s">
        <v>22</v>
      </c>
      <c r="H2436" s="111">
        <v>1</v>
      </c>
      <c r="I2436" s="110">
        <v>79.900000000000006</v>
      </c>
      <c r="J2436" s="110">
        <v>79.900000000000006</v>
      </c>
    </row>
    <row r="2437" spans="1:10" x14ac:dyDescent="0.2">
      <c r="A2437" s="109"/>
      <c r="B2437" s="109"/>
      <c r="C2437" s="109"/>
      <c r="D2437" s="109"/>
      <c r="E2437" s="109" t="s">
        <v>1858</v>
      </c>
      <c r="F2437" s="108">
        <v>15.11</v>
      </c>
      <c r="G2437" s="109" t="s">
        <v>1857</v>
      </c>
      <c r="H2437" s="108">
        <v>0.01</v>
      </c>
      <c r="I2437" s="109" t="s">
        <v>1856</v>
      </c>
      <c r="J2437" s="108">
        <v>15.12</v>
      </c>
    </row>
    <row r="2438" spans="1:10" ht="13.9" customHeight="1" x14ac:dyDescent="0.2">
      <c r="A2438" s="109"/>
      <c r="B2438" s="109"/>
      <c r="C2438" s="109"/>
      <c r="D2438" s="109"/>
      <c r="E2438" s="109" t="s">
        <v>1855</v>
      </c>
      <c r="F2438" s="108">
        <v>29.603249999999999</v>
      </c>
      <c r="G2438" s="109"/>
      <c r="H2438" s="140" t="s">
        <v>1854</v>
      </c>
      <c r="I2438" s="140"/>
      <c r="J2438" s="108">
        <v>141.1</v>
      </c>
    </row>
    <row r="2439" spans="1:10" ht="30" customHeight="1" thickBot="1" x14ac:dyDescent="0.25">
      <c r="A2439" s="100"/>
      <c r="B2439" s="100"/>
      <c r="C2439" s="100"/>
      <c r="D2439" s="100"/>
      <c r="E2439" s="100"/>
      <c r="F2439" s="100"/>
      <c r="G2439" s="100" t="s">
        <v>1853</v>
      </c>
      <c r="H2439" s="107">
        <v>560.16</v>
      </c>
      <c r="I2439" s="100" t="s">
        <v>1852</v>
      </c>
      <c r="J2439" s="102">
        <v>79038.58</v>
      </c>
    </row>
    <row r="2440" spans="1:10" ht="1.1499999999999999" customHeight="1" thickTop="1" x14ac:dyDescent="0.2">
      <c r="A2440" s="106"/>
      <c r="B2440" s="106"/>
      <c r="C2440" s="106"/>
      <c r="D2440" s="106"/>
      <c r="E2440" s="106"/>
      <c r="F2440" s="106"/>
      <c r="G2440" s="106"/>
      <c r="H2440" s="106"/>
      <c r="I2440" s="106"/>
      <c r="J2440" s="106"/>
    </row>
    <row r="2441" spans="1:10" ht="18" customHeight="1" x14ac:dyDescent="0.2">
      <c r="A2441" s="117" t="s">
        <v>603</v>
      </c>
      <c r="B2441" s="126" t="s">
        <v>5</v>
      </c>
      <c r="C2441" s="117" t="s">
        <v>6</v>
      </c>
      <c r="D2441" s="117" t="s">
        <v>7</v>
      </c>
      <c r="E2441" s="136" t="s">
        <v>1113</v>
      </c>
      <c r="F2441" s="136"/>
      <c r="G2441" s="7" t="s">
        <v>8</v>
      </c>
      <c r="H2441" s="126" t="s">
        <v>9</v>
      </c>
      <c r="I2441" s="126" t="s">
        <v>10</v>
      </c>
      <c r="J2441" s="126" t="s">
        <v>12</v>
      </c>
    </row>
    <row r="2442" spans="1:10" ht="24" customHeight="1" x14ac:dyDescent="0.2">
      <c r="A2442" s="116" t="s">
        <v>1861</v>
      </c>
      <c r="B2442" s="1" t="s">
        <v>601</v>
      </c>
      <c r="C2442" s="116" t="s">
        <v>20</v>
      </c>
      <c r="D2442" s="116" t="s">
        <v>602</v>
      </c>
      <c r="E2442" s="137">
        <v>22</v>
      </c>
      <c r="F2442" s="137"/>
      <c r="G2442" s="2" t="s">
        <v>213</v>
      </c>
      <c r="H2442" s="115">
        <v>1</v>
      </c>
      <c r="I2442" s="61">
        <v>13.9</v>
      </c>
      <c r="J2442" s="61">
        <v>13.9</v>
      </c>
    </row>
    <row r="2443" spans="1:10" ht="24" customHeight="1" x14ac:dyDescent="0.2">
      <c r="A2443" s="113" t="s">
        <v>1859</v>
      </c>
      <c r="B2443" s="114" t="s">
        <v>2164</v>
      </c>
      <c r="C2443" s="113" t="s">
        <v>20</v>
      </c>
      <c r="D2443" s="113" t="s">
        <v>2163</v>
      </c>
      <c r="E2443" s="139" t="s">
        <v>1369</v>
      </c>
      <c r="F2443" s="139"/>
      <c r="G2443" s="112" t="s">
        <v>213</v>
      </c>
      <c r="H2443" s="111">
        <v>1</v>
      </c>
      <c r="I2443" s="110">
        <v>13.9</v>
      </c>
      <c r="J2443" s="110">
        <v>13.9</v>
      </c>
    </row>
    <row r="2444" spans="1:10" x14ac:dyDescent="0.2">
      <c r="A2444" s="109"/>
      <c r="B2444" s="109"/>
      <c r="C2444" s="109"/>
      <c r="D2444" s="109"/>
      <c r="E2444" s="109" t="s">
        <v>1858</v>
      </c>
      <c r="F2444" s="108">
        <v>0</v>
      </c>
      <c r="G2444" s="109" t="s">
        <v>1857</v>
      </c>
      <c r="H2444" s="108">
        <v>0</v>
      </c>
      <c r="I2444" s="109" t="s">
        <v>1856</v>
      </c>
      <c r="J2444" s="108">
        <v>0</v>
      </c>
    </row>
    <row r="2445" spans="1:10" ht="13.9" customHeight="1" x14ac:dyDescent="0.2">
      <c r="A2445" s="109"/>
      <c r="B2445" s="109"/>
      <c r="C2445" s="109"/>
      <c r="D2445" s="109"/>
      <c r="E2445" s="109" t="s">
        <v>1855</v>
      </c>
      <c r="F2445" s="108">
        <v>3.6904499999999998</v>
      </c>
      <c r="G2445" s="109"/>
      <c r="H2445" s="140" t="s">
        <v>1854</v>
      </c>
      <c r="I2445" s="140"/>
      <c r="J2445" s="108">
        <v>17.59</v>
      </c>
    </row>
    <row r="2446" spans="1:10" ht="30" customHeight="1" thickBot="1" x14ac:dyDescent="0.25">
      <c r="A2446" s="100"/>
      <c r="B2446" s="100"/>
      <c r="C2446" s="100"/>
      <c r="D2446" s="100"/>
      <c r="E2446" s="100"/>
      <c r="F2446" s="100"/>
      <c r="G2446" s="100" t="s">
        <v>1853</v>
      </c>
      <c r="H2446" s="107">
        <v>450</v>
      </c>
      <c r="I2446" s="100" t="s">
        <v>1852</v>
      </c>
      <c r="J2446" s="102">
        <v>7915.5</v>
      </c>
    </row>
    <row r="2447" spans="1:10" ht="1.1499999999999999" customHeight="1" thickTop="1" x14ac:dyDescent="0.2">
      <c r="A2447" s="106"/>
      <c r="B2447" s="106"/>
      <c r="C2447" s="106"/>
      <c r="D2447" s="106"/>
      <c r="E2447" s="106"/>
      <c r="F2447" s="106"/>
      <c r="G2447" s="106"/>
      <c r="H2447" s="106"/>
      <c r="I2447" s="106"/>
      <c r="J2447" s="106"/>
    </row>
    <row r="2448" spans="1:10" ht="18" customHeight="1" x14ac:dyDescent="0.2">
      <c r="A2448" s="117" t="s">
        <v>606</v>
      </c>
      <c r="B2448" s="126" t="s">
        <v>5</v>
      </c>
      <c r="C2448" s="117" t="s">
        <v>6</v>
      </c>
      <c r="D2448" s="117" t="s">
        <v>7</v>
      </c>
      <c r="E2448" s="136" t="s">
        <v>1113</v>
      </c>
      <c r="F2448" s="136"/>
      <c r="G2448" s="7" t="s">
        <v>8</v>
      </c>
      <c r="H2448" s="126" t="s">
        <v>9</v>
      </c>
      <c r="I2448" s="126" t="s">
        <v>10</v>
      </c>
      <c r="J2448" s="126" t="s">
        <v>12</v>
      </c>
    </row>
    <row r="2449" spans="1:10" ht="24" customHeight="1" x14ac:dyDescent="0.2">
      <c r="A2449" s="116" t="s">
        <v>1861</v>
      </c>
      <c r="B2449" s="1" t="s">
        <v>604</v>
      </c>
      <c r="C2449" s="116" t="s">
        <v>20</v>
      </c>
      <c r="D2449" s="116" t="s">
        <v>605</v>
      </c>
      <c r="E2449" s="137">
        <v>22</v>
      </c>
      <c r="F2449" s="137"/>
      <c r="G2449" s="2" t="s">
        <v>22</v>
      </c>
      <c r="H2449" s="115">
        <v>1</v>
      </c>
      <c r="I2449" s="61">
        <v>61.68</v>
      </c>
      <c r="J2449" s="61">
        <v>61.68</v>
      </c>
    </row>
    <row r="2450" spans="1:10" ht="24" customHeight="1" x14ac:dyDescent="0.2">
      <c r="A2450" s="113" t="s">
        <v>1859</v>
      </c>
      <c r="B2450" s="114" t="s">
        <v>1899</v>
      </c>
      <c r="C2450" s="113" t="s">
        <v>20</v>
      </c>
      <c r="D2450" s="113" t="s">
        <v>1898</v>
      </c>
      <c r="E2450" s="139" t="s">
        <v>1369</v>
      </c>
      <c r="F2450" s="139"/>
      <c r="G2450" s="112" t="s">
        <v>49</v>
      </c>
      <c r="H2450" s="111">
        <v>2.4299999999999999E-2</v>
      </c>
      <c r="I2450" s="110">
        <v>162.78</v>
      </c>
      <c r="J2450" s="110">
        <v>3.96</v>
      </c>
    </row>
    <row r="2451" spans="1:10" ht="24" customHeight="1" x14ac:dyDescent="0.2">
      <c r="A2451" s="113" t="s">
        <v>1859</v>
      </c>
      <c r="B2451" s="114" t="s">
        <v>2160</v>
      </c>
      <c r="C2451" s="113" t="s">
        <v>20</v>
      </c>
      <c r="D2451" s="113" t="s">
        <v>2159</v>
      </c>
      <c r="E2451" s="139" t="s">
        <v>1369</v>
      </c>
      <c r="F2451" s="139"/>
      <c r="G2451" s="112" t="s">
        <v>96</v>
      </c>
      <c r="H2451" s="111">
        <v>7.5</v>
      </c>
      <c r="I2451" s="110">
        <v>1.03</v>
      </c>
      <c r="J2451" s="110">
        <v>7.73</v>
      </c>
    </row>
    <row r="2452" spans="1:10" ht="24" customHeight="1" x14ac:dyDescent="0.2">
      <c r="A2452" s="113" t="s">
        <v>1859</v>
      </c>
      <c r="B2452" s="114" t="s">
        <v>2134</v>
      </c>
      <c r="C2452" s="113" t="s">
        <v>20</v>
      </c>
      <c r="D2452" s="113" t="s">
        <v>2133</v>
      </c>
      <c r="E2452" s="139" t="s">
        <v>1369</v>
      </c>
      <c r="F2452" s="139"/>
      <c r="G2452" s="112" t="s">
        <v>96</v>
      </c>
      <c r="H2452" s="111">
        <v>0.2409</v>
      </c>
      <c r="I2452" s="110">
        <v>3.27</v>
      </c>
      <c r="J2452" s="110">
        <v>0.79</v>
      </c>
    </row>
    <row r="2453" spans="1:10" ht="24" customHeight="1" x14ac:dyDescent="0.2">
      <c r="A2453" s="113" t="s">
        <v>1859</v>
      </c>
      <c r="B2453" s="114" t="s">
        <v>1897</v>
      </c>
      <c r="C2453" s="113" t="s">
        <v>20</v>
      </c>
      <c r="D2453" s="113" t="s">
        <v>1896</v>
      </c>
      <c r="E2453" s="139" t="s">
        <v>1369</v>
      </c>
      <c r="F2453" s="139"/>
      <c r="G2453" s="112" t="s">
        <v>96</v>
      </c>
      <c r="H2453" s="111">
        <v>9.7200000000000006</v>
      </c>
      <c r="I2453" s="110">
        <v>0.6</v>
      </c>
      <c r="J2453" s="110">
        <v>5.83</v>
      </c>
    </row>
    <row r="2454" spans="1:10" ht="24" customHeight="1" x14ac:dyDescent="0.2">
      <c r="A2454" s="113" t="s">
        <v>1859</v>
      </c>
      <c r="B2454" s="114" t="s">
        <v>2162</v>
      </c>
      <c r="C2454" s="113" t="s">
        <v>20</v>
      </c>
      <c r="D2454" s="113" t="s">
        <v>2161</v>
      </c>
      <c r="E2454" s="139" t="s">
        <v>1369</v>
      </c>
      <c r="F2454" s="139"/>
      <c r="G2454" s="112" t="s">
        <v>22</v>
      </c>
      <c r="H2454" s="111">
        <v>1.05</v>
      </c>
      <c r="I2454" s="110">
        <v>21.13</v>
      </c>
      <c r="J2454" s="110">
        <v>22.19</v>
      </c>
    </row>
    <row r="2455" spans="1:10" ht="24" customHeight="1" x14ac:dyDescent="0.2">
      <c r="A2455" s="113" t="s">
        <v>1859</v>
      </c>
      <c r="B2455" s="114" t="s">
        <v>1872</v>
      </c>
      <c r="C2455" s="113" t="s">
        <v>20</v>
      </c>
      <c r="D2455" s="113" t="s">
        <v>1871</v>
      </c>
      <c r="E2455" s="139" t="s">
        <v>1860</v>
      </c>
      <c r="F2455" s="139"/>
      <c r="G2455" s="112" t="s">
        <v>1864</v>
      </c>
      <c r="H2455" s="111">
        <v>0.98460000000000003</v>
      </c>
      <c r="I2455" s="110">
        <v>10.62</v>
      </c>
      <c r="J2455" s="110">
        <v>10.46</v>
      </c>
    </row>
    <row r="2456" spans="1:10" ht="24" customHeight="1" x14ac:dyDescent="0.2">
      <c r="A2456" s="113" t="s">
        <v>1859</v>
      </c>
      <c r="B2456" s="114" t="s">
        <v>2130</v>
      </c>
      <c r="C2456" s="113" t="s">
        <v>20</v>
      </c>
      <c r="D2456" s="113" t="s">
        <v>2129</v>
      </c>
      <c r="E2456" s="139" t="s">
        <v>1860</v>
      </c>
      <c r="F2456" s="139"/>
      <c r="G2456" s="112" t="s">
        <v>1864</v>
      </c>
      <c r="H2456" s="111">
        <v>0.67110000000000003</v>
      </c>
      <c r="I2456" s="110">
        <v>15.97</v>
      </c>
      <c r="J2456" s="110">
        <v>10.72</v>
      </c>
    </row>
    <row r="2457" spans="1:10" x14ac:dyDescent="0.2">
      <c r="A2457" s="109"/>
      <c r="B2457" s="109"/>
      <c r="C2457" s="109"/>
      <c r="D2457" s="109"/>
      <c r="E2457" s="109" t="s">
        <v>1858</v>
      </c>
      <c r="F2457" s="108">
        <v>21.18</v>
      </c>
      <c r="G2457" s="109" t="s">
        <v>1857</v>
      </c>
      <c r="H2457" s="108">
        <v>0</v>
      </c>
      <c r="I2457" s="109" t="s">
        <v>1856</v>
      </c>
      <c r="J2457" s="108">
        <v>21.18</v>
      </c>
    </row>
    <row r="2458" spans="1:10" ht="13.9" customHeight="1" x14ac:dyDescent="0.2">
      <c r="A2458" s="109"/>
      <c r="B2458" s="109"/>
      <c r="C2458" s="109"/>
      <c r="D2458" s="109"/>
      <c r="E2458" s="109" t="s">
        <v>1855</v>
      </c>
      <c r="F2458" s="108">
        <v>16.37604</v>
      </c>
      <c r="G2458" s="109"/>
      <c r="H2458" s="140" t="s">
        <v>1854</v>
      </c>
      <c r="I2458" s="140"/>
      <c r="J2458" s="108">
        <v>78.06</v>
      </c>
    </row>
    <row r="2459" spans="1:10" ht="30" customHeight="1" thickBot="1" x14ac:dyDescent="0.25">
      <c r="A2459" s="100"/>
      <c r="B2459" s="100"/>
      <c r="C2459" s="100"/>
      <c r="D2459" s="100"/>
      <c r="E2459" s="100"/>
      <c r="F2459" s="100"/>
      <c r="G2459" s="100" t="s">
        <v>1853</v>
      </c>
      <c r="H2459" s="107">
        <v>56.36</v>
      </c>
      <c r="I2459" s="100" t="s">
        <v>1852</v>
      </c>
      <c r="J2459" s="102">
        <v>4399.46</v>
      </c>
    </row>
    <row r="2460" spans="1:10" ht="1.1499999999999999" customHeight="1" thickTop="1" x14ac:dyDescent="0.2">
      <c r="A2460" s="106"/>
      <c r="B2460" s="106"/>
      <c r="C2460" s="106"/>
      <c r="D2460" s="106"/>
      <c r="E2460" s="106"/>
      <c r="F2460" s="106"/>
      <c r="G2460" s="106"/>
      <c r="H2460" s="106"/>
      <c r="I2460" s="106"/>
      <c r="J2460" s="106"/>
    </row>
    <row r="2461" spans="1:10" ht="18" customHeight="1" x14ac:dyDescent="0.2">
      <c r="A2461" s="117" t="s">
        <v>609</v>
      </c>
      <c r="B2461" s="126" t="s">
        <v>5</v>
      </c>
      <c r="C2461" s="117" t="s">
        <v>6</v>
      </c>
      <c r="D2461" s="117" t="s">
        <v>7</v>
      </c>
      <c r="E2461" s="136" t="s">
        <v>1113</v>
      </c>
      <c r="F2461" s="136"/>
      <c r="G2461" s="7" t="s">
        <v>8</v>
      </c>
      <c r="H2461" s="126" t="s">
        <v>9</v>
      </c>
      <c r="I2461" s="126" t="s">
        <v>10</v>
      </c>
      <c r="J2461" s="126" t="s">
        <v>12</v>
      </c>
    </row>
    <row r="2462" spans="1:10" ht="24" customHeight="1" x14ac:dyDescent="0.2">
      <c r="A2462" s="116" t="s">
        <v>1861</v>
      </c>
      <c r="B2462" s="1" t="s">
        <v>607</v>
      </c>
      <c r="C2462" s="116" t="s">
        <v>20</v>
      </c>
      <c r="D2462" s="116" t="s">
        <v>608</v>
      </c>
      <c r="E2462" s="137">
        <v>22</v>
      </c>
      <c r="F2462" s="137"/>
      <c r="G2462" s="2" t="s">
        <v>22</v>
      </c>
      <c r="H2462" s="115">
        <v>1</v>
      </c>
      <c r="I2462" s="61">
        <v>62</v>
      </c>
      <c r="J2462" s="61">
        <v>62</v>
      </c>
    </row>
    <row r="2463" spans="1:10" ht="24" customHeight="1" x14ac:dyDescent="0.2">
      <c r="A2463" s="113" t="s">
        <v>1859</v>
      </c>
      <c r="B2463" s="114" t="s">
        <v>1899</v>
      </c>
      <c r="C2463" s="113" t="s">
        <v>20</v>
      </c>
      <c r="D2463" s="113" t="s">
        <v>1898</v>
      </c>
      <c r="E2463" s="139" t="s">
        <v>1369</v>
      </c>
      <c r="F2463" s="139"/>
      <c r="G2463" s="112" t="s">
        <v>49</v>
      </c>
      <c r="H2463" s="111">
        <v>2.4299999999999999E-2</v>
      </c>
      <c r="I2463" s="110">
        <v>162.78</v>
      </c>
      <c r="J2463" s="110">
        <v>3.96</v>
      </c>
    </row>
    <row r="2464" spans="1:10" ht="24" customHeight="1" x14ac:dyDescent="0.2">
      <c r="A2464" s="113" t="s">
        <v>1859</v>
      </c>
      <c r="B2464" s="114" t="s">
        <v>2160</v>
      </c>
      <c r="C2464" s="113" t="s">
        <v>20</v>
      </c>
      <c r="D2464" s="113" t="s">
        <v>2159</v>
      </c>
      <c r="E2464" s="139" t="s">
        <v>1369</v>
      </c>
      <c r="F2464" s="139"/>
      <c r="G2464" s="112" t="s">
        <v>96</v>
      </c>
      <c r="H2464" s="111">
        <v>7.5</v>
      </c>
      <c r="I2464" s="110">
        <v>1.03</v>
      </c>
      <c r="J2464" s="110">
        <v>7.73</v>
      </c>
    </row>
    <row r="2465" spans="1:10" ht="24" customHeight="1" x14ac:dyDescent="0.2">
      <c r="A2465" s="113" t="s">
        <v>1859</v>
      </c>
      <c r="B2465" s="114" t="s">
        <v>2134</v>
      </c>
      <c r="C2465" s="113" t="s">
        <v>20</v>
      </c>
      <c r="D2465" s="113" t="s">
        <v>2133</v>
      </c>
      <c r="E2465" s="139" t="s">
        <v>1369</v>
      </c>
      <c r="F2465" s="139"/>
      <c r="G2465" s="112" t="s">
        <v>96</v>
      </c>
      <c r="H2465" s="111">
        <v>0.2409</v>
      </c>
      <c r="I2465" s="110">
        <v>3.27</v>
      </c>
      <c r="J2465" s="110">
        <v>0.79</v>
      </c>
    </row>
    <row r="2466" spans="1:10" ht="24" customHeight="1" x14ac:dyDescent="0.2">
      <c r="A2466" s="113" t="s">
        <v>1859</v>
      </c>
      <c r="B2466" s="114" t="s">
        <v>2158</v>
      </c>
      <c r="C2466" s="113" t="s">
        <v>20</v>
      </c>
      <c r="D2466" s="113" t="s">
        <v>2157</v>
      </c>
      <c r="E2466" s="139" t="s">
        <v>1369</v>
      </c>
      <c r="F2466" s="139"/>
      <c r="G2466" s="112" t="s">
        <v>22</v>
      </c>
      <c r="H2466" s="111">
        <v>1.05</v>
      </c>
      <c r="I2466" s="110">
        <v>21.44</v>
      </c>
      <c r="J2466" s="110">
        <v>22.51</v>
      </c>
    </row>
    <row r="2467" spans="1:10" ht="24" customHeight="1" x14ac:dyDescent="0.2">
      <c r="A2467" s="113" t="s">
        <v>1859</v>
      </c>
      <c r="B2467" s="114" t="s">
        <v>1897</v>
      </c>
      <c r="C2467" s="113" t="s">
        <v>20</v>
      </c>
      <c r="D2467" s="113" t="s">
        <v>1896</v>
      </c>
      <c r="E2467" s="139" t="s">
        <v>1369</v>
      </c>
      <c r="F2467" s="139"/>
      <c r="G2467" s="112" t="s">
        <v>96</v>
      </c>
      <c r="H2467" s="111">
        <v>9.7200000000000006</v>
      </c>
      <c r="I2467" s="110">
        <v>0.6</v>
      </c>
      <c r="J2467" s="110">
        <v>5.83</v>
      </c>
    </row>
    <row r="2468" spans="1:10" ht="24" customHeight="1" x14ac:dyDescent="0.2">
      <c r="A2468" s="113" t="s">
        <v>1859</v>
      </c>
      <c r="B2468" s="114" t="s">
        <v>1872</v>
      </c>
      <c r="C2468" s="113" t="s">
        <v>20</v>
      </c>
      <c r="D2468" s="113" t="s">
        <v>1871</v>
      </c>
      <c r="E2468" s="139" t="s">
        <v>1860</v>
      </c>
      <c r="F2468" s="139"/>
      <c r="G2468" s="112" t="s">
        <v>1864</v>
      </c>
      <c r="H2468" s="111">
        <v>0.98460000000000003</v>
      </c>
      <c r="I2468" s="110">
        <v>10.62</v>
      </c>
      <c r="J2468" s="110">
        <v>10.46</v>
      </c>
    </row>
    <row r="2469" spans="1:10" ht="24" customHeight="1" x14ac:dyDescent="0.2">
      <c r="A2469" s="113" t="s">
        <v>1859</v>
      </c>
      <c r="B2469" s="114" t="s">
        <v>2130</v>
      </c>
      <c r="C2469" s="113" t="s">
        <v>20</v>
      </c>
      <c r="D2469" s="113" t="s">
        <v>2129</v>
      </c>
      <c r="E2469" s="139" t="s">
        <v>1860</v>
      </c>
      <c r="F2469" s="139"/>
      <c r="G2469" s="112" t="s">
        <v>1864</v>
      </c>
      <c r="H2469" s="111">
        <v>0.67110000000000003</v>
      </c>
      <c r="I2469" s="110">
        <v>15.97</v>
      </c>
      <c r="J2469" s="110">
        <v>10.72</v>
      </c>
    </row>
    <row r="2470" spans="1:10" x14ac:dyDescent="0.2">
      <c r="A2470" s="109"/>
      <c r="B2470" s="109"/>
      <c r="C2470" s="109"/>
      <c r="D2470" s="109"/>
      <c r="E2470" s="109" t="s">
        <v>1858</v>
      </c>
      <c r="F2470" s="108">
        <v>21.18</v>
      </c>
      <c r="G2470" s="109" t="s">
        <v>1857</v>
      </c>
      <c r="H2470" s="108">
        <v>0</v>
      </c>
      <c r="I2470" s="109" t="s">
        <v>1856</v>
      </c>
      <c r="J2470" s="108">
        <v>21.18</v>
      </c>
    </row>
    <row r="2471" spans="1:10" ht="13.9" customHeight="1" x14ac:dyDescent="0.2">
      <c r="A2471" s="109"/>
      <c r="B2471" s="109"/>
      <c r="C2471" s="109"/>
      <c r="D2471" s="109"/>
      <c r="E2471" s="109" t="s">
        <v>1855</v>
      </c>
      <c r="F2471" s="108">
        <v>16.460999999999999</v>
      </c>
      <c r="G2471" s="109"/>
      <c r="H2471" s="140" t="s">
        <v>1854</v>
      </c>
      <c r="I2471" s="140"/>
      <c r="J2471" s="108">
        <v>78.459999999999994</v>
      </c>
    </row>
    <row r="2472" spans="1:10" ht="30" customHeight="1" thickBot="1" x14ac:dyDescent="0.25">
      <c r="A2472" s="100"/>
      <c r="B2472" s="100"/>
      <c r="C2472" s="100"/>
      <c r="D2472" s="100"/>
      <c r="E2472" s="100"/>
      <c r="F2472" s="100"/>
      <c r="G2472" s="100" t="s">
        <v>1853</v>
      </c>
      <c r="H2472" s="107">
        <v>132</v>
      </c>
      <c r="I2472" s="100" t="s">
        <v>1852</v>
      </c>
      <c r="J2472" s="102">
        <v>10356.719999999999</v>
      </c>
    </row>
    <row r="2473" spans="1:10" ht="1.1499999999999999" customHeight="1" thickTop="1" x14ac:dyDescent="0.2">
      <c r="A2473" s="106"/>
      <c r="B2473" s="106"/>
      <c r="C2473" s="106"/>
      <c r="D2473" s="106"/>
      <c r="E2473" s="106"/>
      <c r="F2473" s="106"/>
      <c r="G2473" s="106"/>
      <c r="H2473" s="106"/>
      <c r="I2473" s="106"/>
      <c r="J2473" s="106"/>
    </row>
    <row r="2474" spans="1:10" ht="18" customHeight="1" x14ac:dyDescent="0.2">
      <c r="A2474" s="117" t="s">
        <v>612</v>
      </c>
      <c r="B2474" s="126" t="s">
        <v>5</v>
      </c>
      <c r="C2474" s="117" t="s">
        <v>6</v>
      </c>
      <c r="D2474" s="117" t="s">
        <v>7</v>
      </c>
      <c r="E2474" s="136" t="s">
        <v>1113</v>
      </c>
      <c r="F2474" s="136"/>
      <c r="G2474" s="7" t="s">
        <v>8</v>
      </c>
      <c r="H2474" s="126" t="s">
        <v>9</v>
      </c>
      <c r="I2474" s="126" t="s">
        <v>10</v>
      </c>
      <c r="J2474" s="126" t="s">
        <v>12</v>
      </c>
    </row>
    <row r="2475" spans="1:10" ht="24" customHeight="1" x14ac:dyDescent="0.2">
      <c r="A2475" s="116" t="s">
        <v>1861</v>
      </c>
      <c r="B2475" s="1" t="s">
        <v>610</v>
      </c>
      <c r="C2475" s="116" t="s">
        <v>20</v>
      </c>
      <c r="D2475" s="116" t="s">
        <v>611</v>
      </c>
      <c r="E2475" s="137">
        <v>6</v>
      </c>
      <c r="F2475" s="137"/>
      <c r="G2475" s="2" t="s">
        <v>49</v>
      </c>
      <c r="H2475" s="115">
        <v>1</v>
      </c>
      <c r="I2475" s="61">
        <v>151.37</v>
      </c>
      <c r="J2475" s="61">
        <v>151.37</v>
      </c>
    </row>
    <row r="2476" spans="1:10" ht="24" customHeight="1" x14ac:dyDescent="0.2">
      <c r="A2476" s="113" t="s">
        <v>1859</v>
      </c>
      <c r="B2476" s="114" t="s">
        <v>2156</v>
      </c>
      <c r="C2476" s="113" t="s">
        <v>20</v>
      </c>
      <c r="D2476" s="113" t="s">
        <v>2155</v>
      </c>
      <c r="E2476" s="139" t="s">
        <v>1369</v>
      </c>
      <c r="F2476" s="139"/>
      <c r="G2476" s="112" t="s">
        <v>49</v>
      </c>
      <c r="H2476" s="111">
        <v>0.6</v>
      </c>
      <c r="I2476" s="110">
        <v>116.12</v>
      </c>
      <c r="J2476" s="110">
        <v>69.67</v>
      </c>
    </row>
    <row r="2477" spans="1:10" ht="24" customHeight="1" x14ac:dyDescent="0.2">
      <c r="A2477" s="113" t="s">
        <v>1859</v>
      </c>
      <c r="B2477" s="114" t="s">
        <v>2072</v>
      </c>
      <c r="C2477" s="113" t="s">
        <v>20</v>
      </c>
      <c r="D2477" s="113" t="s">
        <v>2071</v>
      </c>
      <c r="E2477" s="139" t="s">
        <v>1369</v>
      </c>
      <c r="F2477" s="139"/>
      <c r="G2477" s="112" t="s">
        <v>49</v>
      </c>
      <c r="H2477" s="111">
        <v>0.6</v>
      </c>
      <c r="I2477" s="110">
        <v>100.76</v>
      </c>
      <c r="J2477" s="110">
        <v>60.46</v>
      </c>
    </row>
    <row r="2478" spans="1:10" ht="24" customHeight="1" x14ac:dyDescent="0.2">
      <c r="A2478" s="113" t="s">
        <v>1859</v>
      </c>
      <c r="B2478" s="114" t="s">
        <v>1872</v>
      </c>
      <c r="C2478" s="113" t="s">
        <v>20</v>
      </c>
      <c r="D2478" s="113" t="s">
        <v>1871</v>
      </c>
      <c r="E2478" s="139" t="s">
        <v>1860</v>
      </c>
      <c r="F2478" s="139"/>
      <c r="G2478" s="112" t="s">
        <v>1864</v>
      </c>
      <c r="H2478" s="111">
        <v>2</v>
      </c>
      <c r="I2478" s="110">
        <v>10.62</v>
      </c>
      <c r="J2478" s="110">
        <v>21.24</v>
      </c>
    </row>
    <row r="2479" spans="1:10" x14ac:dyDescent="0.2">
      <c r="A2479" s="109"/>
      <c r="B2479" s="109"/>
      <c r="C2479" s="109"/>
      <c r="D2479" s="109"/>
      <c r="E2479" s="109" t="s">
        <v>1858</v>
      </c>
      <c r="F2479" s="108">
        <v>21.24</v>
      </c>
      <c r="G2479" s="109" t="s">
        <v>1857</v>
      </c>
      <c r="H2479" s="108">
        <v>0</v>
      </c>
      <c r="I2479" s="109" t="s">
        <v>1856</v>
      </c>
      <c r="J2479" s="108">
        <v>21.24</v>
      </c>
    </row>
    <row r="2480" spans="1:10" ht="13.9" customHeight="1" x14ac:dyDescent="0.2">
      <c r="A2480" s="109"/>
      <c r="B2480" s="109"/>
      <c r="C2480" s="109"/>
      <c r="D2480" s="109"/>
      <c r="E2480" s="109" t="s">
        <v>1855</v>
      </c>
      <c r="F2480" s="108">
        <v>40.188735000000001</v>
      </c>
      <c r="G2480" s="109"/>
      <c r="H2480" s="140" t="s">
        <v>1854</v>
      </c>
      <c r="I2480" s="140"/>
      <c r="J2480" s="108">
        <v>191.56</v>
      </c>
    </row>
    <row r="2481" spans="1:10" ht="30" customHeight="1" thickBot="1" x14ac:dyDescent="0.25">
      <c r="A2481" s="100"/>
      <c r="B2481" s="100"/>
      <c r="C2481" s="100"/>
      <c r="D2481" s="100"/>
      <c r="E2481" s="100"/>
      <c r="F2481" s="100"/>
      <c r="G2481" s="100" t="s">
        <v>1853</v>
      </c>
      <c r="H2481" s="107">
        <v>5.59</v>
      </c>
      <c r="I2481" s="100" t="s">
        <v>1852</v>
      </c>
      <c r="J2481" s="102">
        <v>1070.82</v>
      </c>
    </row>
    <row r="2482" spans="1:10" ht="1.1499999999999999" customHeight="1" thickTop="1" x14ac:dyDescent="0.2">
      <c r="A2482" s="106"/>
      <c r="B2482" s="106"/>
      <c r="C2482" s="106"/>
      <c r="D2482" s="106"/>
      <c r="E2482" s="106"/>
      <c r="F2482" s="106"/>
      <c r="G2482" s="106"/>
      <c r="H2482" s="106"/>
      <c r="I2482" s="106"/>
      <c r="J2482" s="106"/>
    </row>
    <row r="2483" spans="1:10" ht="18" customHeight="1" x14ac:dyDescent="0.2">
      <c r="A2483" s="117" t="s">
        <v>615</v>
      </c>
      <c r="B2483" s="126" t="s">
        <v>5</v>
      </c>
      <c r="C2483" s="117" t="s">
        <v>6</v>
      </c>
      <c r="D2483" s="117" t="s">
        <v>7</v>
      </c>
      <c r="E2483" s="136" t="s">
        <v>1113</v>
      </c>
      <c r="F2483" s="136"/>
      <c r="G2483" s="7" t="s">
        <v>8</v>
      </c>
      <c r="H2483" s="126" t="s">
        <v>9</v>
      </c>
      <c r="I2483" s="126" t="s">
        <v>10</v>
      </c>
      <c r="J2483" s="126" t="s">
        <v>12</v>
      </c>
    </row>
    <row r="2484" spans="1:10" ht="24" customHeight="1" x14ac:dyDescent="0.2">
      <c r="A2484" s="116" t="s">
        <v>1861</v>
      </c>
      <c r="B2484" s="1" t="s">
        <v>613</v>
      </c>
      <c r="C2484" s="116" t="s">
        <v>20</v>
      </c>
      <c r="D2484" s="116" t="s">
        <v>614</v>
      </c>
      <c r="E2484" s="137">
        <v>22</v>
      </c>
      <c r="F2484" s="137"/>
      <c r="G2484" s="2" t="s">
        <v>22</v>
      </c>
      <c r="H2484" s="115">
        <v>1</v>
      </c>
      <c r="I2484" s="61">
        <v>41.46</v>
      </c>
      <c r="J2484" s="61">
        <v>41.46</v>
      </c>
    </row>
    <row r="2485" spans="1:10" ht="24" customHeight="1" x14ac:dyDescent="0.2">
      <c r="A2485" s="113" t="s">
        <v>1859</v>
      </c>
      <c r="B2485" s="114" t="s">
        <v>2076</v>
      </c>
      <c r="C2485" s="113" t="s">
        <v>20</v>
      </c>
      <c r="D2485" s="113" t="s">
        <v>2075</v>
      </c>
      <c r="E2485" s="139" t="s">
        <v>1369</v>
      </c>
      <c r="F2485" s="139"/>
      <c r="G2485" s="112" t="s">
        <v>49</v>
      </c>
      <c r="H2485" s="111">
        <v>2.53E-2</v>
      </c>
      <c r="I2485" s="110">
        <v>100.76</v>
      </c>
      <c r="J2485" s="110">
        <v>2.5499999999999998</v>
      </c>
    </row>
    <row r="2486" spans="1:10" ht="24" customHeight="1" x14ac:dyDescent="0.2">
      <c r="A2486" s="113" t="s">
        <v>1859</v>
      </c>
      <c r="B2486" s="114" t="s">
        <v>2072</v>
      </c>
      <c r="C2486" s="113" t="s">
        <v>20</v>
      </c>
      <c r="D2486" s="113" t="s">
        <v>2071</v>
      </c>
      <c r="E2486" s="139" t="s">
        <v>1369</v>
      </c>
      <c r="F2486" s="139"/>
      <c r="G2486" s="112" t="s">
        <v>49</v>
      </c>
      <c r="H2486" s="111">
        <v>2.53E-2</v>
      </c>
      <c r="I2486" s="110">
        <v>100.76</v>
      </c>
      <c r="J2486" s="110">
        <v>2.5499999999999998</v>
      </c>
    </row>
    <row r="2487" spans="1:10" ht="24" customHeight="1" x14ac:dyDescent="0.2">
      <c r="A2487" s="113" t="s">
        <v>1859</v>
      </c>
      <c r="B2487" s="114" t="s">
        <v>2070</v>
      </c>
      <c r="C2487" s="113" t="s">
        <v>20</v>
      </c>
      <c r="D2487" s="113" t="s">
        <v>2069</v>
      </c>
      <c r="E2487" s="139" t="s">
        <v>1369</v>
      </c>
      <c r="F2487" s="139"/>
      <c r="G2487" s="112" t="s">
        <v>49</v>
      </c>
      <c r="H2487" s="111">
        <v>4.6300000000000001E-2</v>
      </c>
      <c r="I2487" s="110">
        <v>169.44</v>
      </c>
      <c r="J2487" s="110">
        <v>7.85</v>
      </c>
    </row>
    <row r="2488" spans="1:10" ht="24" customHeight="1" x14ac:dyDescent="0.2">
      <c r="A2488" s="113" t="s">
        <v>1859</v>
      </c>
      <c r="B2488" s="114" t="s">
        <v>1897</v>
      </c>
      <c r="C2488" s="113" t="s">
        <v>20</v>
      </c>
      <c r="D2488" s="113" t="s">
        <v>1896</v>
      </c>
      <c r="E2488" s="139" t="s">
        <v>1369</v>
      </c>
      <c r="F2488" s="139"/>
      <c r="G2488" s="112" t="s">
        <v>96</v>
      </c>
      <c r="H2488" s="111">
        <v>20.51</v>
      </c>
      <c r="I2488" s="110">
        <v>0.6</v>
      </c>
      <c r="J2488" s="110">
        <v>12.31</v>
      </c>
    </row>
    <row r="2489" spans="1:10" ht="24" customHeight="1" x14ac:dyDescent="0.2">
      <c r="A2489" s="113" t="s">
        <v>1859</v>
      </c>
      <c r="B2489" s="114" t="s">
        <v>2154</v>
      </c>
      <c r="C2489" s="113" t="s">
        <v>20</v>
      </c>
      <c r="D2489" s="113" t="s">
        <v>2153</v>
      </c>
      <c r="E2489" s="139" t="s">
        <v>1369</v>
      </c>
      <c r="F2489" s="139"/>
      <c r="G2489" s="112" t="s">
        <v>213</v>
      </c>
      <c r="H2489" s="111">
        <v>0.2</v>
      </c>
      <c r="I2489" s="110">
        <v>8.32</v>
      </c>
      <c r="J2489" s="110">
        <v>1.66</v>
      </c>
    </row>
    <row r="2490" spans="1:10" ht="24" customHeight="1" x14ac:dyDescent="0.2">
      <c r="A2490" s="113" t="s">
        <v>1859</v>
      </c>
      <c r="B2490" s="114" t="s">
        <v>1866</v>
      </c>
      <c r="C2490" s="113" t="s">
        <v>20</v>
      </c>
      <c r="D2490" s="113" t="s">
        <v>1865</v>
      </c>
      <c r="E2490" s="139" t="s">
        <v>1860</v>
      </c>
      <c r="F2490" s="139"/>
      <c r="G2490" s="112" t="s">
        <v>1864</v>
      </c>
      <c r="H2490" s="111">
        <v>0.3463</v>
      </c>
      <c r="I2490" s="110">
        <v>15.97</v>
      </c>
      <c r="J2490" s="110">
        <v>5.53</v>
      </c>
    </row>
    <row r="2491" spans="1:10" ht="24" customHeight="1" x14ac:dyDescent="0.2">
      <c r="A2491" s="113" t="s">
        <v>1859</v>
      </c>
      <c r="B2491" s="114" t="s">
        <v>2062</v>
      </c>
      <c r="C2491" s="113" t="s">
        <v>20</v>
      </c>
      <c r="D2491" s="113" t="s">
        <v>2061</v>
      </c>
      <c r="E2491" s="139" t="s">
        <v>1860</v>
      </c>
      <c r="F2491" s="139"/>
      <c r="G2491" s="112" t="s">
        <v>1864</v>
      </c>
      <c r="H2491" s="111">
        <v>0.1512</v>
      </c>
      <c r="I2491" s="110">
        <v>12.74</v>
      </c>
      <c r="J2491" s="110">
        <v>1.93</v>
      </c>
    </row>
    <row r="2492" spans="1:10" ht="24" customHeight="1" x14ac:dyDescent="0.2">
      <c r="A2492" s="113" t="s">
        <v>1859</v>
      </c>
      <c r="B2492" s="114" t="s">
        <v>1872</v>
      </c>
      <c r="C2492" s="113" t="s">
        <v>20</v>
      </c>
      <c r="D2492" s="113" t="s">
        <v>1871</v>
      </c>
      <c r="E2492" s="139" t="s">
        <v>1860</v>
      </c>
      <c r="F2492" s="139"/>
      <c r="G2492" s="112" t="s">
        <v>1864</v>
      </c>
      <c r="H2492" s="111">
        <v>0.66620000000000001</v>
      </c>
      <c r="I2492" s="110">
        <v>10.62</v>
      </c>
      <c r="J2492" s="110">
        <v>7.08</v>
      </c>
    </row>
    <row r="2493" spans="1:10" x14ac:dyDescent="0.2">
      <c r="A2493" s="109"/>
      <c r="B2493" s="109"/>
      <c r="C2493" s="109"/>
      <c r="D2493" s="109"/>
      <c r="E2493" s="109" t="s">
        <v>1858</v>
      </c>
      <c r="F2493" s="108">
        <v>14.54</v>
      </c>
      <c r="G2493" s="109" t="s">
        <v>1857</v>
      </c>
      <c r="H2493" s="108">
        <v>0</v>
      </c>
      <c r="I2493" s="109" t="s">
        <v>1856</v>
      </c>
      <c r="J2493" s="108">
        <v>14.54</v>
      </c>
    </row>
    <row r="2494" spans="1:10" ht="13.9" customHeight="1" x14ac:dyDescent="0.2">
      <c r="A2494" s="109"/>
      <c r="B2494" s="109"/>
      <c r="C2494" s="109"/>
      <c r="D2494" s="109"/>
      <c r="E2494" s="109" t="s">
        <v>1855</v>
      </c>
      <c r="F2494" s="108">
        <v>11.007630000000001</v>
      </c>
      <c r="G2494" s="109"/>
      <c r="H2494" s="140" t="s">
        <v>1854</v>
      </c>
      <c r="I2494" s="140"/>
      <c r="J2494" s="108">
        <v>52.47</v>
      </c>
    </row>
    <row r="2495" spans="1:10" ht="30" customHeight="1" thickBot="1" x14ac:dyDescent="0.25">
      <c r="A2495" s="100"/>
      <c r="B2495" s="100"/>
      <c r="C2495" s="100"/>
      <c r="D2495" s="100"/>
      <c r="E2495" s="100"/>
      <c r="F2495" s="100"/>
      <c r="G2495" s="100" t="s">
        <v>1853</v>
      </c>
      <c r="H2495" s="107">
        <v>81.709999999999994</v>
      </c>
      <c r="I2495" s="100" t="s">
        <v>1852</v>
      </c>
      <c r="J2495" s="102">
        <v>4287.32</v>
      </c>
    </row>
    <row r="2496" spans="1:10" ht="1.1499999999999999" customHeight="1" thickTop="1" x14ac:dyDescent="0.2">
      <c r="A2496" s="106"/>
      <c r="B2496" s="106"/>
      <c r="C2496" s="106"/>
      <c r="D2496" s="106"/>
      <c r="E2496" s="106"/>
      <c r="F2496" s="106"/>
      <c r="G2496" s="106"/>
      <c r="H2496" s="106"/>
      <c r="I2496" s="106"/>
      <c r="J2496" s="106"/>
    </row>
    <row r="2497" spans="1:10" ht="18" customHeight="1" x14ac:dyDescent="0.2">
      <c r="A2497" s="117" t="s">
        <v>618</v>
      </c>
      <c r="B2497" s="126" t="s">
        <v>5</v>
      </c>
      <c r="C2497" s="117" t="s">
        <v>6</v>
      </c>
      <c r="D2497" s="117" t="s">
        <v>7</v>
      </c>
      <c r="E2497" s="136" t="s">
        <v>1113</v>
      </c>
      <c r="F2497" s="136"/>
      <c r="G2497" s="7" t="s">
        <v>8</v>
      </c>
      <c r="H2497" s="126" t="s">
        <v>9</v>
      </c>
      <c r="I2497" s="126" t="s">
        <v>10</v>
      </c>
      <c r="J2497" s="126" t="s">
        <v>12</v>
      </c>
    </row>
    <row r="2498" spans="1:10" ht="36" customHeight="1" x14ac:dyDescent="0.2">
      <c r="A2498" s="116" t="s">
        <v>1861</v>
      </c>
      <c r="B2498" s="1" t="s">
        <v>616</v>
      </c>
      <c r="C2498" s="116" t="s">
        <v>25</v>
      </c>
      <c r="D2498" s="116" t="s">
        <v>617</v>
      </c>
      <c r="E2498" s="137" t="s">
        <v>1465</v>
      </c>
      <c r="F2498" s="137"/>
      <c r="G2498" s="2" t="s">
        <v>22</v>
      </c>
      <c r="H2498" s="115">
        <v>1</v>
      </c>
      <c r="I2498" s="61">
        <v>108.04</v>
      </c>
      <c r="J2498" s="61">
        <v>108.04</v>
      </c>
    </row>
    <row r="2499" spans="1:10" ht="24" customHeight="1" x14ac:dyDescent="0.2">
      <c r="A2499" s="121" t="s">
        <v>1888</v>
      </c>
      <c r="B2499" s="122" t="s">
        <v>2152</v>
      </c>
      <c r="C2499" s="121" t="s">
        <v>25</v>
      </c>
      <c r="D2499" s="121" t="s">
        <v>2151</v>
      </c>
      <c r="E2499" s="138" t="s">
        <v>1902</v>
      </c>
      <c r="F2499" s="138"/>
      <c r="G2499" s="120" t="s">
        <v>61</v>
      </c>
      <c r="H2499" s="119">
        <v>0.18049999999999999</v>
      </c>
      <c r="I2499" s="118">
        <v>21.3</v>
      </c>
      <c r="J2499" s="118">
        <v>3.84</v>
      </c>
    </row>
    <row r="2500" spans="1:10" ht="24" customHeight="1" x14ac:dyDescent="0.2">
      <c r="A2500" s="121" t="s">
        <v>1888</v>
      </c>
      <c r="B2500" s="122" t="s">
        <v>1906</v>
      </c>
      <c r="C2500" s="121" t="s">
        <v>25</v>
      </c>
      <c r="D2500" s="121" t="s">
        <v>1905</v>
      </c>
      <c r="E2500" s="138" t="s">
        <v>1902</v>
      </c>
      <c r="F2500" s="138"/>
      <c r="G2500" s="120" t="s">
        <v>61</v>
      </c>
      <c r="H2500" s="119">
        <v>0.31929999999999997</v>
      </c>
      <c r="I2500" s="118">
        <v>16.059999999999999</v>
      </c>
      <c r="J2500" s="118">
        <v>5.13</v>
      </c>
    </row>
    <row r="2501" spans="1:10" ht="24" customHeight="1" x14ac:dyDescent="0.2">
      <c r="A2501" s="121" t="s">
        <v>1888</v>
      </c>
      <c r="B2501" s="122" t="s">
        <v>2046</v>
      </c>
      <c r="C2501" s="121" t="s">
        <v>25</v>
      </c>
      <c r="D2501" s="121" t="s">
        <v>2045</v>
      </c>
      <c r="E2501" s="138" t="s">
        <v>1902</v>
      </c>
      <c r="F2501" s="138"/>
      <c r="G2501" s="120" t="s">
        <v>61</v>
      </c>
      <c r="H2501" s="119">
        <v>0.13880000000000001</v>
      </c>
      <c r="I2501" s="118">
        <v>21.54</v>
      </c>
      <c r="J2501" s="118">
        <v>2.99</v>
      </c>
    </row>
    <row r="2502" spans="1:10" ht="36" customHeight="1" x14ac:dyDescent="0.2">
      <c r="A2502" s="113" t="s">
        <v>1859</v>
      </c>
      <c r="B2502" s="114" t="s">
        <v>2150</v>
      </c>
      <c r="C2502" s="113" t="s">
        <v>25</v>
      </c>
      <c r="D2502" s="113" t="s">
        <v>2149</v>
      </c>
      <c r="E2502" s="139" t="s">
        <v>1369</v>
      </c>
      <c r="F2502" s="139"/>
      <c r="G2502" s="112" t="s">
        <v>49</v>
      </c>
      <c r="H2502" s="111">
        <v>9.7000000000000003E-2</v>
      </c>
      <c r="I2502" s="110">
        <v>470</v>
      </c>
      <c r="J2502" s="110">
        <v>45.59</v>
      </c>
    </row>
    <row r="2503" spans="1:10" ht="24" customHeight="1" x14ac:dyDescent="0.2">
      <c r="A2503" s="113" t="s">
        <v>1859</v>
      </c>
      <c r="B2503" s="114" t="s">
        <v>2148</v>
      </c>
      <c r="C2503" s="113" t="s">
        <v>25</v>
      </c>
      <c r="D2503" s="113" t="s">
        <v>2147</v>
      </c>
      <c r="E2503" s="139" t="s">
        <v>1369</v>
      </c>
      <c r="F2503" s="139"/>
      <c r="G2503" s="112" t="s">
        <v>22</v>
      </c>
      <c r="H2503" s="111">
        <v>1.1279999999999999</v>
      </c>
      <c r="I2503" s="110">
        <v>1.25</v>
      </c>
      <c r="J2503" s="110">
        <v>1.41</v>
      </c>
    </row>
    <row r="2504" spans="1:10" ht="24" customHeight="1" x14ac:dyDescent="0.2">
      <c r="A2504" s="113" t="s">
        <v>1859</v>
      </c>
      <c r="B2504" s="114" t="s">
        <v>2146</v>
      </c>
      <c r="C2504" s="113" t="s">
        <v>25</v>
      </c>
      <c r="D2504" s="113" t="s">
        <v>2145</v>
      </c>
      <c r="E2504" s="139" t="s">
        <v>1369</v>
      </c>
      <c r="F2504" s="139"/>
      <c r="G2504" s="112" t="s">
        <v>92</v>
      </c>
      <c r="H2504" s="111">
        <v>0.2</v>
      </c>
      <c r="I2504" s="110">
        <v>3.11</v>
      </c>
      <c r="J2504" s="110">
        <v>0.62</v>
      </c>
    </row>
    <row r="2505" spans="1:10" ht="24" customHeight="1" x14ac:dyDescent="0.2">
      <c r="A2505" s="113" t="s">
        <v>1859</v>
      </c>
      <c r="B2505" s="114" t="s">
        <v>2144</v>
      </c>
      <c r="C2505" s="113" t="s">
        <v>25</v>
      </c>
      <c r="D2505" s="113" t="s">
        <v>2143</v>
      </c>
      <c r="E2505" s="139" t="s">
        <v>1369</v>
      </c>
      <c r="F2505" s="139"/>
      <c r="G2505" s="112" t="s">
        <v>92</v>
      </c>
      <c r="H2505" s="111">
        <v>0.25</v>
      </c>
      <c r="I2505" s="110">
        <v>9.67</v>
      </c>
      <c r="J2505" s="110">
        <v>2.42</v>
      </c>
    </row>
    <row r="2506" spans="1:10" ht="36" customHeight="1" x14ac:dyDescent="0.2">
      <c r="A2506" s="113" t="s">
        <v>1859</v>
      </c>
      <c r="B2506" s="114" t="s">
        <v>1322</v>
      </c>
      <c r="C2506" s="113" t="s">
        <v>25</v>
      </c>
      <c r="D2506" s="113" t="s">
        <v>1321</v>
      </c>
      <c r="E2506" s="139" t="s">
        <v>1369</v>
      </c>
      <c r="F2506" s="139"/>
      <c r="G2506" s="112" t="s">
        <v>22</v>
      </c>
      <c r="H2506" s="111">
        <v>1.1224000000000001</v>
      </c>
      <c r="I2506" s="110">
        <v>41.02</v>
      </c>
      <c r="J2506" s="110">
        <v>46.04</v>
      </c>
    </row>
    <row r="2507" spans="1:10" x14ac:dyDescent="0.2">
      <c r="A2507" s="109"/>
      <c r="B2507" s="109"/>
      <c r="C2507" s="109"/>
      <c r="D2507" s="109"/>
      <c r="E2507" s="109" t="s">
        <v>1858</v>
      </c>
      <c r="F2507" s="108">
        <v>8.4700000000000006</v>
      </c>
      <c r="G2507" s="109" t="s">
        <v>1857</v>
      </c>
      <c r="H2507" s="108">
        <v>0</v>
      </c>
      <c r="I2507" s="109" t="s">
        <v>1856</v>
      </c>
      <c r="J2507" s="108">
        <v>8.4700000000000006</v>
      </c>
    </row>
    <row r="2508" spans="1:10" ht="13.9" customHeight="1" x14ac:dyDescent="0.2">
      <c r="A2508" s="109"/>
      <c r="B2508" s="109"/>
      <c r="C2508" s="109"/>
      <c r="D2508" s="109"/>
      <c r="E2508" s="109" t="s">
        <v>1855</v>
      </c>
      <c r="F2508" s="108">
        <v>28.684619999999999</v>
      </c>
      <c r="G2508" s="109"/>
      <c r="H2508" s="140" t="s">
        <v>1854</v>
      </c>
      <c r="I2508" s="140"/>
      <c r="J2508" s="108">
        <v>136.72</v>
      </c>
    </row>
    <row r="2509" spans="1:10" ht="30" customHeight="1" thickBot="1" x14ac:dyDescent="0.25">
      <c r="A2509" s="100"/>
      <c r="B2509" s="100"/>
      <c r="C2509" s="100"/>
      <c r="D2509" s="100"/>
      <c r="E2509" s="100"/>
      <c r="F2509" s="100"/>
      <c r="G2509" s="100" t="s">
        <v>1853</v>
      </c>
      <c r="H2509" s="107">
        <v>48.69</v>
      </c>
      <c r="I2509" s="100" t="s">
        <v>1852</v>
      </c>
      <c r="J2509" s="102">
        <v>6656.9</v>
      </c>
    </row>
    <row r="2510" spans="1:10" ht="1.1499999999999999" customHeight="1" thickTop="1" x14ac:dyDescent="0.2">
      <c r="A2510" s="106"/>
      <c r="B2510" s="106"/>
      <c r="C2510" s="106"/>
      <c r="D2510" s="106"/>
      <c r="E2510" s="106"/>
      <c r="F2510" s="106"/>
      <c r="G2510" s="106"/>
      <c r="H2510" s="106"/>
      <c r="I2510" s="106"/>
      <c r="J2510" s="106"/>
    </row>
    <row r="2511" spans="1:10" ht="18" customHeight="1" x14ac:dyDescent="0.2">
      <c r="A2511" s="117" t="s">
        <v>621</v>
      </c>
      <c r="B2511" s="126" t="s">
        <v>5</v>
      </c>
      <c r="C2511" s="117" t="s">
        <v>6</v>
      </c>
      <c r="D2511" s="117" t="s">
        <v>7</v>
      </c>
      <c r="E2511" s="136" t="s">
        <v>1113</v>
      </c>
      <c r="F2511" s="136"/>
      <c r="G2511" s="7" t="s">
        <v>8</v>
      </c>
      <c r="H2511" s="126" t="s">
        <v>9</v>
      </c>
      <c r="I2511" s="126" t="s">
        <v>10</v>
      </c>
      <c r="J2511" s="126" t="s">
        <v>12</v>
      </c>
    </row>
    <row r="2512" spans="1:10" ht="24" customHeight="1" x14ac:dyDescent="0.2">
      <c r="A2512" s="116" t="s">
        <v>1861</v>
      </c>
      <c r="B2512" s="1" t="s">
        <v>619</v>
      </c>
      <c r="C2512" s="116" t="s">
        <v>20</v>
      </c>
      <c r="D2512" s="116" t="s">
        <v>620</v>
      </c>
      <c r="E2512" s="137">
        <v>27</v>
      </c>
      <c r="F2512" s="137"/>
      <c r="G2512" s="2" t="s">
        <v>22</v>
      </c>
      <c r="H2512" s="115">
        <v>1</v>
      </c>
      <c r="I2512" s="61">
        <v>53.48</v>
      </c>
      <c r="J2512" s="61">
        <v>53.48</v>
      </c>
    </row>
    <row r="2513" spans="1:10" ht="24" customHeight="1" x14ac:dyDescent="0.2">
      <c r="A2513" s="113" t="s">
        <v>1859</v>
      </c>
      <c r="B2513" s="114" t="s">
        <v>1899</v>
      </c>
      <c r="C2513" s="113" t="s">
        <v>20</v>
      </c>
      <c r="D2513" s="113" t="s">
        <v>1898</v>
      </c>
      <c r="E2513" s="139" t="s">
        <v>1369</v>
      </c>
      <c r="F2513" s="139"/>
      <c r="G2513" s="112" t="s">
        <v>49</v>
      </c>
      <c r="H2513" s="111">
        <v>5.28E-2</v>
      </c>
      <c r="I2513" s="110">
        <v>162.78</v>
      </c>
      <c r="J2513" s="110">
        <v>8.59</v>
      </c>
    </row>
    <row r="2514" spans="1:10" ht="36" customHeight="1" x14ac:dyDescent="0.2">
      <c r="A2514" s="113" t="s">
        <v>1859</v>
      </c>
      <c r="B2514" s="114" t="s">
        <v>2142</v>
      </c>
      <c r="C2514" s="113" t="s">
        <v>20</v>
      </c>
      <c r="D2514" s="113" t="s">
        <v>2141</v>
      </c>
      <c r="E2514" s="139" t="s">
        <v>1369</v>
      </c>
      <c r="F2514" s="139"/>
      <c r="G2514" s="112" t="s">
        <v>246</v>
      </c>
      <c r="H2514" s="111">
        <v>2.5000000000000001E-3</v>
      </c>
      <c r="I2514" s="110">
        <v>6.04</v>
      </c>
      <c r="J2514" s="110">
        <v>0.02</v>
      </c>
    </row>
    <row r="2515" spans="1:10" ht="24" customHeight="1" x14ac:dyDescent="0.2">
      <c r="A2515" s="113" t="s">
        <v>1859</v>
      </c>
      <c r="B2515" s="114" t="s">
        <v>2140</v>
      </c>
      <c r="C2515" s="113" t="s">
        <v>20</v>
      </c>
      <c r="D2515" s="113" t="s">
        <v>2139</v>
      </c>
      <c r="E2515" s="139" t="s">
        <v>1369</v>
      </c>
      <c r="F2515" s="139"/>
      <c r="G2515" s="112" t="s">
        <v>22</v>
      </c>
      <c r="H2515" s="111">
        <v>1</v>
      </c>
      <c r="I2515" s="110">
        <v>37.130000000000003</v>
      </c>
      <c r="J2515" s="110">
        <v>37.130000000000003</v>
      </c>
    </row>
    <row r="2516" spans="1:10" ht="24" customHeight="1" x14ac:dyDescent="0.2">
      <c r="A2516" s="113" t="s">
        <v>1859</v>
      </c>
      <c r="B2516" s="114" t="s">
        <v>2138</v>
      </c>
      <c r="C2516" s="113" t="s">
        <v>20</v>
      </c>
      <c r="D2516" s="113" t="s">
        <v>2137</v>
      </c>
      <c r="E2516" s="139" t="s">
        <v>1369</v>
      </c>
      <c r="F2516" s="139"/>
      <c r="G2516" s="112" t="s">
        <v>1877</v>
      </c>
      <c r="H2516" s="111">
        <v>1.8800000000000001E-2</v>
      </c>
      <c r="I2516" s="110">
        <v>7.43</v>
      </c>
      <c r="J2516" s="110">
        <v>0.14000000000000001</v>
      </c>
    </row>
    <row r="2517" spans="1:10" ht="24" customHeight="1" x14ac:dyDescent="0.2">
      <c r="A2517" s="113" t="s">
        <v>1859</v>
      </c>
      <c r="B2517" s="114" t="s">
        <v>1866</v>
      </c>
      <c r="C2517" s="113" t="s">
        <v>20</v>
      </c>
      <c r="D2517" s="113" t="s">
        <v>1865</v>
      </c>
      <c r="E2517" s="139" t="s">
        <v>1860</v>
      </c>
      <c r="F2517" s="139"/>
      <c r="G2517" s="112" t="s">
        <v>1864</v>
      </c>
      <c r="H2517" s="111">
        <v>0.16</v>
      </c>
      <c r="I2517" s="110">
        <v>15.97</v>
      </c>
      <c r="J2517" s="110">
        <v>2.56</v>
      </c>
    </row>
    <row r="2518" spans="1:10" ht="24" customHeight="1" x14ac:dyDescent="0.2">
      <c r="A2518" s="113" t="s">
        <v>1859</v>
      </c>
      <c r="B2518" s="114" t="s">
        <v>1872</v>
      </c>
      <c r="C2518" s="113" t="s">
        <v>20</v>
      </c>
      <c r="D2518" s="113" t="s">
        <v>1871</v>
      </c>
      <c r="E2518" s="139" t="s">
        <v>1860</v>
      </c>
      <c r="F2518" s="139"/>
      <c r="G2518" s="112" t="s">
        <v>1864</v>
      </c>
      <c r="H2518" s="111">
        <v>0.47449999999999998</v>
      </c>
      <c r="I2518" s="110">
        <v>10.62</v>
      </c>
      <c r="J2518" s="110">
        <v>5.04</v>
      </c>
    </row>
    <row r="2519" spans="1:10" x14ac:dyDescent="0.2">
      <c r="A2519" s="109"/>
      <c r="B2519" s="109"/>
      <c r="C2519" s="109"/>
      <c r="D2519" s="109"/>
      <c r="E2519" s="109" t="s">
        <v>1858</v>
      </c>
      <c r="F2519" s="108">
        <v>7.6</v>
      </c>
      <c r="G2519" s="109" t="s">
        <v>1857</v>
      </c>
      <c r="H2519" s="108">
        <v>0</v>
      </c>
      <c r="I2519" s="109" t="s">
        <v>1856</v>
      </c>
      <c r="J2519" s="108">
        <v>7.6</v>
      </c>
    </row>
    <row r="2520" spans="1:10" ht="13.9" customHeight="1" x14ac:dyDescent="0.2">
      <c r="A2520" s="109"/>
      <c r="B2520" s="109"/>
      <c r="C2520" s="109"/>
      <c r="D2520" s="109"/>
      <c r="E2520" s="109" t="s">
        <v>1855</v>
      </c>
      <c r="F2520" s="108">
        <v>14.19894</v>
      </c>
      <c r="G2520" s="109"/>
      <c r="H2520" s="140" t="s">
        <v>1854</v>
      </c>
      <c r="I2520" s="140"/>
      <c r="J2520" s="108">
        <v>67.680000000000007</v>
      </c>
    </row>
    <row r="2521" spans="1:10" ht="30" customHeight="1" thickBot="1" x14ac:dyDescent="0.25">
      <c r="A2521" s="100"/>
      <c r="B2521" s="100"/>
      <c r="C2521" s="100"/>
      <c r="D2521" s="100"/>
      <c r="E2521" s="100"/>
      <c r="F2521" s="100"/>
      <c r="G2521" s="100" t="s">
        <v>1853</v>
      </c>
      <c r="H2521" s="107">
        <v>111.23</v>
      </c>
      <c r="I2521" s="100" t="s">
        <v>1852</v>
      </c>
      <c r="J2521" s="102">
        <v>7528.05</v>
      </c>
    </row>
    <row r="2522" spans="1:10" ht="1.1499999999999999" customHeight="1" thickTop="1" x14ac:dyDescent="0.2">
      <c r="A2522" s="106"/>
      <c r="B2522" s="106"/>
      <c r="C2522" s="106"/>
      <c r="D2522" s="106"/>
      <c r="E2522" s="106"/>
      <c r="F2522" s="106"/>
      <c r="G2522" s="106"/>
      <c r="H2522" s="106"/>
      <c r="I2522" s="106"/>
      <c r="J2522" s="106"/>
    </row>
    <row r="2523" spans="1:10" ht="18" customHeight="1" x14ac:dyDescent="0.2">
      <c r="A2523" s="117" t="s">
        <v>624</v>
      </c>
      <c r="B2523" s="126" t="s">
        <v>5</v>
      </c>
      <c r="C2523" s="117" t="s">
        <v>6</v>
      </c>
      <c r="D2523" s="117" t="s">
        <v>7</v>
      </c>
      <c r="E2523" s="136" t="s">
        <v>1113</v>
      </c>
      <c r="F2523" s="136"/>
      <c r="G2523" s="7" t="s">
        <v>8</v>
      </c>
      <c r="H2523" s="126" t="s">
        <v>9</v>
      </c>
      <c r="I2523" s="126" t="s">
        <v>10</v>
      </c>
      <c r="J2523" s="126" t="s">
        <v>12</v>
      </c>
    </row>
    <row r="2524" spans="1:10" ht="36" customHeight="1" x14ac:dyDescent="0.2">
      <c r="A2524" s="116" t="s">
        <v>1861</v>
      </c>
      <c r="B2524" s="1" t="s">
        <v>622</v>
      </c>
      <c r="C2524" s="116" t="s">
        <v>20</v>
      </c>
      <c r="D2524" s="116" t="s">
        <v>623</v>
      </c>
      <c r="E2524" s="137">
        <v>22</v>
      </c>
      <c r="F2524" s="137"/>
      <c r="G2524" s="2" t="s">
        <v>22</v>
      </c>
      <c r="H2524" s="115">
        <v>1</v>
      </c>
      <c r="I2524" s="61">
        <v>230.8</v>
      </c>
      <c r="J2524" s="61">
        <v>230.8</v>
      </c>
    </row>
    <row r="2525" spans="1:10" ht="24" customHeight="1" x14ac:dyDescent="0.2">
      <c r="A2525" s="113" t="s">
        <v>1859</v>
      </c>
      <c r="B2525" s="114" t="s">
        <v>1899</v>
      </c>
      <c r="C2525" s="113" t="s">
        <v>20</v>
      </c>
      <c r="D2525" s="113" t="s">
        <v>1898</v>
      </c>
      <c r="E2525" s="139" t="s">
        <v>1369</v>
      </c>
      <c r="F2525" s="139"/>
      <c r="G2525" s="112" t="s">
        <v>49</v>
      </c>
      <c r="H2525" s="111">
        <v>2.52E-2</v>
      </c>
      <c r="I2525" s="110">
        <v>162.78</v>
      </c>
      <c r="J2525" s="110">
        <v>4.0999999999999996</v>
      </c>
    </row>
    <row r="2526" spans="1:10" ht="24" customHeight="1" x14ac:dyDescent="0.2">
      <c r="A2526" s="113" t="s">
        <v>1859</v>
      </c>
      <c r="B2526" s="114" t="s">
        <v>1897</v>
      </c>
      <c r="C2526" s="113" t="s">
        <v>20</v>
      </c>
      <c r="D2526" s="113" t="s">
        <v>1896</v>
      </c>
      <c r="E2526" s="139" t="s">
        <v>1369</v>
      </c>
      <c r="F2526" s="139"/>
      <c r="G2526" s="112" t="s">
        <v>96</v>
      </c>
      <c r="H2526" s="111">
        <v>13.16</v>
      </c>
      <c r="I2526" s="110">
        <v>0.6</v>
      </c>
      <c r="J2526" s="110">
        <v>7.9</v>
      </c>
    </row>
    <row r="2527" spans="1:10" ht="24" customHeight="1" x14ac:dyDescent="0.2">
      <c r="A2527" s="113" t="s">
        <v>1859</v>
      </c>
      <c r="B2527" s="114" t="s">
        <v>2108</v>
      </c>
      <c r="C2527" s="113" t="s">
        <v>20</v>
      </c>
      <c r="D2527" s="113" t="s">
        <v>2107</v>
      </c>
      <c r="E2527" s="139" t="s">
        <v>1369</v>
      </c>
      <c r="F2527" s="139"/>
      <c r="G2527" s="112" t="s">
        <v>1877</v>
      </c>
      <c r="H2527" s="111">
        <v>0.14000000000000001</v>
      </c>
      <c r="I2527" s="110">
        <v>30.85</v>
      </c>
      <c r="J2527" s="110">
        <v>4.32</v>
      </c>
    </row>
    <row r="2528" spans="1:10" ht="24" customHeight="1" x14ac:dyDescent="0.2">
      <c r="A2528" s="113" t="s">
        <v>1859</v>
      </c>
      <c r="B2528" s="114" t="s">
        <v>2136</v>
      </c>
      <c r="C2528" s="113" t="s">
        <v>20</v>
      </c>
      <c r="D2528" s="113" t="s">
        <v>2135</v>
      </c>
      <c r="E2528" s="139" t="s">
        <v>1369</v>
      </c>
      <c r="F2528" s="139"/>
      <c r="G2528" s="112" t="s">
        <v>22</v>
      </c>
      <c r="H2528" s="111">
        <v>1.05</v>
      </c>
      <c r="I2528" s="110">
        <v>186.85</v>
      </c>
      <c r="J2528" s="110">
        <v>196.19</v>
      </c>
    </row>
    <row r="2529" spans="1:10" ht="24" customHeight="1" x14ac:dyDescent="0.2">
      <c r="A2529" s="113" t="s">
        <v>1859</v>
      </c>
      <c r="B2529" s="114" t="s">
        <v>1866</v>
      </c>
      <c r="C2529" s="113" t="s">
        <v>20</v>
      </c>
      <c r="D2529" s="113" t="s">
        <v>1865</v>
      </c>
      <c r="E2529" s="139" t="s">
        <v>1860</v>
      </c>
      <c r="F2529" s="139"/>
      <c r="G2529" s="112" t="s">
        <v>1864</v>
      </c>
      <c r="H2529" s="111">
        <v>0.45689999999999997</v>
      </c>
      <c r="I2529" s="110">
        <v>15.97</v>
      </c>
      <c r="J2529" s="110">
        <v>7.3</v>
      </c>
    </row>
    <row r="2530" spans="1:10" ht="24" customHeight="1" x14ac:dyDescent="0.2">
      <c r="A2530" s="113" t="s">
        <v>1859</v>
      </c>
      <c r="B2530" s="114" t="s">
        <v>1872</v>
      </c>
      <c r="C2530" s="113" t="s">
        <v>20</v>
      </c>
      <c r="D2530" s="113" t="s">
        <v>1871</v>
      </c>
      <c r="E2530" s="139" t="s">
        <v>1860</v>
      </c>
      <c r="F2530" s="139"/>
      <c r="G2530" s="112" t="s">
        <v>1864</v>
      </c>
      <c r="H2530" s="111">
        <v>0.60909999999999997</v>
      </c>
      <c r="I2530" s="110">
        <v>10.62</v>
      </c>
      <c r="J2530" s="110">
        <v>6.47</v>
      </c>
    </row>
    <row r="2531" spans="1:10" ht="24" customHeight="1" x14ac:dyDescent="0.2">
      <c r="A2531" s="113" t="s">
        <v>1859</v>
      </c>
      <c r="B2531" s="114" t="s">
        <v>1951</v>
      </c>
      <c r="C2531" s="113" t="s">
        <v>20</v>
      </c>
      <c r="D2531" s="113" t="s">
        <v>1950</v>
      </c>
      <c r="E2531" s="139" t="s">
        <v>1860</v>
      </c>
      <c r="F2531" s="139"/>
      <c r="G2531" s="112" t="s">
        <v>1864</v>
      </c>
      <c r="H2531" s="111">
        <v>0.17</v>
      </c>
      <c r="I2531" s="110">
        <v>10.62</v>
      </c>
      <c r="J2531" s="110">
        <v>1.81</v>
      </c>
    </row>
    <row r="2532" spans="1:10" ht="24" customHeight="1" x14ac:dyDescent="0.2">
      <c r="A2532" s="113" t="s">
        <v>1859</v>
      </c>
      <c r="B2532" s="114" t="s">
        <v>1949</v>
      </c>
      <c r="C2532" s="113" t="s">
        <v>20</v>
      </c>
      <c r="D2532" s="113" t="s">
        <v>1948</v>
      </c>
      <c r="E2532" s="139" t="s">
        <v>1860</v>
      </c>
      <c r="F2532" s="139"/>
      <c r="G2532" s="112" t="s">
        <v>1864</v>
      </c>
      <c r="H2532" s="111">
        <v>0.17</v>
      </c>
      <c r="I2532" s="110">
        <v>15.97</v>
      </c>
      <c r="J2532" s="110">
        <v>2.71</v>
      </c>
    </row>
    <row r="2533" spans="1:10" x14ac:dyDescent="0.2">
      <c r="A2533" s="109"/>
      <c r="B2533" s="109"/>
      <c r="C2533" s="109"/>
      <c r="D2533" s="109"/>
      <c r="E2533" s="109" t="s">
        <v>1858</v>
      </c>
      <c r="F2533" s="108">
        <v>18.29</v>
      </c>
      <c r="G2533" s="109" t="s">
        <v>1857</v>
      </c>
      <c r="H2533" s="108">
        <v>0</v>
      </c>
      <c r="I2533" s="109" t="s">
        <v>1856</v>
      </c>
      <c r="J2533" s="108">
        <v>18.29</v>
      </c>
    </row>
    <row r="2534" spans="1:10" ht="13.9" customHeight="1" x14ac:dyDescent="0.2">
      <c r="A2534" s="109"/>
      <c r="B2534" s="109"/>
      <c r="C2534" s="109"/>
      <c r="D2534" s="109"/>
      <c r="E2534" s="109" t="s">
        <v>1855</v>
      </c>
      <c r="F2534" s="108">
        <v>61.2774</v>
      </c>
      <c r="G2534" s="109"/>
      <c r="H2534" s="140" t="s">
        <v>1854</v>
      </c>
      <c r="I2534" s="140"/>
      <c r="J2534" s="108">
        <v>292.08</v>
      </c>
    </row>
    <row r="2535" spans="1:10" ht="30" customHeight="1" thickBot="1" x14ac:dyDescent="0.25">
      <c r="A2535" s="100"/>
      <c r="B2535" s="100"/>
      <c r="C2535" s="100"/>
      <c r="D2535" s="100"/>
      <c r="E2535" s="100"/>
      <c r="F2535" s="100"/>
      <c r="G2535" s="100" t="s">
        <v>1853</v>
      </c>
      <c r="H2535" s="107">
        <v>61.65</v>
      </c>
      <c r="I2535" s="100" t="s">
        <v>1852</v>
      </c>
      <c r="J2535" s="102">
        <v>18006.73</v>
      </c>
    </row>
    <row r="2536" spans="1:10" ht="1.1499999999999999" customHeight="1" thickTop="1" x14ac:dyDescent="0.2">
      <c r="A2536" s="106"/>
      <c r="B2536" s="106"/>
      <c r="C2536" s="106"/>
      <c r="D2536" s="106"/>
      <c r="E2536" s="106"/>
      <c r="F2536" s="106"/>
      <c r="G2536" s="106"/>
      <c r="H2536" s="106"/>
      <c r="I2536" s="106"/>
      <c r="J2536" s="106"/>
    </row>
    <row r="2537" spans="1:10" ht="18" customHeight="1" x14ac:dyDescent="0.2">
      <c r="A2537" s="117" t="s">
        <v>627</v>
      </c>
      <c r="B2537" s="126" t="s">
        <v>5</v>
      </c>
      <c r="C2537" s="117" t="s">
        <v>6</v>
      </c>
      <c r="D2537" s="117" t="s">
        <v>7</v>
      </c>
      <c r="E2537" s="136" t="s">
        <v>1113</v>
      </c>
      <c r="F2537" s="136"/>
      <c r="G2537" s="7" t="s">
        <v>8</v>
      </c>
      <c r="H2537" s="126" t="s">
        <v>9</v>
      </c>
      <c r="I2537" s="126" t="s">
        <v>10</v>
      </c>
      <c r="J2537" s="126" t="s">
        <v>12</v>
      </c>
    </row>
    <row r="2538" spans="1:10" ht="24" customHeight="1" x14ac:dyDescent="0.2">
      <c r="A2538" s="116" t="s">
        <v>1861</v>
      </c>
      <c r="B2538" s="1" t="s">
        <v>625</v>
      </c>
      <c r="C2538" s="116" t="s">
        <v>20</v>
      </c>
      <c r="D2538" s="116" t="s">
        <v>626</v>
      </c>
      <c r="E2538" s="137">
        <v>22</v>
      </c>
      <c r="F2538" s="137"/>
      <c r="G2538" s="2" t="s">
        <v>22</v>
      </c>
      <c r="H2538" s="115">
        <v>1</v>
      </c>
      <c r="I2538" s="61">
        <v>465.13</v>
      </c>
      <c r="J2538" s="61">
        <v>465.13</v>
      </c>
    </row>
    <row r="2539" spans="1:10" ht="24" customHeight="1" x14ac:dyDescent="0.2">
      <c r="A2539" s="113" t="s">
        <v>1859</v>
      </c>
      <c r="B2539" s="114" t="s">
        <v>2134</v>
      </c>
      <c r="C2539" s="113" t="s">
        <v>20</v>
      </c>
      <c r="D2539" s="113" t="s">
        <v>2133</v>
      </c>
      <c r="E2539" s="139" t="s">
        <v>1369</v>
      </c>
      <c r="F2539" s="139"/>
      <c r="G2539" s="112" t="s">
        <v>96</v>
      </c>
      <c r="H2539" s="111">
        <v>0.32</v>
      </c>
      <c r="I2539" s="110">
        <v>3.27</v>
      </c>
      <c r="J2539" s="110">
        <v>1.05</v>
      </c>
    </row>
    <row r="2540" spans="1:10" ht="24" customHeight="1" x14ac:dyDescent="0.2">
      <c r="A2540" s="113" t="s">
        <v>1859</v>
      </c>
      <c r="B2540" s="114" t="s">
        <v>1899</v>
      </c>
      <c r="C2540" s="113" t="s">
        <v>20</v>
      </c>
      <c r="D2540" s="113" t="s">
        <v>1898</v>
      </c>
      <c r="E2540" s="139" t="s">
        <v>1369</v>
      </c>
      <c r="F2540" s="139"/>
      <c r="G2540" s="112" t="s">
        <v>49</v>
      </c>
      <c r="H2540" s="111">
        <v>2.52E-2</v>
      </c>
      <c r="I2540" s="110">
        <v>162.78</v>
      </c>
      <c r="J2540" s="110">
        <v>4.0999999999999996</v>
      </c>
    </row>
    <row r="2541" spans="1:10" ht="24" customHeight="1" x14ac:dyDescent="0.2">
      <c r="A2541" s="113" t="s">
        <v>1859</v>
      </c>
      <c r="B2541" s="114" t="s">
        <v>1897</v>
      </c>
      <c r="C2541" s="113" t="s">
        <v>20</v>
      </c>
      <c r="D2541" s="113" t="s">
        <v>1896</v>
      </c>
      <c r="E2541" s="139" t="s">
        <v>1369</v>
      </c>
      <c r="F2541" s="139"/>
      <c r="G2541" s="112" t="s">
        <v>96</v>
      </c>
      <c r="H2541" s="111">
        <v>10.34</v>
      </c>
      <c r="I2541" s="110">
        <v>0.6</v>
      </c>
      <c r="J2541" s="110">
        <v>6.2</v>
      </c>
    </row>
    <row r="2542" spans="1:10" ht="24" customHeight="1" x14ac:dyDescent="0.2">
      <c r="A2542" s="113" t="s">
        <v>1859</v>
      </c>
      <c r="B2542" s="114" t="s">
        <v>2132</v>
      </c>
      <c r="C2542" s="113" t="s">
        <v>20</v>
      </c>
      <c r="D2542" s="113" t="s">
        <v>2131</v>
      </c>
      <c r="E2542" s="139" t="s">
        <v>1369</v>
      </c>
      <c r="F2542" s="139"/>
      <c r="G2542" s="112" t="s">
        <v>1877</v>
      </c>
      <c r="H2542" s="111">
        <v>0.1938</v>
      </c>
      <c r="I2542" s="110">
        <v>71.02</v>
      </c>
      <c r="J2542" s="110">
        <v>13.76</v>
      </c>
    </row>
    <row r="2543" spans="1:10" ht="24" customHeight="1" x14ac:dyDescent="0.2">
      <c r="A2543" s="113" t="s">
        <v>1859</v>
      </c>
      <c r="B2543" s="114" t="s">
        <v>1895</v>
      </c>
      <c r="C2543" s="113" t="s">
        <v>20</v>
      </c>
      <c r="D2543" s="113" t="s">
        <v>1894</v>
      </c>
      <c r="E2543" s="139" t="s">
        <v>1369</v>
      </c>
      <c r="F2543" s="139"/>
      <c r="G2543" s="112" t="s">
        <v>22</v>
      </c>
      <c r="H2543" s="111">
        <v>1</v>
      </c>
      <c r="I2543" s="110">
        <v>419.36</v>
      </c>
      <c r="J2543" s="110">
        <v>419.36</v>
      </c>
    </row>
    <row r="2544" spans="1:10" ht="24" customHeight="1" x14ac:dyDescent="0.2">
      <c r="A2544" s="113" t="s">
        <v>1859</v>
      </c>
      <c r="B2544" s="114" t="s">
        <v>1872</v>
      </c>
      <c r="C2544" s="113" t="s">
        <v>20</v>
      </c>
      <c r="D2544" s="113" t="s">
        <v>1871</v>
      </c>
      <c r="E2544" s="139" t="s">
        <v>1860</v>
      </c>
      <c r="F2544" s="139"/>
      <c r="G2544" s="112" t="s">
        <v>1864</v>
      </c>
      <c r="H2544" s="111">
        <v>0.93879999999999997</v>
      </c>
      <c r="I2544" s="110">
        <v>10.62</v>
      </c>
      <c r="J2544" s="110">
        <v>9.9700000000000006</v>
      </c>
    </row>
    <row r="2545" spans="1:10" ht="24" customHeight="1" x14ac:dyDescent="0.2">
      <c r="A2545" s="113" t="s">
        <v>1859</v>
      </c>
      <c r="B2545" s="114" t="s">
        <v>2130</v>
      </c>
      <c r="C2545" s="113" t="s">
        <v>20</v>
      </c>
      <c r="D2545" s="113" t="s">
        <v>2129</v>
      </c>
      <c r="E2545" s="139" t="s">
        <v>1860</v>
      </c>
      <c r="F2545" s="139"/>
      <c r="G2545" s="112" t="s">
        <v>1864</v>
      </c>
      <c r="H2545" s="111">
        <v>0.66910000000000003</v>
      </c>
      <c r="I2545" s="110">
        <v>15.97</v>
      </c>
      <c r="J2545" s="110">
        <v>10.69</v>
      </c>
    </row>
    <row r="2546" spans="1:10" x14ac:dyDescent="0.2">
      <c r="A2546" s="109"/>
      <c r="B2546" s="109"/>
      <c r="C2546" s="109"/>
      <c r="D2546" s="109"/>
      <c r="E2546" s="109" t="s">
        <v>1858</v>
      </c>
      <c r="F2546" s="108">
        <v>20.66</v>
      </c>
      <c r="G2546" s="109" t="s">
        <v>1857</v>
      </c>
      <c r="H2546" s="108">
        <v>0</v>
      </c>
      <c r="I2546" s="109" t="s">
        <v>1856</v>
      </c>
      <c r="J2546" s="108">
        <v>20.66</v>
      </c>
    </row>
    <row r="2547" spans="1:10" ht="13.9" customHeight="1" x14ac:dyDescent="0.2">
      <c r="A2547" s="109"/>
      <c r="B2547" s="109"/>
      <c r="C2547" s="109"/>
      <c r="D2547" s="109"/>
      <c r="E2547" s="109" t="s">
        <v>1855</v>
      </c>
      <c r="F2547" s="108">
        <v>123.49201499999999</v>
      </c>
      <c r="G2547" s="109"/>
      <c r="H2547" s="140" t="s">
        <v>1854</v>
      </c>
      <c r="I2547" s="140"/>
      <c r="J2547" s="108">
        <v>588.62</v>
      </c>
    </row>
    <row r="2548" spans="1:10" ht="30" customHeight="1" thickBot="1" x14ac:dyDescent="0.25">
      <c r="A2548" s="100"/>
      <c r="B2548" s="100"/>
      <c r="C2548" s="100"/>
      <c r="D2548" s="100"/>
      <c r="E2548" s="100"/>
      <c r="F2548" s="100"/>
      <c r="G2548" s="100" t="s">
        <v>1853</v>
      </c>
      <c r="H2548" s="107">
        <v>1.8</v>
      </c>
      <c r="I2548" s="100" t="s">
        <v>1852</v>
      </c>
      <c r="J2548" s="102">
        <v>1059.52</v>
      </c>
    </row>
    <row r="2549" spans="1:10" ht="1.1499999999999999" customHeight="1" thickTop="1" x14ac:dyDescent="0.2">
      <c r="A2549" s="106"/>
      <c r="B2549" s="106"/>
      <c r="C2549" s="106"/>
      <c r="D2549" s="106"/>
      <c r="E2549" s="106"/>
      <c r="F2549" s="106"/>
      <c r="G2549" s="106"/>
      <c r="H2549" s="106"/>
      <c r="I2549" s="106"/>
      <c r="J2549" s="106"/>
    </row>
    <row r="2550" spans="1:10" ht="18" customHeight="1" x14ac:dyDescent="0.2">
      <c r="A2550" s="117" t="s">
        <v>630</v>
      </c>
      <c r="B2550" s="126" t="s">
        <v>5</v>
      </c>
      <c r="C2550" s="117" t="s">
        <v>6</v>
      </c>
      <c r="D2550" s="117" t="s">
        <v>7</v>
      </c>
      <c r="E2550" s="136" t="s">
        <v>1113</v>
      </c>
      <c r="F2550" s="136"/>
      <c r="G2550" s="7" t="s">
        <v>8</v>
      </c>
      <c r="H2550" s="126" t="s">
        <v>9</v>
      </c>
      <c r="I2550" s="126" t="s">
        <v>10</v>
      </c>
      <c r="J2550" s="126" t="s">
        <v>12</v>
      </c>
    </row>
    <row r="2551" spans="1:10" ht="24" customHeight="1" x14ac:dyDescent="0.2">
      <c r="A2551" s="116" t="s">
        <v>1861</v>
      </c>
      <c r="B2551" s="1" t="s">
        <v>628</v>
      </c>
      <c r="C2551" s="116" t="s">
        <v>20</v>
      </c>
      <c r="D2551" s="116" t="s">
        <v>629</v>
      </c>
      <c r="E2551" s="137">
        <v>27</v>
      </c>
      <c r="F2551" s="137"/>
      <c r="G2551" s="2" t="s">
        <v>22</v>
      </c>
      <c r="H2551" s="115">
        <v>1</v>
      </c>
      <c r="I2551" s="61">
        <v>14.73</v>
      </c>
      <c r="J2551" s="61">
        <v>14.73</v>
      </c>
    </row>
    <row r="2552" spans="1:10" ht="24" customHeight="1" x14ac:dyDescent="0.2">
      <c r="A2552" s="113" t="s">
        <v>1859</v>
      </c>
      <c r="B2552" s="114" t="s">
        <v>2128</v>
      </c>
      <c r="C2552" s="113" t="s">
        <v>20</v>
      </c>
      <c r="D2552" s="113" t="s">
        <v>2127</v>
      </c>
      <c r="E2552" s="139" t="s">
        <v>1369</v>
      </c>
      <c r="F2552" s="139"/>
      <c r="G2552" s="112" t="s">
        <v>96</v>
      </c>
      <c r="H2552" s="111">
        <v>0.3</v>
      </c>
      <c r="I2552" s="110">
        <v>4.6500000000000004</v>
      </c>
      <c r="J2552" s="110">
        <v>1.4</v>
      </c>
    </row>
    <row r="2553" spans="1:10" ht="24" customHeight="1" x14ac:dyDescent="0.2">
      <c r="A2553" s="113" t="s">
        <v>1859</v>
      </c>
      <c r="B2553" s="114" t="s">
        <v>2126</v>
      </c>
      <c r="C2553" s="113" t="s">
        <v>20</v>
      </c>
      <c r="D2553" s="113" t="s">
        <v>2125</v>
      </c>
      <c r="E2553" s="139" t="s">
        <v>1369</v>
      </c>
      <c r="F2553" s="139"/>
      <c r="G2553" s="112" t="s">
        <v>49</v>
      </c>
      <c r="H2553" s="111">
        <v>0.03</v>
      </c>
      <c r="I2553" s="110">
        <v>16.3</v>
      </c>
      <c r="J2553" s="110">
        <v>0.49</v>
      </c>
    </row>
    <row r="2554" spans="1:10" ht="24" customHeight="1" x14ac:dyDescent="0.2">
      <c r="A2554" s="113" t="s">
        <v>1859</v>
      </c>
      <c r="B2554" s="114" t="s">
        <v>2124</v>
      </c>
      <c r="C2554" s="113" t="s">
        <v>20</v>
      </c>
      <c r="D2554" s="113" t="s">
        <v>2123</v>
      </c>
      <c r="E2554" s="139" t="s">
        <v>1369</v>
      </c>
      <c r="F2554" s="139"/>
      <c r="G2554" s="112" t="s">
        <v>22</v>
      </c>
      <c r="H2554" s="111">
        <v>1</v>
      </c>
      <c r="I2554" s="110">
        <v>7.15</v>
      </c>
      <c r="J2554" s="110">
        <v>7.15</v>
      </c>
    </row>
    <row r="2555" spans="1:10" ht="24" customHeight="1" x14ac:dyDescent="0.2">
      <c r="A2555" s="113" t="s">
        <v>1859</v>
      </c>
      <c r="B2555" s="114" t="s">
        <v>1872</v>
      </c>
      <c r="C2555" s="113" t="s">
        <v>20</v>
      </c>
      <c r="D2555" s="113" t="s">
        <v>1871</v>
      </c>
      <c r="E2555" s="139" t="s">
        <v>1860</v>
      </c>
      <c r="F2555" s="139"/>
      <c r="G2555" s="112" t="s">
        <v>1864</v>
      </c>
      <c r="H2555" s="111">
        <v>0.33700000000000002</v>
      </c>
      <c r="I2555" s="110">
        <v>10.62</v>
      </c>
      <c r="J2555" s="110">
        <v>3.58</v>
      </c>
    </row>
    <row r="2556" spans="1:10" ht="24" customHeight="1" x14ac:dyDescent="0.2">
      <c r="A2556" s="113" t="s">
        <v>1859</v>
      </c>
      <c r="B2556" s="114" t="s">
        <v>2122</v>
      </c>
      <c r="C2556" s="113" t="s">
        <v>20</v>
      </c>
      <c r="D2556" s="113" t="s">
        <v>2121</v>
      </c>
      <c r="E2556" s="139" t="s">
        <v>1860</v>
      </c>
      <c r="F2556" s="139"/>
      <c r="G2556" s="112" t="s">
        <v>1864</v>
      </c>
      <c r="H2556" s="111">
        <v>0.1323</v>
      </c>
      <c r="I2556" s="110">
        <v>15.97</v>
      </c>
      <c r="J2556" s="110">
        <v>2.11</v>
      </c>
    </row>
    <row r="2557" spans="1:10" x14ac:dyDescent="0.2">
      <c r="A2557" s="109"/>
      <c r="B2557" s="109"/>
      <c r="C2557" s="109"/>
      <c r="D2557" s="109"/>
      <c r="E2557" s="109" t="s">
        <v>1858</v>
      </c>
      <c r="F2557" s="108">
        <v>5.69</v>
      </c>
      <c r="G2557" s="109" t="s">
        <v>1857</v>
      </c>
      <c r="H2557" s="108">
        <v>0</v>
      </c>
      <c r="I2557" s="109" t="s">
        <v>1856</v>
      </c>
      <c r="J2557" s="108">
        <v>5.69</v>
      </c>
    </row>
    <row r="2558" spans="1:10" ht="13.9" customHeight="1" x14ac:dyDescent="0.2">
      <c r="A2558" s="109"/>
      <c r="B2558" s="109"/>
      <c r="C2558" s="109"/>
      <c r="D2558" s="109"/>
      <c r="E2558" s="109" t="s">
        <v>1855</v>
      </c>
      <c r="F2558" s="108">
        <v>3.9108149999999999</v>
      </c>
      <c r="G2558" s="109"/>
      <c r="H2558" s="140" t="s">
        <v>1854</v>
      </c>
      <c r="I2558" s="140"/>
      <c r="J2558" s="108">
        <v>18.64</v>
      </c>
    </row>
    <row r="2559" spans="1:10" ht="30" customHeight="1" thickBot="1" x14ac:dyDescent="0.25">
      <c r="A2559" s="100"/>
      <c r="B2559" s="100"/>
      <c r="C2559" s="100"/>
      <c r="D2559" s="100"/>
      <c r="E2559" s="100"/>
      <c r="F2559" s="100"/>
      <c r="G2559" s="100" t="s">
        <v>1853</v>
      </c>
      <c r="H2559" s="107">
        <v>50.78</v>
      </c>
      <c r="I2559" s="100" t="s">
        <v>1852</v>
      </c>
      <c r="J2559" s="102">
        <v>946.54</v>
      </c>
    </row>
    <row r="2560" spans="1:10" ht="1.1499999999999999" customHeight="1" thickTop="1" x14ac:dyDescent="0.2">
      <c r="A2560" s="106"/>
      <c r="B2560" s="106"/>
      <c r="C2560" s="106"/>
      <c r="D2560" s="106"/>
      <c r="E2560" s="106"/>
      <c r="F2560" s="106"/>
      <c r="G2560" s="106"/>
      <c r="H2560" s="106"/>
      <c r="I2560" s="106"/>
      <c r="J2560" s="106"/>
    </row>
    <row r="2561" spans="1:10" ht="18" customHeight="1" x14ac:dyDescent="0.2">
      <c r="A2561" s="117" t="s">
        <v>1623</v>
      </c>
      <c r="B2561" s="126" t="s">
        <v>5</v>
      </c>
      <c r="C2561" s="117" t="s">
        <v>6</v>
      </c>
      <c r="D2561" s="117" t="s">
        <v>7</v>
      </c>
      <c r="E2561" s="136" t="s">
        <v>1113</v>
      </c>
      <c r="F2561" s="136"/>
      <c r="G2561" s="7" t="s">
        <v>8</v>
      </c>
      <c r="H2561" s="126" t="s">
        <v>9</v>
      </c>
      <c r="I2561" s="126" t="s">
        <v>10</v>
      </c>
      <c r="J2561" s="126" t="s">
        <v>12</v>
      </c>
    </row>
    <row r="2562" spans="1:10" ht="24" customHeight="1" x14ac:dyDescent="0.2">
      <c r="A2562" s="116" t="s">
        <v>1861</v>
      </c>
      <c r="B2562" s="1" t="s">
        <v>631</v>
      </c>
      <c r="C2562" s="116" t="s">
        <v>25</v>
      </c>
      <c r="D2562" s="116" t="s">
        <v>632</v>
      </c>
      <c r="E2562" s="137" t="s">
        <v>1424</v>
      </c>
      <c r="F2562" s="137"/>
      <c r="G2562" s="2" t="s">
        <v>22</v>
      </c>
      <c r="H2562" s="115">
        <v>1</v>
      </c>
      <c r="I2562" s="61">
        <v>49.8</v>
      </c>
      <c r="J2562" s="61">
        <v>49.8</v>
      </c>
    </row>
    <row r="2563" spans="1:10" ht="24" customHeight="1" x14ac:dyDescent="0.2">
      <c r="A2563" s="121" t="s">
        <v>1888</v>
      </c>
      <c r="B2563" s="122" t="s">
        <v>1919</v>
      </c>
      <c r="C2563" s="121" t="s">
        <v>25</v>
      </c>
      <c r="D2563" s="121" t="s">
        <v>1918</v>
      </c>
      <c r="E2563" s="138" t="s">
        <v>1902</v>
      </c>
      <c r="F2563" s="138"/>
      <c r="G2563" s="120" t="s">
        <v>61</v>
      </c>
      <c r="H2563" s="119">
        <v>0.27500000000000002</v>
      </c>
      <c r="I2563" s="118">
        <v>22.61</v>
      </c>
      <c r="J2563" s="118">
        <v>6.22</v>
      </c>
    </row>
    <row r="2564" spans="1:10" ht="24" customHeight="1" x14ac:dyDescent="0.2">
      <c r="A2564" s="121" t="s">
        <v>1888</v>
      </c>
      <c r="B2564" s="122" t="s">
        <v>1906</v>
      </c>
      <c r="C2564" s="121" t="s">
        <v>25</v>
      </c>
      <c r="D2564" s="121" t="s">
        <v>1905</v>
      </c>
      <c r="E2564" s="138" t="s">
        <v>1902</v>
      </c>
      <c r="F2564" s="138"/>
      <c r="G2564" s="120" t="s">
        <v>61</v>
      </c>
      <c r="H2564" s="119">
        <v>0.115</v>
      </c>
      <c r="I2564" s="118">
        <v>16.059999999999999</v>
      </c>
      <c r="J2564" s="118">
        <v>1.85</v>
      </c>
    </row>
    <row r="2565" spans="1:10" ht="24" customHeight="1" x14ac:dyDescent="0.2">
      <c r="A2565" s="113" t="s">
        <v>1859</v>
      </c>
      <c r="B2565" s="114" t="s">
        <v>2120</v>
      </c>
      <c r="C2565" s="113" t="s">
        <v>25</v>
      </c>
      <c r="D2565" s="113" t="s">
        <v>2119</v>
      </c>
      <c r="E2565" s="139" t="s">
        <v>1369</v>
      </c>
      <c r="F2565" s="139"/>
      <c r="G2565" s="112" t="s">
        <v>1562</v>
      </c>
      <c r="H2565" s="111">
        <v>6.4000000000000001E-2</v>
      </c>
      <c r="I2565" s="110">
        <v>38.75</v>
      </c>
      <c r="J2565" s="110">
        <v>2.48</v>
      </c>
    </row>
    <row r="2566" spans="1:10" ht="24" customHeight="1" x14ac:dyDescent="0.2">
      <c r="A2566" s="113" t="s">
        <v>1859</v>
      </c>
      <c r="B2566" s="114" t="s">
        <v>2118</v>
      </c>
      <c r="C2566" s="113" t="s">
        <v>25</v>
      </c>
      <c r="D2566" s="113" t="s">
        <v>2117</v>
      </c>
      <c r="E2566" s="139" t="s">
        <v>1369</v>
      </c>
      <c r="F2566" s="139"/>
      <c r="G2566" s="112" t="s">
        <v>236</v>
      </c>
      <c r="H2566" s="111">
        <v>0.01</v>
      </c>
      <c r="I2566" s="110">
        <v>7.62</v>
      </c>
      <c r="J2566" s="110">
        <v>0.08</v>
      </c>
    </row>
    <row r="2567" spans="1:10" ht="24" customHeight="1" x14ac:dyDescent="0.2">
      <c r="A2567" s="113" t="s">
        <v>1859</v>
      </c>
      <c r="B2567" s="114" t="s">
        <v>2116</v>
      </c>
      <c r="C2567" s="113" t="s">
        <v>25</v>
      </c>
      <c r="D2567" s="113" t="s">
        <v>2115</v>
      </c>
      <c r="E2567" s="139">
        <v>0</v>
      </c>
      <c r="F2567" s="139"/>
      <c r="G2567" s="112" t="s">
        <v>1562</v>
      </c>
      <c r="H2567" s="111">
        <v>0.2016</v>
      </c>
      <c r="I2567" s="110">
        <v>94.28</v>
      </c>
      <c r="J2567" s="110">
        <v>19.010000000000002</v>
      </c>
    </row>
    <row r="2568" spans="1:10" ht="24" customHeight="1" x14ac:dyDescent="0.2">
      <c r="A2568" s="113" t="s">
        <v>1859</v>
      </c>
      <c r="B2568" s="114" t="s">
        <v>2114</v>
      </c>
      <c r="C2568" s="113" t="s">
        <v>25</v>
      </c>
      <c r="D2568" s="113" t="s">
        <v>2113</v>
      </c>
      <c r="E2568" s="139" t="s">
        <v>1369</v>
      </c>
      <c r="F2568" s="139"/>
      <c r="G2568" s="112" t="s">
        <v>1562</v>
      </c>
      <c r="H2568" s="111">
        <v>0.32200000000000001</v>
      </c>
      <c r="I2568" s="110">
        <v>62.61</v>
      </c>
      <c r="J2568" s="110">
        <v>20.16</v>
      </c>
    </row>
    <row r="2569" spans="1:10" x14ac:dyDescent="0.2">
      <c r="A2569" s="109"/>
      <c r="B2569" s="109"/>
      <c r="C2569" s="109"/>
      <c r="D2569" s="109"/>
      <c r="E2569" s="109" t="s">
        <v>1858</v>
      </c>
      <c r="F2569" s="108">
        <v>5.59</v>
      </c>
      <c r="G2569" s="109" t="s">
        <v>1857</v>
      </c>
      <c r="H2569" s="108">
        <v>0</v>
      </c>
      <c r="I2569" s="109" t="s">
        <v>1856</v>
      </c>
      <c r="J2569" s="108">
        <v>5.59</v>
      </c>
    </row>
    <row r="2570" spans="1:10" ht="13.9" customHeight="1" x14ac:dyDescent="0.2">
      <c r="A2570" s="109"/>
      <c r="B2570" s="109"/>
      <c r="C2570" s="109"/>
      <c r="D2570" s="109"/>
      <c r="E2570" s="109" t="s">
        <v>1855</v>
      </c>
      <c r="F2570" s="108">
        <v>13.2219</v>
      </c>
      <c r="G2570" s="109"/>
      <c r="H2570" s="140" t="s">
        <v>1854</v>
      </c>
      <c r="I2570" s="140"/>
      <c r="J2570" s="108">
        <v>63.02</v>
      </c>
    </row>
    <row r="2571" spans="1:10" ht="30" customHeight="1" thickBot="1" x14ac:dyDescent="0.25">
      <c r="A2571" s="100"/>
      <c r="B2571" s="100"/>
      <c r="C2571" s="100"/>
      <c r="D2571" s="100"/>
      <c r="E2571" s="100"/>
      <c r="F2571" s="100"/>
      <c r="G2571" s="100" t="s">
        <v>1853</v>
      </c>
      <c r="H2571" s="107">
        <v>20</v>
      </c>
      <c r="I2571" s="100" t="s">
        <v>1852</v>
      </c>
      <c r="J2571" s="102">
        <v>1260.4000000000001</v>
      </c>
    </row>
    <row r="2572" spans="1:10" ht="1.1499999999999999" customHeight="1" thickTop="1" x14ac:dyDescent="0.2">
      <c r="A2572" s="106"/>
      <c r="B2572" s="106"/>
      <c r="C2572" s="106"/>
      <c r="D2572" s="106"/>
      <c r="E2572" s="106"/>
      <c r="F2572" s="106"/>
      <c r="G2572" s="106"/>
      <c r="H2572" s="106"/>
      <c r="I2572" s="106"/>
      <c r="J2572" s="106"/>
    </row>
    <row r="2573" spans="1:10" ht="24" customHeight="1" x14ac:dyDescent="0.2">
      <c r="A2573" s="123" t="s">
        <v>633</v>
      </c>
      <c r="B2573" s="123"/>
      <c r="C2573" s="123"/>
      <c r="D2573" s="123" t="s">
        <v>634</v>
      </c>
      <c r="E2573" s="123"/>
      <c r="F2573" s="142"/>
      <c r="G2573" s="142"/>
      <c r="H2573" s="3"/>
      <c r="I2573" s="123"/>
      <c r="J2573" s="63">
        <v>325379.65000000002</v>
      </c>
    </row>
    <row r="2574" spans="1:10" ht="24" customHeight="1" x14ac:dyDescent="0.2">
      <c r="A2574" s="123" t="s">
        <v>635</v>
      </c>
      <c r="B2574" s="123"/>
      <c r="C2574" s="123"/>
      <c r="D2574" s="123" t="s">
        <v>636</v>
      </c>
      <c r="E2574" s="123"/>
      <c r="F2574" s="142"/>
      <c r="G2574" s="142"/>
      <c r="H2574" s="3"/>
      <c r="I2574" s="123"/>
      <c r="J2574" s="63">
        <v>92315.66</v>
      </c>
    </row>
    <row r="2575" spans="1:10" ht="18" customHeight="1" x14ac:dyDescent="0.2">
      <c r="A2575" s="117" t="s">
        <v>637</v>
      </c>
      <c r="B2575" s="126" t="s">
        <v>5</v>
      </c>
      <c r="C2575" s="117" t="s">
        <v>6</v>
      </c>
      <c r="D2575" s="117" t="s">
        <v>7</v>
      </c>
      <c r="E2575" s="136" t="s">
        <v>1113</v>
      </c>
      <c r="F2575" s="136"/>
      <c r="G2575" s="7" t="s">
        <v>8</v>
      </c>
      <c r="H2575" s="126" t="s">
        <v>9</v>
      </c>
      <c r="I2575" s="126" t="s">
        <v>10</v>
      </c>
      <c r="J2575" s="126" t="s">
        <v>12</v>
      </c>
    </row>
    <row r="2576" spans="1:10" ht="24" customHeight="1" x14ac:dyDescent="0.2">
      <c r="A2576" s="116" t="s">
        <v>1861</v>
      </c>
      <c r="B2576" s="1" t="s">
        <v>638</v>
      </c>
      <c r="C2576" s="116" t="s">
        <v>20</v>
      </c>
      <c r="D2576" s="116" t="s">
        <v>639</v>
      </c>
      <c r="E2576" s="137">
        <v>18</v>
      </c>
      <c r="F2576" s="137"/>
      <c r="G2576" s="2" t="s">
        <v>22</v>
      </c>
      <c r="H2576" s="115">
        <v>1</v>
      </c>
      <c r="I2576" s="61">
        <v>1108.1199999999999</v>
      </c>
      <c r="J2576" s="61">
        <v>1108.1199999999999</v>
      </c>
    </row>
    <row r="2577" spans="1:10" ht="24" customHeight="1" x14ac:dyDescent="0.2">
      <c r="A2577" s="113" t="s">
        <v>1859</v>
      </c>
      <c r="B2577" s="114" t="s">
        <v>1899</v>
      </c>
      <c r="C2577" s="113" t="s">
        <v>20</v>
      </c>
      <c r="D2577" s="113" t="s">
        <v>1898</v>
      </c>
      <c r="E2577" s="139" t="s">
        <v>1369</v>
      </c>
      <c r="F2577" s="139"/>
      <c r="G2577" s="112" t="s">
        <v>49</v>
      </c>
      <c r="H2577" s="111">
        <v>1.43E-2</v>
      </c>
      <c r="I2577" s="110">
        <v>162.78</v>
      </c>
      <c r="J2577" s="110">
        <v>2.33</v>
      </c>
    </row>
    <row r="2578" spans="1:10" ht="24" customHeight="1" x14ac:dyDescent="0.2">
      <c r="A2578" s="113" t="s">
        <v>1859</v>
      </c>
      <c r="B2578" s="114" t="s">
        <v>1897</v>
      </c>
      <c r="C2578" s="113" t="s">
        <v>20</v>
      </c>
      <c r="D2578" s="113" t="s">
        <v>1896</v>
      </c>
      <c r="E2578" s="139" t="s">
        <v>1369</v>
      </c>
      <c r="F2578" s="139"/>
      <c r="G2578" s="112" t="s">
        <v>96</v>
      </c>
      <c r="H2578" s="111">
        <v>5</v>
      </c>
      <c r="I2578" s="110">
        <v>0.6</v>
      </c>
      <c r="J2578" s="110">
        <v>3</v>
      </c>
    </row>
    <row r="2579" spans="1:10" ht="24" customHeight="1" x14ac:dyDescent="0.2">
      <c r="A2579" s="113" t="s">
        <v>1859</v>
      </c>
      <c r="B2579" s="114" t="s">
        <v>2100</v>
      </c>
      <c r="C2579" s="113" t="s">
        <v>20</v>
      </c>
      <c r="D2579" s="113" t="s">
        <v>2099</v>
      </c>
      <c r="E2579" s="139" t="s">
        <v>1369</v>
      </c>
      <c r="F2579" s="139"/>
      <c r="G2579" s="112" t="s">
        <v>22</v>
      </c>
      <c r="H2579" s="111">
        <v>1</v>
      </c>
      <c r="I2579" s="110">
        <v>1071.43</v>
      </c>
      <c r="J2579" s="110">
        <v>1071.43</v>
      </c>
    </row>
    <row r="2580" spans="1:10" ht="24" customHeight="1" x14ac:dyDescent="0.2">
      <c r="A2580" s="113" t="s">
        <v>1859</v>
      </c>
      <c r="B2580" s="114" t="s">
        <v>1866</v>
      </c>
      <c r="C2580" s="113" t="s">
        <v>20</v>
      </c>
      <c r="D2580" s="113" t="s">
        <v>1865</v>
      </c>
      <c r="E2580" s="139" t="s">
        <v>1860</v>
      </c>
      <c r="F2580" s="139"/>
      <c r="G2580" s="112" t="s">
        <v>1864</v>
      </c>
      <c r="H2580" s="111">
        <v>1.2995000000000001</v>
      </c>
      <c r="I2580" s="110">
        <v>15.97</v>
      </c>
      <c r="J2580" s="110">
        <v>20.75</v>
      </c>
    </row>
    <row r="2581" spans="1:10" ht="24" customHeight="1" x14ac:dyDescent="0.2">
      <c r="A2581" s="113" t="s">
        <v>1859</v>
      </c>
      <c r="B2581" s="114" t="s">
        <v>1872</v>
      </c>
      <c r="C2581" s="113" t="s">
        <v>20</v>
      </c>
      <c r="D2581" s="113" t="s">
        <v>1871</v>
      </c>
      <c r="E2581" s="139" t="s">
        <v>1860</v>
      </c>
      <c r="F2581" s="139"/>
      <c r="G2581" s="112" t="s">
        <v>1864</v>
      </c>
      <c r="H2581" s="111">
        <v>0.99950000000000006</v>
      </c>
      <c r="I2581" s="110">
        <v>10.62</v>
      </c>
      <c r="J2581" s="110">
        <v>10.61</v>
      </c>
    </row>
    <row r="2582" spans="1:10" x14ac:dyDescent="0.2">
      <c r="A2582" s="109"/>
      <c r="B2582" s="109"/>
      <c r="C2582" s="109"/>
      <c r="D2582" s="109"/>
      <c r="E2582" s="109" t="s">
        <v>1858</v>
      </c>
      <c r="F2582" s="108">
        <v>31.36</v>
      </c>
      <c r="G2582" s="109" t="s">
        <v>1857</v>
      </c>
      <c r="H2582" s="108">
        <v>0</v>
      </c>
      <c r="I2582" s="109" t="s">
        <v>1856</v>
      </c>
      <c r="J2582" s="108">
        <v>31.36</v>
      </c>
    </row>
    <row r="2583" spans="1:10" ht="13.9" customHeight="1" x14ac:dyDescent="0.2">
      <c r="A2583" s="109"/>
      <c r="B2583" s="109"/>
      <c r="C2583" s="109"/>
      <c r="D2583" s="109"/>
      <c r="E2583" s="109" t="s">
        <v>1855</v>
      </c>
      <c r="F2583" s="108">
        <v>294.20585999999997</v>
      </c>
      <c r="G2583" s="109"/>
      <c r="H2583" s="140" t="s">
        <v>1854</v>
      </c>
      <c r="I2583" s="140"/>
      <c r="J2583" s="108">
        <v>1402.33</v>
      </c>
    </row>
    <row r="2584" spans="1:10" ht="30" customHeight="1" thickBot="1" x14ac:dyDescent="0.25">
      <c r="A2584" s="100"/>
      <c r="B2584" s="100"/>
      <c r="C2584" s="100"/>
      <c r="D2584" s="100"/>
      <c r="E2584" s="100"/>
      <c r="F2584" s="100"/>
      <c r="G2584" s="100" t="s">
        <v>1853</v>
      </c>
      <c r="H2584" s="107">
        <v>1.26</v>
      </c>
      <c r="I2584" s="100" t="s">
        <v>1852</v>
      </c>
      <c r="J2584" s="102">
        <v>1766.94</v>
      </c>
    </row>
    <row r="2585" spans="1:10" ht="1.1499999999999999" customHeight="1" thickTop="1" x14ac:dyDescent="0.2">
      <c r="A2585" s="106"/>
      <c r="B2585" s="106"/>
      <c r="C2585" s="106"/>
      <c r="D2585" s="106"/>
      <c r="E2585" s="106"/>
      <c r="F2585" s="106"/>
      <c r="G2585" s="106"/>
      <c r="H2585" s="106"/>
      <c r="I2585" s="106"/>
      <c r="J2585" s="106"/>
    </row>
    <row r="2586" spans="1:10" ht="18" customHeight="1" x14ac:dyDescent="0.2">
      <c r="A2586" s="117" t="s">
        <v>640</v>
      </c>
      <c r="B2586" s="126" t="s">
        <v>5</v>
      </c>
      <c r="C2586" s="117" t="s">
        <v>6</v>
      </c>
      <c r="D2586" s="117" t="s">
        <v>7</v>
      </c>
      <c r="E2586" s="136" t="s">
        <v>1113</v>
      </c>
      <c r="F2586" s="136"/>
      <c r="G2586" s="7" t="s">
        <v>8</v>
      </c>
      <c r="H2586" s="126" t="s">
        <v>9</v>
      </c>
      <c r="I2586" s="126" t="s">
        <v>10</v>
      </c>
      <c r="J2586" s="126" t="s">
        <v>12</v>
      </c>
    </row>
    <row r="2587" spans="1:10" ht="24" customHeight="1" x14ac:dyDescent="0.2">
      <c r="A2587" s="116" t="s">
        <v>1861</v>
      </c>
      <c r="B2587" s="1" t="s">
        <v>638</v>
      </c>
      <c r="C2587" s="116" t="s">
        <v>20</v>
      </c>
      <c r="D2587" s="116" t="s">
        <v>641</v>
      </c>
      <c r="E2587" s="137">
        <v>18</v>
      </c>
      <c r="F2587" s="137"/>
      <c r="G2587" s="2" t="s">
        <v>22</v>
      </c>
      <c r="H2587" s="115">
        <v>1</v>
      </c>
      <c r="I2587" s="61">
        <v>1108.1199999999999</v>
      </c>
      <c r="J2587" s="61">
        <v>1108.1199999999999</v>
      </c>
    </row>
    <row r="2588" spans="1:10" ht="24" customHeight="1" x14ac:dyDescent="0.2">
      <c r="A2588" s="113" t="s">
        <v>1859</v>
      </c>
      <c r="B2588" s="114" t="s">
        <v>1899</v>
      </c>
      <c r="C2588" s="113" t="s">
        <v>20</v>
      </c>
      <c r="D2588" s="113" t="s">
        <v>1898</v>
      </c>
      <c r="E2588" s="139" t="s">
        <v>1369</v>
      </c>
      <c r="F2588" s="139"/>
      <c r="G2588" s="112" t="s">
        <v>49</v>
      </c>
      <c r="H2588" s="111">
        <v>1.43E-2</v>
      </c>
      <c r="I2588" s="110">
        <v>162.78</v>
      </c>
      <c r="J2588" s="110">
        <v>2.33</v>
      </c>
    </row>
    <row r="2589" spans="1:10" ht="24" customHeight="1" x14ac:dyDescent="0.2">
      <c r="A2589" s="113" t="s">
        <v>1859</v>
      </c>
      <c r="B2589" s="114" t="s">
        <v>1897</v>
      </c>
      <c r="C2589" s="113" t="s">
        <v>20</v>
      </c>
      <c r="D2589" s="113" t="s">
        <v>1896</v>
      </c>
      <c r="E2589" s="139" t="s">
        <v>1369</v>
      </c>
      <c r="F2589" s="139"/>
      <c r="G2589" s="112" t="s">
        <v>96</v>
      </c>
      <c r="H2589" s="111">
        <v>5</v>
      </c>
      <c r="I2589" s="110">
        <v>0.6</v>
      </c>
      <c r="J2589" s="110">
        <v>3</v>
      </c>
    </row>
    <row r="2590" spans="1:10" ht="24" customHeight="1" x14ac:dyDescent="0.2">
      <c r="A2590" s="113" t="s">
        <v>1859</v>
      </c>
      <c r="B2590" s="114" t="s">
        <v>2100</v>
      </c>
      <c r="C2590" s="113" t="s">
        <v>20</v>
      </c>
      <c r="D2590" s="113" t="s">
        <v>2099</v>
      </c>
      <c r="E2590" s="139" t="s">
        <v>1369</v>
      </c>
      <c r="F2590" s="139"/>
      <c r="G2590" s="112" t="s">
        <v>22</v>
      </c>
      <c r="H2590" s="111">
        <v>1</v>
      </c>
      <c r="I2590" s="110">
        <v>1071.43</v>
      </c>
      <c r="J2590" s="110">
        <v>1071.43</v>
      </c>
    </row>
    <row r="2591" spans="1:10" ht="24" customHeight="1" x14ac:dyDescent="0.2">
      <c r="A2591" s="113" t="s">
        <v>1859</v>
      </c>
      <c r="B2591" s="114" t="s">
        <v>1866</v>
      </c>
      <c r="C2591" s="113" t="s">
        <v>20</v>
      </c>
      <c r="D2591" s="113" t="s">
        <v>1865</v>
      </c>
      <c r="E2591" s="139" t="s">
        <v>1860</v>
      </c>
      <c r="F2591" s="139"/>
      <c r="G2591" s="112" t="s">
        <v>1864</v>
      </c>
      <c r="H2591" s="111">
        <v>1.2995000000000001</v>
      </c>
      <c r="I2591" s="110">
        <v>15.97</v>
      </c>
      <c r="J2591" s="110">
        <v>20.75</v>
      </c>
    </row>
    <row r="2592" spans="1:10" ht="24" customHeight="1" x14ac:dyDescent="0.2">
      <c r="A2592" s="113" t="s">
        <v>1859</v>
      </c>
      <c r="B2592" s="114" t="s">
        <v>1872</v>
      </c>
      <c r="C2592" s="113" t="s">
        <v>20</v>
      </c>
      <c r="D2592" s="113" t="s">
        <v>1871</v>
      </c>
      <c r="E2592" s="139" t="s">
        <v>1860</v>
      </c>
      <c r="F2592" s="139"/>
      <c r="G2592" s="112" t="s">
        <v>1864</v>
      </c>
      <c r="H2592" s="111">
        <v>0.99950000000000006</v>
      </c>
      <c r="I2592" s="110">
        <v>10.62</v>
      </c>
      <c r="J2592" s="110">
        <v>10.61</v>
      </c>
    </row>
    <row r="2593" spans="1:10" x14ac:dyDescent="0.2">
      <c r="A2593" s="109"/>
      <c r="B2593" s="109"/>
      <c r="C2593" s="109"/>
      <c r="D2593" s="109"/>
      <c r="E2593" s="109" t="s">
        <v>1858</v>
      </c>
      <c r="F2593" s="108">
        <v>31.36</v>
      </c>
      <c r="G2593" s="109" t="s">
        <v>1857</v>
      </c>
      <c r="H2593" s="108">
        <v>0</v>
      </c>
      <c r="I2593" s="109" t="s">
        <v>1856</v>
      </c>
      <c r="J2593" s="108">
        <v>31.36</v>
      </c>
    </row>
    <row r="2594" spans="1:10" ht="13.9" customHeight="1" x14ac:dyDescent="0.2">
      <c r="A2594" s="109"/>
      <c r="B2594" s="109"/>
      <c r="C2594" s="109"/>
      <c r="D2594" s="109"/>
      <c r="E2594" s="109" t="s">
        <v>1855</v>
      </c>
      <c r="F2594" s="108">
        <v>294.20585999999997</v>
      </c>
      <c r="G2594" s="109"/>
      <c r="H2594" s="140" t="s">
        <v>1854</v>
      </c>
      <c r="I2594" s="140"/>
      <c r="J2594" s="108">
        <v>1402.33</v>
      </c>
    </row>
    <row r="2595" spans="1:10" ht="30" customHeight="1" thickBot="1" x14ac:dyDescent="0.25">
      <c r="A2595" s="100"/>
      <c r="B2595" s="100"/>
      <c r="C2595" s="100"/>
      <c r="D2595" s="100"/>
      <c r="E2595" s="100"/>
      <c r="F2595" s="100"/>
      <c r="G2595" s="100" t="s">
        <v>1853</v>
      </c>
      <c r="H2595" s="107">
        <v>1.47</v>
      </c>
      <c r="I2595" s="100" t="s">
        <v>1852</v>
      </c>
      <c r="J2595" s="102">
        <v>2061.4299999999998</v>
      </c>
    </row>
    <row r="2596" spans="1:10" ht="1.1499999999999999" customHeight="1" thickTop="1" x14ac:dyDescent="0.2">
      <c r="A2596" s="106"/>
      <c r="B2596" s="106"/>
      <c r="C2596" s="106"/>
      <c r="D2596" s="106"/>
      <c r="E2596" s="106"/>
      <c r="F2596" s="106"/>
      <c r="G2596" s="106"/>
      <c r="H2596" s="106"/>
      <c r="I2596" s="106"/>
      <c r="J2596" s="106"/>
    </row>
    <row r="2597" spans="1:10" ht="18" customHeight="1" x14ac:dyDescent="0.2">
      <c r="A2597" s="117" t="s">
        <v>642</v>
      </c>
      <c r="B2597" s="126" t="s">
        <v>5</v>
      </c>
      <c r="C2597" s="117" t="s">
        <v>6</v>
      </c>
      <c r="D2597" s="117" t="s">
        <v>7</v>
      </c>
      <c r="E2597" s="136" t="s">
        <v>1113</v>
      </c>
      <c r="F2597" s="136"/>
      <c r="G2597" s="7" t="s">
        <v>8</v>
      </c>
      <c r="H2597" s="126" t="s">
        <v>9</v>
      </c>
      <c r="I2597" s="126" t="s">
        <v>10</v>
      </c>
      <c r="J2597" s="126" t="s">
        <v>12</v>
      </c>
    </row>
    <row r="2598" spans="1:10" ht="24" customHeight="1" x14ac:dyDescent="0.2">
      <c r="A2598" s="116" t="s">
        <v>1861</v>
      </c>
      <c r="B2598" s="1" t="s">
        <v>638</v>
      </c>
      <c r="C2598" s="116" t="s">
        <v>20</v>
      </c>
      <c r="D2598" s="116" t="s">
        <v>643</v>
      </c>
      <c r="E2598" s="137">
        <v>18</v>
      </c>
      <c r="F2598" s="137"/>
      <c r="G2598" s="2" t="s">
        <v>22</v>
      </c>
      <c r="H2598" s="115">
        <v>1</v>
      </c>
      <c r="I2598" s="61">
        <v>1108.1199999999999</v>
      </c>
      <c r="J2598" s="61">
        <v>1108.1199999999999</v>
      </c>
    </row>
    <row r="2599" spans="1:10" ht="24" customHeight="1" x14ac:dyDescent="0.2">
      <c r="A2599" s="113" t="s">
        <v>1859</v>
      </c>
      <c r="B2599" s="114" t="s">
        <v>1899</v>
      </c>
      <c r="C2599" s="113" t="s">
        <v>20</v>
      </c>
      <c r="D2599" s="113" t="s">
        <v>1898</v>
      </c>
      <c r="E2599" s="139" t="s">
        <v>1369</v>
      </c>
      <c r="F2599" s="139"/>
      <c r="G2599" s="112" t="s">
        <v>49</v>
      </c>
      <c r="H2599" s="111">
        <v>1.43E-2</v>
      </c>
      <c r="I2599" s="110">
        <v>162.78</v>
      </c>
      <c r="J2599" s="110">
        <v>2.33</v>
      </c>
    </row>
    <row r="2600" spans="1:10" ht="24" customHeight="1" x14ac:dyDescent="0.2">
      <c r="A2600" s="113" t="s">
        <v>1859</v>
      </c>
      <c r="B2600" s="114" t="s">
        <v>1897</v>
      </c>
      <c r="C2600" s="113" t="s">
        <v>20</v>
      </c>
      <c r="D2600" s="113" t="s">
        <v>1896</v>
      </c>
      <c r="E2600" s="139" t="s">
        <v>1369</v>
      </c>
      <c r="F2600" s="139"/>
      <c r="G2600" s="112" t="s">
        <v>96</v>
      </c>
      <c r="H2600" s="111">
        <v>5</v>
      </c>
      <c r="I2600" s="110">
        <v>0.6</v>
      </c>
      <c r="J2600" s="110">
        <v>3</v>
      </c>
    </row>
    <row r="2601" spans="1:10" ht="24" customHeight="1" x14ac:dyDescent="0.2">
      <c r="A2601" s="113" t="s">
        <v>1859</v>
      </c>
      <c r="B2601" s="114" t="s">
        <v>2100</v>
      </c>
      <c r="C2601" s="113" t="s">
        <v>20</v>
      </c>
      <c r="D2601" s="113" t="s">
        <v>2099</v>
      </c>
      <c r="E2601" s="139" t="s">
        <v>1369</v>
      </c>
      <c r="F2601" s="139"/>
      <c r="G2601" s="112" t="s">
        <v>22</v>
      </c>
      <c r="H2601" s="111">
        <v>1</v>
      </c>
      <c r="I2601" s="110">
        <v>1071.43</v>
      </c>
      <c r="J2601" s="110">
        <v>1071.43</v>
      </c>
    </row>
    <row r="2602" spans="1:10" ht="24" customHeight="1" x14ac:dyDescent="0.2">
      <c r="A2602" s="113" t="s">
        <v>1859</v>
      </c>
      <c r="B2602" s="114" t="s">
        <v>1866</v>
      </c>
      <c r="C2602" s="113" t="s">
        <v>20</v>
      </c>
      <c r="D2602" s="113" t="s">
        <v>1865</v>
      </c>
      <c r="E2602" s="139" t="s">
        <v>1860</v>
      </c>
      <c r="F2602" s="139"/>
      <c r="G2602" s="112" t="s">
        <v>1864</v>
      </c>
      <c r="H2602" s="111">
        <v>1.2995000000000001</v>
      </c>
      <c r="I2602" s="110">
        <v>15.97</v>
      </c>
      <c r="J2602" s="110">
        <v>20.75</v>
      </c>
    </row>
    <row r="2603" spans="1:10" ht="24" customHeight="1" x14ac:dyDescent="0.2">
      <c r="A2603" s="113" t="s">
        <v>1859</v>
      </c>
      <c r="B2603" s="114" t="s">
        <v>1872</v>
      </c>
      <c r="C2603" s="113" t="s">
        <v>20</v>
      </c>
      <c r="D2603" s="113" t="s">
        <v>1871</v>
      </c>
      <c r="E2603" s="139" t="s">
        <v>1860</v>
      </c>
      <c r="F2603" s="139"/>
      <c r="G2603" s="112" t="s">
        <v>1864</v>
      </c>
      <c r="H2603" s="111">
        <v>0.99950000000000006</v>
      </c>
      <c r="I2603" s="110">
        <v>10.62</v>
      </c>
      <c r="J2603" s="110">
        <v>10.61</v>
      </c>
    </row>
    <row r="2604" spans="1:10" x14ac:dyDescent="0.2">
      <c r="A2604" s="109"/>
      <c r="B2604" s="109"/>
      <c r="C2604" s="109"/>
      <c r="D2604" s="109"/>
      <c r="E2604" s="109" t="s">
        <v>1858</v>
      </c>
      <c r="F2604" s="108">
        <v>31.36</v>
      </c>
      <c r="G2604" s="109" t="s">
        <v>1857</v>
      </c>
      <c r="H2604" s="108">
        <v>0</v>
      </c>
      <c r="I2604" s="109" t="s">
        <v>1856</v>
      </c>
      <c r="J2604" s="108">
        <v>31.36</v>
      </c>
    </row>
    <row r="2605" spans="1:10" ht="13.9" customHeight="1" x14ac:dyDescent="0.2">
      <c r="A2605" s="109"/>
      <c r="B2605" s="109"/>
      <c r="C2605" s="109"/>
      <c r="D2605" s="109"/>
      <c r="E2605" s="109" t="s">
        <v>1855</v>
      </c>
      <c r="F2605" s="108">
        <v>294.20585999999997</v>
      </c>
      <c r="G2605" s="109"/>
      <c r="H2605" s="140" t="s">
        <v>1854</v>
      </c>
      <c r="I2605" s="140"/>
      <c r="J2605" s="108">
        <v>1402.33</v>
      </c>
    </row>
    <row r="2606" spans="1:10" ht="30" customHeight="1" thickBot="1" x14ac:dyDescent="0.25">
      <c r="A2606" s="100"/>
      <c r="B2606" s="100"/>
      <c r="C2606" s="100"/>
      <c r="D2606" s="100"/>
      <c r="E2606" s="100"/>
      <c r="F2606" s="100"/>
      <c r="G2606" s="100" t="s">
        <v>1853</v>
      </c>
      <c r="H2606" s="107">
        <v>18.48</v>
      </c>
      <c r="I2606" s="100" t="s">
        <v>1852</v>
      </c>
      <c r="J2606" s="102">
        <v>25915.06</v>
      </c>
    </row>
    <row r="2607" spans="1:10" ht="1.1499999999999999" customHeight="1" thickTop="1" x14ac:dyDescent="0.2">
      <c r="A2607" s="106"/>
      <c r="B2607" s="106"/>
      <c r="C2607" s="106"/>
      <c r="D2607" s="106"/>
      <c r="E2607" s="106"/>
      <c r="F2607" s="106"/>
      <c r="G2607" s="106"/>
      <c r="H2607" s="106"/>
      <c r="I2607" s="106"/>
      <c r="J2607" s="106"/>
    </row>
    <row r="2608" spans="1:10" ht="18" customHeight="1" x14ac:dyDescent="0.2">
      <c r="A2608" s="117" t="s">
        <v>644</v>
      </c>
      <c r="B2608" s="126" t="s">
        <v>5</v>
      </c>
      <c r="C2608" s="117" t="s">
        <v>6</v>
      </c>
      <c r="D2608" s="117" t="s">
        <v>7</v>
      </c>
      <c r="E2608" s="136" t="s">
        <v>1113</v>
      </c>
      <c r="F2608" s="136"/>
      <c r="G2608" s="7" t="s">
        <v>8</v>
      </c>
      <c r="H2608" s="126" t="s">
        <v>9</v>
      </c>
      <c r="I2608" s="126" t="s">
        <v>10</v>
      </c>
      <c r="J2608" s="126" t="s">
        <v>12</v>
      </c>
    </row>
    <row r="2609" spans="1:10" ht="24" customHeight="1" x14ac:dyDescent="0.2">
      <c r="A2609" s="116" t="s">
        <v>1861</v>
      </c>
      <c r="B2609" s="1" t="s">
        <v>638</v>
      </c>
      <c r="C2609" s="116" t="s">
        <v>20</v>
      </c>
      <c r="D2609" s="116" t="s">
        <v>645</v>
      </c>
      <c r="E2609" s="137">
        <v>18</v>
      </c>
      <c r="F2609" s="137"/>
      <c r="G2609" s="2" t="s">
        <v>22</v>
      </c>
      <c r="H2609" s="115">
        <v>1</v>
      </c>
      <c r="I2609" s="61">
        <v>1108.1199999999999</v>
      </c>
      <c r="J2609" s="61">
        <v>1108.1199999999999</v>
      </c>
    </row>
    <row r="2610" spans="1:10" ht="24" customHeight="1" x14ac:dyDescent="0.2">
      <c r="A2610" s="113" t="s">
        <v>1859</v>
      </c>
      <c r="B2610" s="114" t="s">
        <v>1899</v>
      </c>
      <c r="C2610" s="113" t="s">
        <v>20</v>
      </c>
      <c r="D2610" s="113" t="s">
        <v>1898</v>
      </c>
      <c r="E2610" s="139" t="s">
        <v>1369</v>
      </c>
      <c r="F2610" s="139"/>
      <c r="G2610" s="112" t="s">
        <v>49</v>
      </c>
      <c r="H2610" s="111">
        <v>1.43E-2</v>
      </c>
      <c r="I2610" s="110">
        <v>162.78</v>
      </c>
      <c r="J2610" s="110">
        <v>2.33</v>
      </c>
    </row>
    <row r="2611" spans="1:10" ht="24" customHeight="1" x14ac:dyDescent="0.2">
      <c r="A2611" s="113" t="s">
        <v>1859</v>
      </c>
      <c r="B2611" s="114" t="s">
        <v>1897</v>
      </c>
      <c r="C2611" s="113" t="s">
        <v>20</v>
      </c>
      <c r="D2611" s="113" t="s">
        <v>1896</v>
      </c>
      <c r="E2611" s="139" t="s">
        <v>1369</v>
      </c>
      <c r="F2611" s="139"/>
      <c r="G2611" s="112" t="s">
        <v>96</v>
      </c>
      <c r="H2611" s="111">
        <v>5</v>
      </c>
      <c r="I2611" s="110">
        <v>0.6</v>
      </c>
      <c r="J2611" s="110">
        <v>3</v>
      </c>
    </row>
    <row r="2612" spans="1:10" ht="24" customHeight="1" x14ac:dyDescent="0.2">
      <c r="A2612" s="113" t="s">
        <v>1859</v>
      </c>
      <c r="B2612" s="114" t="s">
        <v>2100</v>
      </c>
      <c r="C2612" s="113" t="s">
        <v>20</v>
      </c>
      <c r="D2612" s="113" t="s">
        <v>2099</v>
      </c>
      <c r="E2612" s="139" t="s">
        <v>1369</v>
      </c>
      <c r="F2612" s="139"/>
      <c r="G2612" s="112" t="s">
        <v>22</v>
      </c>
      <c r="H2612" s="111">
        <v>1</v>
      </c>
      <c r="I2612" s="110">
        <v>1071.43</v>
      </c>
      <c r="J2612" s="110">
        <v>1071.43</v>
      </c>
    </row>
    <row r="2613" spans="1:10" ht="24" customHeight="1" x14ac:dyDescent="0.2">
      <c r="A2613" s="113" t="s">
        <v>1859</v>
      </c>
      <c r="B2613" s="114" t="s">
        <v>1866</v>
      </c>
      <c r="C2613" s="113" t="s">
        <v>20</v>
      </c>
      <c r="D2613" s="113" t="s">
        <v>1865</v>
      </c>
      <c r="E2613" s="139" t="s">
        <v>1860</v>
      </c>
      <c r="F2613" s="139"/>
      <c r="G2613" s="112" t="s">
        <v>1864</v>
      </c>
      <c r="H2613" s="111">
        <v>1.2995000000000001</v>
      </c>
      <c r="I2613" s="110">
        <v>15.97</v>
      </c>
      <c r="J2613" s="110">
        <v>20.75</v>
      </c>
    </row>
    <row r="2614" spans="1:10" ht="24" customHeight="1" x14ac:dyDescent="0.2">
      <c r="A2614" s="113" t="s">
        <v>1859</v>
      </c>
      <c r="B2614" s="114" t="s">
        <v>1872</v>
      </c>
      <c r="C2614" s="113" t="s">
        <v>20</v>
      </c>
      <c r="D2614" s="113" t="s">
        <v>1871</v>
      </c>
      <c r="E2614" s="139" t="s">
        <v>1860</v>
      </c>
      <c r="F2614" s="139"/>
      <c r="G2614" s="112" t="s">
        <v>1864</v>
      </c>
      <c r="H2614" s="111">
        <v>0.99950000000000006</v>
      </c>
      <c r="I2614" s="110">
        <v>10.62</v>
      </c>
      <c r="J2614" s="110">
        <v>10.61</v>
      </c>
    </row>
    <row r="2615" spans="1:10" x14ac:dyDescent="0.2">
      <c r="A2615" s="109"/>
      <c r="B2615" s="109"/>
      <c r="C2615" s="109"/>
      <c r="D2615" s="109"/>
      <c r="E2615" s="109" t="s">
        <v>1858</v>
      </c>
      <c r="F2615" s="108">
        <v>31.36</v>
      </c>
      <c r="G2615" s="109" t="s">
        <v>1857</v>
      </c>
      <c r="H2615" s="108">
        <v>0</v>
      </c>
      <c r="I2615" s="109" t="s">
        <v>1856</v>
      </c>
      <c r="J2615" s="108">
        <v>31.36</v>
      </c>
    </row>
    <row r="2616" spans="1:10" ht="13.9" customHeight="1" x14ac:dyDescent="0.2">
      <c r="A2616" s="109"/>
      <c r="B2616" s="109"/>
      <c r="C2616" s="109"/>
      <c r="D2616" s="109"/>
      <c r="E2616" s="109" t="s">
        <v>1855</v>
      </c>
      <c r="F2616" s="108">
        <v>294.20585999999997</v>
      </c>
      <c r="G2616" s="109"/>
      <c r="H2616" s="140" t="s">
        <v>1854</v>
      </c>
      <c r="I2616" s="140"/>
      <c r="J2616" s="108">
        <v>1402.33</v>
      </c>
    </row>
    <row r="2617" spans="1:10" ht="30" customHeight="1" thickBot="1" x14ac:dyDescent="0.25">
      <c r="A2617" s="100"/>
      <c r="B2617" s="100"/>
      <c r="C2617" s="100"/>
      <c r="D2617" s="100"/>
      <c r="E2617" s="100"/>
      <c r="F2617" s="100"/>
      <c r="G2617" s="100" t="s">
        <v>1853</v>
      </c>
      <c r="H2617" s="107">
        <v>13.23</v>
      </c>
      <c r="I2617" s="100" t="s">
        <v>1852</v>
      </c>
      <c r="J2617" s="102">
        <v>18552.830000000002</v>
      </c>
    </row>
    <row r="2618" spans="1:10" ht="1.1499999999999999" customHeight="1" thickTop="1" x14ac:dyDescent="0.2">
      <c r="A2618" s="106"/>
      <c r="B2618" s="106"/>
      <c r="C2618" s="106"/>
      <c r="D2618" s="106"/>
      <c r="E2618" s="106"/>
      <c r="F2618" s="106"/>
      <c r="G2618" s="106"/>
      <c r="H2618" s="106"/>
      <c r="I2618" s="106"/>
      <c r="J2618" s="106"/>
    </row>
    <row r="2619" spans="1:10" ht="18" customHeight="1" x14ac:dyDescent="0.2">
      <c r="A2619" s="117" t="s">
        <v>646</v>
      </c>
      <c r="B2619" s="126" t="s">
        <v>5</v>
      </c>
      <c r="C2619" s="117" t="s">
        <v>6</v>
      </c>
      <c r="D2619" s="117" t="s">
        <v>7</v>
      </c>
      <c r="E2619" s="136" t="s">
        <v>1113</v>
      </c>
      <c r="F2619" s="136"/>
      <c r="G2619" s="7" t="s">
        <v>8</v>
      </c>
      <c r="H2619" s="126" t="s">
        <v>9</v>
      </c>
      <c r="I2619" s="126" t="s">
        <v>10</v>
      </c>
      <c r="J2619" s="126" t="s">
        <v>12</v>
      </c>
    </row>
    <row r="2620" spans="1:10" ht="24" customHeight="1" x14ac:dyDescent="0.2">
      <c r="A2620" s="116" t="s">
        <v>1861</v>
      </c>
      <c r="B2620" s="1" t="s">
        <v>647</v>
      </c>
      <c r="C2620" s="116" t="s">
        <v>20</v>
      </c>
      <c r="D2620" s="116" t="s">
        <v>648</v>
      </c>
      <c r="E2620" s="137">
        <v>17</v>
      </c>
      <c r="F2620" s="137"/>
      <c r="G2620" s="2" t="s">
        <v>246</v>
      </c>
      <c r="H2620" s="115">
        <v>1</v>
      </c>
      <c r="I2620" s="61">
        <v>751.58</v>
      </c>
      <c r="J2620" s="61">
        <v>751.58</v>
      </c>
    </row>
    <row r="2621" spans="1:10" ht="24" customHeight="1" x14ac:dyDescent="0.2">
      <c r="A2621" s="113" t="s">
        <v>1859</v>
      </c>
      <c r="B2621" s="114" t="s">
        <v>2108</v>
      </c>
      <c r="C2621" s="113" t="s">
        <v>20</v>
      </c>
      <c r="D2621" s="113" t="s">
        <v>2107</v>
      </c>
      <c r="E2621" s="139" t="s">
        <v>1369</v>
      </c>
      <c r="F2621" s="139"/>
      <c r="G2621" s="112" t="s">
        <v>1877</v>
      </c>
      <c r="H2621" s="111">
        <v>2.7930000000000001</v>
      </c>
      <c r="I2621" s="110">
        <v>30.85</v>
      </c>
      <c r="J2621" s="110">
        <v>86.16</v>
      </c>
    </row>
    <row r="2622" spans="1:10" ht="24" customHeight="1" x14ac:dyDescent="0.2">
      <c r="A2622" s="113" t="s">
        <v>1859</v>
      </c>
      <c r="B2622" s="114" t="s">
        <v>2106</v>
      </c>
      <c r="C2622" s="113" t="s">
        <v>20</v>
      </c>
      <c r="D2622" s="113" t="s">
        <v>2105</v>
      </c>
      <c r="E2622" s="139" t="s">
        <v>1369</v>
      </c>
      <c r="F2622" s="139"/>
      <c r="G2622" s="112" t="s">
        <v>22</v>
      </c>
      <c r="H2622" s="111">
        <v>7.7</v>
      </c>
      <c r="I2622" s="110">
        <v>37.07</v>
      </c>
      <c r="J2622" s="110">
        <v>285.44</v>
      </c>
    </row>
    <row r="2623" spans="1:10" ht="24" customHeight="1" x14ac:dyDescent="0.2">
      <c r="A2623" s="113" t="s">
        <v>1859</v>
      </c>
      <c r="B2623" s="114" t="s">
        <v>2110</v>
      </c>
      <c r="C2623" s="113" t="s">
        <v>20</v>
      </c>
      <c r="D2623" s="113" t="s">
        <v>2109</v>
      </c>
      <c r="E2623" s="139" t="s">
        <v>1369</v>
      </c>
      <c r="F2623" s="139"/>
      <c r="G2623" s="112" t="s">
        <v>246</v>
      </c>
      <c r="H2623" s="111">
        <v>1</v>
      </c>
      <c r="I2623" s="110">
        <v>308.83</v>
      </c>
      <c r="J2623" s="110">
        <v>308.83</v>
      </c>
    </row>
    <row r="2624" spans="1:10" ht="24" customHeight="1" x14ac:dyDescent="0.2">
      <c r="A2624" s="113" t="s">
        <v>1859</v>
      </c>
      <c r="B2624" s="114" t="s">
        <v>1872</v>
      </c>
      <c r="C2624" s="113" t="s">
        <v>20</v>
      </c>
      <c r="D2624" s="113" t="s">
        <v>1871</v>
      </c>
      <c r="E2624" s="139" t="s">
        <v>1860</v>
      </c>
      <c r="F2624" s="139"/>
      <c r="G2624" s="112" t="s">
        <v>1864</v>
      </c>
      <c r="H2624" s="111">
        <v>8.3299999999999999E-2</v>
      </c>
      <c r="I2624" s="110">
        <v>10.62</v>
      </c>
      <c r="J2624" s="110">
        <v>0.88</v>
      </c>
    </row>
    <row r="2625" spans="1:10" ht="24" customHeight="1" x14ac:dyDescent="0.2">
      <c r="A2625" s="113" t="s">
        <v>1859</v>
      </c>
      <c r="B2625" s="114" t="s">
        <v>2060</v>
      </c>
      <c r="C2625" s="113" t="s">
        <v>20</v>
      </c>
      <c r="D2625" s="113" t="s">
        <v>2059</v>
      </c>
      <c r="E2625" s="139" t="s">
        <v>1860</v>
      </c>
      <c r="F2625" s="139"/>
      <c r="G2625" s="112" t="s">
        <v>1864</v>
      </c>
      <c r="H2625" s="111">
        <v>4.4000000000000004</v>
      </c>
      <c r="I2625" s="110">
        <v>15.97</v>
      </c>
      <c r="J2625" s="110">
        <v>70.27</v>
      </c>
    </row>
    <row r="2626" spans="1:10" x14ac:dyDescent="0.2">
      <c r="A2626" s="109"/>
      <c r="B2626" s="109"/>
      <c r="C2626" s="109"/>
      <c r="D2626" s="109"/>
      <c r="E2626" s="109" t="s">
        <v>1858</v>
      </c>
      <c r="F2626" s="108">
        <v>71.150000000000006</v>
      </c>
      <c r="G2626" s="109" t="s">
        <v>1857</v>
      </c>
      <c r="H2626" s="108">
        <v>0</v>
      </c>
      <c r="I2626" s="109" t="s">
        <v>1856</v>
      </c>
      <c r="J2626" s="108">
        <v>71.150000000000006</v>
      </c>
    </row>
    <row r="2627" spans="1:10" ht="13.9" customHeight="1" x14ac:dyDescent="0.2">
      <c r="A2627" s="109"/>
      <c r="B2627" s="109"/>
      <c r="C2627" s="109"/>
      <c r="D2627" s="109"/>
      <c r="E2627" s="109" t="s">
        <v>1855</v>
      </c>
      <c r="F2627" s="108">
        <v>199.54449</v>
      </c>
      <c r="G2627" s="109"/>
      <c r="H2627" s="140" t="s">
        <v>1854</v>
      </c>
      <c r="I2627" s="140"/>
      <c r="J2627" s="108">
        <v>951.12</v>
      </c>
    </row>
    <row r="2628" spans="1:10" ht="30" customHeight="1" thickBot="1" x14ac:dyDescent="0.25">
      <c r="A2628" s="100"/>
      <c r="B2628" s="100"/>
      <c r="C2628" s="100"/>
      <c r="D2628" s="100"/>
      <c r="E2628" s="100"/>
      <c r="F2628" s="100"/>
      <c r="G2628" s="100" t="s">
        <v>1853</v>
      </c>
      <c r="H2628" s="107">
        <v>11</v>
      </c>
      <c r="I2628" s="100" t="s">
        <v>1852</v>
      </c>
      <c r="J2628" s="102">
        <v>10462.32</v>
      </c>
    </row>
    <row r="2629" spans="1:10" ht="1.1499999999999999" customHeight="1" thickTop="1" x14ac:dyDescent="0.2">
      <c r="A2629" s="106"/>
      <c r="B2629" s="106"/>
      <c r="C2629" s="106"/>
      <c r="D2629" s="106"/>
      <c r="E2629" s="106"/>
      <c r="F2629" s="106"/>
      <c r="G2629" s="106"/>
      <c r="H2629" s="106"/>
      <c r="I2629" s="106"/>
      <c r="J2629" s="106"/>
    </row>
    <row r="2630" spans="1:10" ht="18" customHeight="1" x14ac:dyDescent="0.2">
      <c r="A2630" s="117" t="s">
        <v>649</v>
      </c>
      <c r="B2630" s="126" t="s">
        <v>5</v>
      </c>
      <c r="C2630" s="117" t="s">
        <v>6</v>
      </c>
      <c r="D2630" s="117" t="s">
        <v>7</v>
      </c>
      <c r="E2630" s="136" t="s">
        <v>1113</v>
      </c>
      <c r="F2630" s="136"/>
      <c r="G2630" s="7" t="s">
        <v>8</v>
      </c>
      <c r="H2630" s="126" t="s">
        <v>9</v>
      </c>
      <c r="I2630" s="126" t="s">
        <v>10</v>
      </c>
      <c r="J2630" s="126" t="s">
        <v>12</v>
      </c>
    </row>
    <row r="2631" spans="1:10" ht="24" customHeight="1" x14ac:dyDescent="0.2">
      <c r="A2631" s="116" t="s">
        <v>1861</v>
      </c>
      <c r="B2631" s="1" t="s">
        <v>647</v>
      </c>
      <c r="C2631" s="116" t="s">
        <v>20</v>
      </c>
      <c r="D2631" s="116" t="s">
        <v>650</v>
      </c>
      <c r="E2631" s="137">
        <v>17</v>
      </c>
      <c r="F2631" s="137"/>
      <c r="G2631" s="2" t="s">
        <v>246</v>
      </c>
      <c r="H2631" s="115">
        <v>1</v>
      </c>
      <c r="I2631" s="61">
        <v>751.58</v>
      </c>
      <c r="J2631" s="61">
        <v>751.58</v>
      </c>
    </row>
    <row r="2632" spans="1:10" ht="24" customHeight="1" x14ac:dyDescent="0.2">
      <c r="A2632" s="113" t="s">
        <v>1859</v>
      </c>
      <c r="B2632" s="114" t="s">
        <v>2108</v>
      </c>
      <c r="C2632" s="113" t="s">
        <v>20</v>
      </c>
      <c r="D2632" s="113" t="s">
        <v>2107</v>
      </c>
      <c r="E2632" s="139" t="s">
        <v>1369</v>
      </c>
      <c r="F2632" s="139"/>
      <c r="G2632" s="112" t="s">
        <v>1877</v>
      </c>
      <c r="H2632" s="111">
        <v>2.7930000000000001</v>
      </c>
      <c r="I2632" s="110">
        <v>30.85</v>
      </c>
      <c r="J2632" s="110">
        <v>86.16</v>
      </c>
    </row>
    <row r="2633" spans="1:10" ht="24" customHeight="1" x14ac:dyDescent="0.2">
      <c r="A2633" s="113" t="s">
        <v>1859</v>
      </c>
      <c r="B2633" s="114" t="s">
        <v>2106</v>
      </c>
      <c r="C2633" s="113" t="s">
        <v>20</v>
      </c>
      <c r="D2633" s="113" t="s">
        <v>2105</v>
      </c>
      <c r="E2633" s="139" t="s">
        <v>1369</v>
      </c>
      <c r="F2633" s="139"/>
      <c r="G2633" s="112" t="s">
        <v>22</v>
      </c>
      <c r="H2633" s="111">
        <v>7.7</v>
      </c>
      <c r="I2633" s="110">
        <v>37.07</v>
      </c>
      <c r="J2633" s="110">
        <v>285.44</v>
      </c>
    </row>
    <row r="2634" spans="1:10" ht="24" customHeight="1" x14ac:dyDescent="0.2">
      <c r="A2634" s="113" t="s">
        <v>1859</v>
      </c>
      <c r="B2634" s="114" t="s">
        <v>2110</v>
      </c>
      <c r="C2634" s="113" t="s">
        <v>20</v>
      </c>
      <c r="D2634" s="113" t="s">
        <v>2109</v>
      </c>
      <c r="E2634" s="139" t="s">
        <v>1369</v>
      </c>
      <c r="F2634" s="139"/>
      <c r="G2634" s="112" t="s">
        <v>246</v>
      </c>
      <c r="H2634" s="111">
        <v>1</v>
      </c>
      <c r="I2634" s="110">
        <v>308.83</v>
      </c>
      <c r="J2634" s="110">
        <v>308.83</v>
      </c>
    </row>
    <row r="2635" spans="1:10" ht="24" customHeight="1" x14ac:dyDescent="0.2">
      <c r="A2635" s="113" t="s">
        <v>1859</v>
      </c>
      <c r="B2635" s="114" t="s">
        <v>1872</v>
      </c>
      <c r="C2635" s="113" t="s">
        <v>20</v>
      </c>
      <c r="D2635" s="113" t="s">
        <v>1871</v>
      </c>
      <c r="E2635" s="139" t="s">
        <v>1860</v>
      </c>
      <c r="F2635" s="139"/>
      <c r="G2635" s="112" t="s">
        <v>1864</v>
      </c>
      <c r="H2635" s="111">
        <v>8.3299999999999999E-2</v>
      </c>
      <c r="I2635" s="110">
        <v>10.62</v>
      </c>
      <c r="J2635" s="110">
        <v>0.88</v>
      </c>
    </row>
    <row r="2636" spans="1:10" ht="24" customHeight="1" x14ac:dyDescent="0.2">
      <c r="A2636" s="113" t="s">
        <v>1859</v>
      </c>
      <c r="B2636" s="114" t="s">
        <v>2060</v>
      </c>
      <c r="C2636" s="113" t="s">
        <v>20</v>
      </c>
      <c r="D2636" s="113" t="s">
        <v>2059</v>
      </c>
      <c r="E2636" s="139" t="s">
        <v>1860</v>
      </c>
      <c r="F2636" s="139"/>
      <c r="G2636" s="112" t="s">
        <v>1864</v>
      </c>
      <c r="H2636" s="111">
        <v>4.4000000000000004</v>
      </c>
      <c r="I2636" s="110">
        <v>15.97</v>
      </c>
      <c r="J2636" s="110">
        <v>70.27</v>
      </c>
    </row>
    <row r="2637" spans="1:10" x14ac:dyDescent="0.2">
      <c r="A2637" s="109"/>
      <c r="B2637" s="109"/>
      <c r="C2637" s="109"/>
      <c r="D2637" s="109"/>
      <c r="E2637" s="109" t="s">
        <v>1858</v>
      </c>
      <c r="F2637" s="108">
        <v>71.150000000000006</v>
      </c>
      <c r="G2637" s="109" t="s">
        <v>1857</v>
      </c>
      <c r="H2637" s="108">
        <v>0</v>
      </c>
      <c r="I2637" s="109" t="s">
        <v>1856</v>
      </c>
      <c r="J2637" s="108">
        <v>71.150000000000006</v>
      </c>
    </row>
    <row r="2638" spans="1:10" ht="13.9" customHeight="1" x14ac:dyDescent="0.2">
      <c r="A2638" s="109"/>
      <c r="B2638" s="109"/>
      <c r="C2638" s="109"/>
      <c r="D2638" s="109"/>
      <c r="E2638" s="109" t="s">
        <v>1855</v>
      </c>
      <c r="F2638" s="108">
        <v>199.54449</v>
      </c>
      <c r="G2638" s="109"/>
      <c r="H2638" s="140" t="s">
        <v>1854</v>
      </c>
      <c r="I2638" s="140"/>
      <c r="J2638" s="108">
        <v>951.12</v>
      </c>
    </row>
    <row r="2639" spans="1:10" ht="30" customHeight="1" thickBot="1" x14ac:dyDescent="0.25">
      <c r="A2639" s="100"/>
      <c r="B2639" s="100"/>
      <c r="C2639" s="100"/>
      <c r="D2639" s="100"/>
      <c r="E2639" s="100"/>
      <c r="F2639" s="100"/>
      <c r="G2639" s="100" t="s">
        <v>1853</v>
      </c>
      <c r="H2639" s="107">
        <v>1</v>
      </c>
      <c r="I2639" s="100" t="s">
        <v>1852</v>
      </c>
      <c r="J2639" s="102">
        <v>951.12</v>
      </c>
    </row>
    <row r="2640" spans="1:10" ht="1.1499999999999999" customHeight="1" thickTop="1" x14ac:dyDescent="0.2">
      <c r="A2640" s="106"/>
      <c r="B2640" s="106"/>
      <c r="C2640" s="106"/>
      <c r="D2640" s="106"/>
      <c r="E2640" s="106"/>
      <c r="F2640" s="106"/>
      <c r="G2640" s="106"/>
      <c r="H2640" s="106"/>
      <c r="I2640" s="106"/>
      <c r="J2640" s="106"/>
    </row>
    <row r="2641" spans="1:10" ht="18" customHeight="1" x14ac:dyDescent="0.2">
      <c r="A2641" s="117" t="s">
        <v>651</v>
      </c>
      <c r="B2641" s="126" t="s">
        <v>5</v>
      </c>
      <c r="C2641" s="117" t="s">
        <v>6</v>
      </c>
      <c r="D2641" s="117" t="s">
        <v>7</v>
      </c>
      <c r="E2641" s="136" t="s">
        <v>1113</v>
      </c>
      <c r="F2641" s="136"/>
      <c r="G2641" s="7" t="s">
        <v>8</v>
      </c>
      <c r="H2641" s="126" t="s">
        <v>9</v>
      </c>
      <c r="I2641" s="126" t="s">
        <v>10</v>
      </c>
      <c r="J2641" s="126" t="s">
        <v>12</v>
      </c>
    </row>
    <row r="2642" spans="1:10" ht="24" customHeight="1" x14ac:dyDescent="0.2">
      <c r="A2642" s="116" t="s">
        <v>1861</v>
      </c>
      <c r="B2642" s="1" t="s">
        <v>652</v>
      </c>
      <c r="C2642" s="116" t="s">
        <v>20</v>
      </c>
      <c r="D2642" s="116" t="s">
        <v>653</v>
      </c>
      <c r="E2642" s="137">
        <v>17</v>
      </c>
      <c r="F2642" s="137"/>
      <c r="G2642" s="2" t="s">
        <v>246</v>
      </c>
      <c r="H2642" s="115">
        <v>1</v>
      </c>
      <c r="I2642" s="61">
        <v>772.46</v>
      </c>
      <c r="J2642" s="61">
        <v>772.46</v>
      </c>
    </row>
    <row r="2643" spans="1:10" ht="24" customHeight="1" x14ac:dyDescent="0.2">
      <c r="A2643" s="113" t="s">
        <v>1859</v>
      </c>
      <c r="B2643" s="114" t="s">
        <v>2108</v>
      </c>
      <c r="C2643" s="113" t="s">
        <v>20</v>
      </c>
      <c r="D2643" s="113" t="s">
        <v>2107</v>
      </c>
      <c r="E2643" s="139" t="s">
        <v>1369</v>
      </c>
      <c r="F2643" s="139"/>
      <c r="G2643" s="112" t="s">
        <v>1877</v>
      </c>
      <c r="H2643" s="111">
        <v>3.0918999999999999</v>
      </c>
      <c r="I2643" s="110">
        <v>30.85</v>
      </c>
      <c r="J2643" s="110">
        <v>95.39</v>
      </c>
    </row>
    <row r="2644" spans="1:10" ht="24" customHeight="1" x14ac:dyDescent="0.2">
      <c r="A2644" s="113" t="s">
        <v>1859</v>
      </c>
      <c r="B2644" s="114" t="s">
        <v>2106</v>
      </c>
      <c r="C2644" s="113" t="s">
        <v>20</v>
      </c>
      <c r="D2644" s="113" t="s">
        <v>2105</v>
      </c>
      <c r="E2644" s="139" t="s">
        <v>1369</v>
      </c>
      <c r="F2644" s="139"/>
      <c r="G2644" s="112" t="s">
        <v>22</v>
      </c>
      <c r="H2644" s="111">
        <v>7.7</v>
      </c>
      <c r="I2644" s="110">
        <v>37.07</v>
      </c>
      <c r="J2644" s="110">
        <v>285.44</v>
      </c>
    </row>
    <row r="2645" spans="1:10" ht="24" customHeight="1" x14ac:dyDescent="0.2">
      <c r="A2645" s="113" t="s">
        <v>1859</v>
      </c>
      <c r="B2645" s="114" t="s">
        <v>2112</v>
      </c>
      <c r="C2645" s="113" t="s">
        <v>20</v>
      </c>
      <c r="D2645" s="113" t="s">
        <v>2111</v>
      </c>
      <c r="E2645" s="139" t="s">
        <v>1369</v>
      </c>
      <c r="F2645" s="139"/>
      <c r="G2645" s="112" t="s">
        <v>246</v>
      </c>
      <c r="H2645" s="111">
        <v>1</v>
      </c>
      <c r="I2645" s="110">
        <v>320.48</v>
      </c>
      <c r="J2645" s="110">
        <v>320.48</v>
      </c>
    </row>
    <row r="2646" spans="1:10" ht="24" customHeight="1" x14ac:dyDescent="0.2">
      <c r="A2646" s="113" t="s">
        <v>1859</v>
      </c>
      <c r="B2646" s="114" t="s">
        <v>1872</v>
      </c>
      <c r="C2646" s="113" t="s">
        <v>20</v>
      </c>
      <c r="D2646" s="113" t="s">
        <v>1871</v>
      </c>
      <c r="E2646" s="139" t="s">
        <v>1860</v>
      </c>
      <c r="F2646" s="139"/>
      <c r="G2646" s="112" t="s">
        <v>1864</v>
      </c>
      <c r="H2646" s="111">
        <v>8.3299999999999999E-2</v>
      </c>
      <c r="I2646" s="110">
        <v>10.62</v>
      </c>
      <c r="J2646" s="110">
        <v>0.88</v>
      </c>
    </row>
    <row r="2647" spans="1:10" ht="24" customHeight="1" x14ac:dyDescent="0.2">
      <c r="A2647" s="113" t="s">
        <v>1859</v>
      </c>
      <c r="B2647" s="114" t="s">
        <v>2060</v>
      </c>
      <c r="C2647" s="113" t="s">
        <v>20</v>
      </c>
      <c r="D2647" s="113" t="s">
        <v>2059</v>
      </c>
      <c r="E2647" s="139" t="s">
        <v>1860</v>
      </c>
      <c r="F2647" s="139"/>
      <c r="G2647" s="112" t="s">
        <v>1864</v>
      </c>
      <c r="H2647" s="111">
        <v>4.4000000000000004</v>
      </c>
      <c r="I2647" s="110">
        <v>15.97</v>
      </c>
      <c r="J2647" s="110">
        <v>70.27</v>
      </c>
    </row>
    <row r="2648" spans="1:10" x14ac:dyDescent="0.2">
      <c r="A2648" s="109"/>
      <c r="B2648" s="109"/>
      <c r="C2648" s="109"/>
      <c r="D2648" s="109"/>
      <c r="E2648" s="109" t="s">
        <v>1858</v>
      </c>
      <c r="F2648" s="108">
        <v>71.150000000000006</v>
      </c>
      <c r="G2648" s="109" t="s">
        <v>1857</v>
      </c>
      <c r="H2648" s="108">
        <v>0</v>
      </c>
      <c r="I2648" s="109" t="s">
        <v>1856</v>
      </c>
      <c r="J2648" s="108">
        <v>71.150000000000006</v>
      </c>
    </row>
    <row r="2649" spans="1:10" ht="13.9" customHeight="1" x14ac:dyDescent="0.2">
      <c r="A2649" s="109"/>
      <c r="B2649" s="109"/>
      <c r="C2649" s="109"/>
      <c r="D2649" s="109"/>
      <c r="E2649" s="109" t="s">
        <v>1855</v>
      </c>
      <c r="F2649" s="108">
        <v>205.08813000000001</v>
      </c>
      <c r="G2649" s="109"/>
      <c r="H2649" s="140" t="s">
        <v>1854</v>
      </c>
      <c r="I2649" s="140"/>
      <c r="J2649" s="108">
        <v>977.55</v>
      </c>
    </row>
    <row r="2650" spans="1:10" ht="30" customHeight="1" thickBot="1" x14ac:dyDescent="0.25">
      <c r="A2650" s="100"/>
      <c r="B2650" s="100"/>
      <c r="C2650" s="100"/>
      <c r="D2650" s="100"/>
      <c r="E2650" s="100"/>
      <c r="F2650" s="100"/>
      <c r="G2650" s="100" t="s">
        <v>1853</v>
      </c>
      <c r="H2650" s="107">
        <v>3</v>
      </c>
      <c r="I2650" s="100" t="s">
        <v>1852</v>
      </c>
      <c r="J2650" s="102">
        <v>2932.65</v>
      </c>
    </row>
    <row r="2651" spans="1:10" ht="1.1499999999999999" customHeight="1" thickTop="1" x14ac:dyDescent="0.2">
      <c r="A2651" s="106"/>
      <c r="B2651" s="106"/>
      <c r="C2651" s="106"/>
      <c r="D2651" s="106"/>
      <c r="E2651" s="106"/>
      <c r="F2651" s="106"/>
      <c r="G2651" s="106"/>
      <c r="H2651" s="106"/>
      <c r="I2651" s="106"/>
      <c r="J2651" s="106"/>
    </row>
    <row r="2652" spans="1:10" ht="18" customHeight="1" x14ac:dyDescent="0.2">
      <c r="A2652" s="117" t="s">
        <v>654</v>
      </c>
      <c r="B2652" s="126" t="s">
        <v>5</v>
      </c>
      <c r="C2652" s="117" t="s">
        <v>6</v>
      </c>
      <c r="D2652" s="117" t="s">
        <v>7</v>
      </c>
      <c r="E2652" s="136" t="s">
        <v>1113</v>
      </c>
      <c r="F2652" s="136"/>
      <c r="G2652" s="7" t="s">
        <v>8</v>
      </c>
      <c r="H2652" s="126" t="s">
        <v>9</v>
      </c>
      <c r="I2652" s="126" t="s">
        <v>10</v>
      </c>
      <c r="J2652" s="126" t="s">
        <v>12</v>
      </c>
    </row>
    <row r="2653" spans="1:10" ht="24" customHeight="1" x14ac:dyDescent="0.2">
      <c r="A2653" s="116" t="s">
        <v>1861</v>
      </c>
      <c r="B2653" s="1" t="s">
        <v>652</v>
      </c>
      <c r="C2653" s="116" t="s">
        <v>20</v>
      </c>
      <c r="D2653" s="116" t="s">
        <v>655</v>
      </c>
      <c r="E2653" s="137">
        <v>17</v>
      </c>
      <c r="F2653" s="137"/>
      <c r="G2653" s="2" t="s">
        <v>246</v>
      </c>
      <c r="H2653" s="115">
        <v>1</v>
      </c>
      <c r="I2653" s="61">
        <v>772.46</v>
      </c>
      <c r="J2653" s="61">
        <v>772.46</v>
      </c>
    </row>
    <row r="2654" spans="1:10" ht="24" customHeight="1" x14ac:dyDescent="0.2">
      <c r="A2654" s="113" t="s">
        <v>1859</v>
      </c>
      <c r="B2654" s="114" t="s">
        <v>2108</v>
      </c>
      <c r="C2654" s="113" t="s">
        <v>20</v>
      </c>
      <c r="D2654" s="113" t="s">
        <v>2107</v>
      </c>
      <c r="E2654" s="139" t="s">
        <v>1369</v>
      </c>
      <c r="F2654" s="139"/>
      <c r="G2654" s="112" t="s">
        <v>1877</v>
      </c>
      <c r="H2654" s="111">
        <v>3.0918999999999999</v>
      </c>
      <c r="I2654" s="110">
        <v>30.85</v>
      </c>
      <c r="J2654" s="110">
        <v>95.39</v>
      </c>
    </row>
    <row r="2655" spans="1:10" ht="24" customHeight="1" x14ac:dyDescent="0.2">
      <c r="A2655" s="113" t="s">
        <v>1859</v>
      </c>
      <c r="B2655" s="114" t="s">
        <v>2106</v>
      </c>
      <c r="C2655" s="113" t="s">
        <v>20</v>
      </c>
      <c r="D2655" s="113" t="s">
        <v>2105</v>
      </c>
      <c r="E2655" s="139" t="s">
        <v>1369</v>
      </c>
      <c r="F2655" s="139"/>
      <c r="G2655" s="112" t="s">
        <v>22</v>
      </c>
      <c r="H2655" s="111">
        <v>7.7</v>
      </c>
      <c r="I2655" s="110">
        <v>37.07</v>
      </c>
      <c r="J2655" s="110">
        <v>285.44</v>
      </c>
    </row>
    <row r="2656" spans="1:10" ht="24" customHeight="1" x14ac:dyDescent="0.2">
      <c r="A2656" s="113" t="s">
        <v>1859</v>
      </c>
      <c r="B2656" s="114" t="s">
        <v>2112</v>
      </c>
      <c r="C2656" s="113" t="s">
        <v>20</v>
      </c>
      <c r="D2656" s="113" t="s">
        <v>2111</v>
      </c>
      <c r="E2656" s="139" t="s">
        <v>1369</v>
      </c>
      <c r="F2656" s="139"/>
      <c r="G2656" s="112" t="s">
        <v>246</v>
      </c>
      <c r="H2656" s="111">
        <v>1</v>
      </c>
      <c r="I2656" s="110">
        <v>320.48</v>
      </c>
      <c r="J2656" s="110">
        <v>320.48</v>
      </c>
    </row>
    <row r="2657" spans="1:10" ht="24" customHeight="1" x14ac:dyDescent="0.2">
      <c r="A2657" s="113" t="s">
        <v>1859</v>
      </c>
      <c r="B2657" s="114" t="s">
        <v>1872</v>
      </c>
      <c r="C2657" s="113" t="s">
        <v>20</v>
      </c>
      <c r="D2657" s="113" t="s">
        <v>1871</v>
      </c>
      <c r="E2657" s="139" t="s">
        <v>1860</v>
      </c>
      <c r="F2657" s="139"/>
      <c r="G2657" s="112" t="s">
        <v>1864</v>
      </c>
      <c r="H2657" s="111">
        <v>8.3299999999999999E-2</v>
      </c>
      <c r="I2657" s="110">
        <v>10.62</v>
      </c>
      <c r="J2657" s="110">
        <v>0.88</v>
      </c>
    </row>
    <row r="2658" spans="1:10" ht="24" customHeight="1" x14ac:dyDescent="0.2">
      <c r="A2658" s="113" t="s">
        <v>1859</v>
      </c>
      <c r="B2658" s="114" t="s">
        <v>2060</v>
      </c>
      <c r="C2658" s="113" t="s">
        <v>20</v>
      </c>
      <c r="D2658" s="113" t="s">
        <v>2059</v>
      </c>
      <c r="E2658" s="139" t="s">
        <v>1860</v>
      </c>
      <c r="F2658" s="139"/>
      <c r="G2658" s="112" t="s">
        <v>1864</v>
      </c>
      <c r="H2658" s="111">
        <v>4.4000000000000004</v>
      </c>
      <c r="I2658" s="110">
        <v>15.97</v>
      </c>
      <c r="J2658" s="110">
        <v>70.27</v>
      </c>
    </row>
    <row r="2659" spans="1:10" x14ac:dyDescent="0.2">
      <c r="A2659" s="109"/>
      <c r="B2659" s="109"/>
      <c r="C2659" s="109"/>
      <c r="D2659" s="109"/>
      <c r="E2659" s="109" t="s">
        <v>1858</v>
      </c>
      <c r="F2659" s="108">
        <v>71.150000000000006</v>
      </c>
      <c r="G2659" s="109" t="s">
        <v>1857</v>
      </c>
      <c r="H2659" s="108">
        <v>0</v>
      </c>
      <c r="I2659" s="109" t="s">
        <v>1856</v>
      </c>
      <c r="J2659" s="108">
        <v>71.150000000000006</v>
      </c>
    </row>
    <row r="2660" spans="1:10" ht="13.9" customHeight="1" x14ac:dyDescent="0.2">
      <c r="A2660" s="109"/>
      <c r="B2660" s="109"/>
      <c r="C2660" s="109"/>
      <c r="D2660" s="109"/>
      <c r="E2660" s="109" t="s">
        <v>1855</v>
      </c>
      <c r="F2660" s="108">
        <v>205.08813000000001</v>
      </c>
      <c r="G2660" s="109"/>
      <c r="H2660" s="140" t="s">
        <v>1854</v>
      </c>
      <c r="I2660" s="140"/>
      <c r="J2660" s="108">
        <v>977.55</v>
      </c>
    </row>
    <row r="2661" spans="1:10" ht="30" customHeight="1" thickBot="1" x14ac:dyDescent="0.25">
      <c r="A2661" s="100"/>
      <c r="B2661" s="100"/>
      <c r="C2661" s="100"/>
      <c r="D2661" s="100"/>
      <c r="E2661" s="100"/>
      <c r="F2661" s="100"/>
      <c r="G2661" s="100" t="s">
        <v>1853</v>
      </c>
      <c r="H2661" s="107">
        <v>1</v>
      </c>
      <c r="I2661" s="100" t="s">
        <v>1852</v>
      </c>
      <c r="J2661" s="102">
        <v>977.55</v>
      </c>
    </row>
    <row r="2662" spans="1:10" ht="1.1499999999999999" customHeight="1" thickTop="1" x14ac:dyDescent="0.2">
      <c r="A2662" s="106"/>
      <c r="B2662" s="106"/>
      <c r="C2662" s="106"/>
      <c r="D2662" s="106"/>
      <c r="E2662" s="106"/>
      <c r="F2662" s="106"/>
      <c r="G2662" s="106"/>
      <c r="H2662" s="106"/>
      <c r="I2662" s="106"/>
      <c r="J2662" s="106"/>
    </row>
    <row r="2663" spans="1:10" ht="18" customHeight="1" x14ac:dyDescent="0.2">
      <c r="A2663" s="117" t="s">
        <v>656</v>
      </c>
      <c r="B2663" s="126" t="s">
        <v>5</v>
      </c>
      <c r="C2663" s="117" t="s">
        <v>6</v>
      </c>
      <c r="D2663" s="117" t="s">
        <v>7</v>
      </c>
      <c r="E2663" s="136" t="s">
        <v>1113</v>
      </c>
      <c r="F2663" s="136"/>
      <c r="G2663" s="7" t="s">
        <v>8</v>
      </c>
      <c r="H2663" s="126" t="s">
        <v>9</v>
      </c>
      <c r="I2663" s="126" t="s">
        <v>10</v>
      </c>
      <c r="J2663" s="126" t="s">
        <v>12</v>
      </c>
    </row>
    <row r="2664" spans="1:10" ht="24" customHeight="1" x14ac:dyDescent="0.2">
      <c r="A2664" s="116" t="s">
        <v>1861</v>
      </c>
      <c r="B2664" s="1" t="s">
        <v>657</v>
      </c>
      <c r="C2664" s="116" t="s">
        <v>20</v>
      </c>
      <c r="D2664" s="116" t="s">
        <v>658</v>
      </c>
      <c r="E2664" s="137">
        <v>18</v>
      </c>
      <c r="F2664" s="137"/>
      <c r="G2664" s="2" t="s">
        <v>22</v>
      </c>
      <c r="H2664" s="115">
        <v>1</v>
      </c>
      <c r="I2664" s="61">
        <v>796.69</v>
      </c>
      <c r="J2664" s="61">
        <v>796.69</v>
      </c>
    </row>
    <row r="2665" spans="1:10" ht="24" customHeight="1" x14ac:dyDescent="0.2">
      <c r="A2665" s="113" t="s">
        <v>1859</v>
      </c>
      <c r="B2665" s="114" t="s">
        <v>1899</v>
      </c>
      <c r="C2665" s="113" t="s">
        <v>20</v>
      </c>
      <c r="D2665" s="113" t="s">
        <v>1898</v>
      </c>
      <c r="E2665" s="139" t="s">
        <v>1369</v>
      </c>
      <c r="F2665" s="139"/>
      <c r="G2665" s="112" t="s">
        <v>49</v>
      </c>
      <c r="H2665" s="111">
        <v>1.43E-2</v>
      </c>
      <c r="I2665" s="110">
        <v>162.78</v>
      </c>
      <c r="J2665" s="110">
        <v>2.33</v>
      </c>
    </row>
    <row r="2666" spans="1:10" ht="24" customHeight="1" x14ac:dyDescent="0.2">
      <c r="A2666" s="113" t="s">
        <v>1859</v>
      </c>
      <c r="B2666" s="114" t="s">
        <v>1897</v>
      </c>
      <c r="C2666" s="113" t="s">
        <v>20</v>
      </c>
      <c r="D2666" s="113" t="s">
        <v>1896</v>
      </c>
      <c r="E2666" s="139" t="s">
        <v>1369</v>
      </c>
      <c r="F2666" s="139"/>
      <c r="G2666" s="112" t="s">
        <v>96</v>
      </c>
      <c r="H2666" s="111">
        <v>5</v>
      </c>
      <c r="I2666" s="110">
        <v>0.6</v>
      </c>
      <c r="J2666" s="110">
        <v>3</v>
      </c>
    </row>
    <row r="2667" spans="1:10" ht="24" customHeight="1" x14ac:dyDescent="0.2">
      <c r="A2667" s="113" t="s">
        <v>1859</v>
      </c>
      <c r="B2667" s="114" t="s">
        <v>2102</v>
      </c>
      <c r="C2667" s="113" t="s">
        <v>20</v>
      </c>
      <c r="D2667" s="113" t="s">
        <v>2101</v>
      </c>
      <c r="E2667" s="139" t="s">
        <v>1369</v>
      </c>
      <c r="F2667" s="139"/>
      <c r="G2667" s="112" t="s">
        <v>22</v>
      </c>
      <c r="H2667" s="111">
        <v>1</v>
      </c>
      <c r="I2667" s="110">
        <v>760</v>
      </c>
      <c r="J2667" s="110">
        <v>760</v>
      </c>
    </row>
    <row r="2668" spans="1:10" ht="24" customHeight="1" x14ac:dyDescent="0.2">
      <c r="A2668" s="113" t="s">
        <v>1859</v>
      </c>
      <c r="B2668" s="114" t="s">
        <v>1866</v>
      </c>
      <c r="C2668" s="113" t="s">
        <v>20</v>
      </c>
      <c r="D2668" s="113" t="s">
        <v>1865</v>
      </c>
      <c r="E2668" s="139" t="s">
        <v>1860</v>
      </c>
      <c r="F2668" s="139"/>
      <c r="G2668" s="112" t="s">
        <v>1864</v>
      </c>
      <c r="H2668" s="111">
        <v>1.2995000000000001</v>
      </c>
      <c r="I2668" s="110">
        <v>15.97</v>
      </c>
      <c r="J2668" s="110">
        <v>20.75</v>
      </c>
    </row>
    <row r="2669" spans="1:10" ht="24" customHeight="1" x14ac:dyDescent="0.2">
      <c r="A2669" s="113" t="s">
        <v>1859</v>
      </c>
      <c r="B2669" s="114" t="s">
        <v>1872</v>
      </c>
      <c r="C2669" s="113" t="s">
        <v>20</v>
      </c>
      <c r="D2669" s="113" t="s">
        <v>1871</v>
      </c>
      <c r="E2669" s="139" t="s">
        <v>1860</v>
      </c>
      <c r="F2669" s="139"/>
      <c r="G2669" s="112" t="s">
        <v>1864</v>
      </c>
      <c r="H2669" s="111">
        <v>0.99950000000000006</v>
      </c>
      <c r="I2669" s="110">
        <v>10.62</v>
      </c>
      <c r="J2669" s="110">
        <v>10.61</v>
      </c>
    </row>
    <row r="2670" spans="1:10" x14ac:dyDescent="0.2">
      <c r="A2670" s="109"/>
      <c r="B2670" s="109"/>
      <c r="C2670" s="109"/>
      <c r="D2670" s="109"/>
      <c r="E2670" s="109" t="s">
        <v>1858</v>
      </c>
      <c r="F2670" s="108">
        <v>31.36</v>
      </c>
      <c r="G2670" s="109" t="s">
        <v>1857</v>
      </c>
      <c r="H2670" s="108">
        <v>0</v>
      </c>
      <c r="I2670" s="109" t="s">
        <v>1856</v>
      </c>
      <c r="J2670" s="108">
        <v>31.36</v>
      </c>
    </row>
    <row r="2671" spans="1:10" ht="13.9" customHeight="1" x14ac:dyDescent="0.2">
      <c r="A2671" s="109"/>
      <c r="B2671" s="109"/>
      <c r="C2671" s="109"/>
      <c r="D2671" s="109"/>
      <c r="E2671" s="109" t="s">
        <v>1855</v>
      </c>
      <c r="F2671" s="108">
        <v>211.52119500000001</v>
      </c>
      <c r="G2671" s="109"/>
      <c r="H2671" s="140" t="s">
        <v>1854</v>
      </c>
      <c r="I2671" s="140"/>
      <c r="J2671" s="108">
        <v>1008.21</v>
      </c>
    </row>
    <row r="2672" spans="1:10" ht="30" customHeight="1" thickBot="1" x14ac:dyDescent="0.25">
      <c r="A2672" s="100"/>
      <c r="B2672" s="100"/>
      <c r="C2672" s="100"/>
      <c r="D2672" s="100"/>
      <c r="E2672" s="100"/>
      <c r="F2672" s="100"/>
      <c r="G2672" s="100" t="s">
        <v>1853</v>
      </c>
      <c r="H2672" s="107">
        <v>3.3</v>
      </c>
      <c r="I2672" s="100" t="s">
        <v>1852</v>
      </c>
      <c r="J2672" s="102">
        <v>3327.09</v>
      </c>
    </row>
    <row r="2673" spans="1:10" ht="1.1499999999999999" customHeight="1" thickTop="1" x14ac:dyDescent="0.2">
      <c r="A2673" s="106"/>
      <c r="B2673" s="106"/>
      <c r="C2673" s="106"/>
      <c r="D2673" s="106"/>
      <c r="E2673" s="106"/>
      <c r="F2673" s="106"/>
      <c r="G2673" s="106"/>
      <c r="H2673" s="106"/>
      <c r="I2673" s="106"/>
      <c r="J2673" s="106"/>
    </row>
    <row r="2674" spans="1:10" ht="18" customHeight="1" x14ac:dyDescent="0.2">
      <c r="A2674" s="117" t="s">
        <v>659</v>
      </c>
      <c r="B2674" s="126" t="s">
        <v>5</v>
      </c>
      <c r="C2674" s="117" t="s">
        <v>6</v>
      </c>
      <c r="D2674" s="117" t="s">
        <v>7</v>
      </c>
      <c r="E2674" s="136" t="s">
        <v>1113</v>
      </c>
      <c r="F2674" s="136"/>
      <c r="G2674" s="7" t="s">
        <v>8</v>
      </c>
      <c r="H2674" s="126" t="s">
        <v>9</v>
      </c>
      <c r="I2674" s="126" t="s">
        <v>10</v>
      </c>
      <c r="J2674" s="126" t="s">
        <v>12</v>
      </c>
    </row>
    <row r="2675" spans="1:10" ht="24" customHeight="1" x14ac:dyDescent="0.2">
      <c r="A2675" s="116" t="s">
        <v>1861</v>
      </c>
      <c r="B2675" s="1" t="s">
        <v>652</v>
      </c>
      <c r="C2675" s="116" t="s">
        <v>20</v>
      </c>
      <c r="D2675" s="116" t="s">
        <v>660</v>
      </c>
      <c r="E2675" s="137">
        <v>17</v>
      </c>
      <c r="F2675" s="137"/>
      <c r="G2675" s="2" t="s">
        <v>246</v>
      </c>
      <c r="H2675" s="115">
        <v>1</v>
      </c>
      <c r="I2675" s="61">
        <v>772.46</v>
      </c>
      <c r="J2675" s="61">
        <v>772.46</v>
      </c>
    </row>
    <row r="2676" spans="1:10" ht="24" customHeight="1" x14ac:dyDescent="0.2">
      <c r="A2676" s="113" t="s">
        <v>1859</v>
      </c>
      <c r="B2676" s="114" t="s">
        <v>2108</v>
      </c>
      <c r="C2676" s="113" t="s">
        <v>20</v>
      </c>
      <c r="D2676" s="113" t="s">
        <v>2107</v>
      </c>
      <c r="E2676" s="139" t="s">
        <v>1369</v>
      </c>
      <c r="F2676" s="139"/>
      <c r="G2676" s="112" t="s">
        <v>1877</v>
      </c>
      <c r="H2676" s="111">
        <v>3.0918999999999999</v>
      </c>
      <c r="I2676" s="110">
        <v>30.85</v>
      </c>
      <c r="J2676" s="110">
        <v>95.39</v>
      </c>
    </row>
    <row r="2677" spans="1:10" ht="24" customHeight="1" x14ac:dyDescent="0.2">
      <c r="A2677" s="113" t="s">
        <v>1859</v>
      </c>
      <c r="B2677" s="114" t="s">
        <v>2106</v>
      </c>
      <c r="C2677" s="113" t="s">
        <v>20</v>
      </c>
      <c r="D2677" s="113" t="s">
        <v>2105</v>
      </c>
      <c r="E2677" s="139" t="s">
        <v>1369</v>
      </c>
      <c r="F2677" s="139"/>
      <c r="G2677" s="112" t="s">
        <v>22</v>
      </c>
      <c r="H2677" s="111">
        <v>7.7</v>
      </c>
      <c r="I2677" s="110">
        <v>37.07</v>
      </c>
      <c r="J2677" s="110">
        <v>285.44</v>
      </c>
    </row>
    <row r="2678" spans="1:10" ht="24" customHeight="1" x14ac:dyDescent="0.2">
      <c r="A2678" s="113" t="s">
        <v>1859</v>
      </c>
      <c r="B2678" s="114" t="s">
        <v>2112</v>
      </c>
      <c r="C2678" s="113" t="s">
        <v>20</v>
      </c>
      <c r="D2678" s="113" t="s">
        <v>2111</v>
      </c>
      <c r="E2678" s="139" t="s">
        <v>1369</v>
      </c>
      <c r="F2678" s="139"/>
      <c r="G2678" s="112" t="s">
        <v>246</v>
      </c>
      <c r="H2678" s="111">
        <v>1</v>
      </c>
      <c r="I2678" s="110">
        <v>320.48</v>
      </c>
      <c r="J2678" s="110">
        <v>320.48</v>
      </c>
    </row>
    <row r="2679" spans="1:10" ht="24" customHeight="1" x14ac:dyDescent="0.2">
      <c r="A2679" s="113" t="s">
        <v>1859</v>
      </c>
      <c r="B2679" s="114" t="s">
        <v>1872</v>
      </c>
      <c r="C2679" s="113" t="s">
        <v>20</v>
      </c>
      <c r="D2679" s="113" t="s">
        <v>1871</v>
      </c>
      <c r="E2679" s="139" t="s">
        <v>1860</v>
      </c>
      <c r="F2679" s="139"/>
      <c r="G2679" s="112" t="s">
        <v>1864</v>
      </c>
      <c r="H2679" s="111">
        <v>8.3299999999999999E-2</v>
      </c>
      <c r="I2679" s="110">
        <v>10.62</v>
      </c>
      <c r="J2679" s="110">
        <v>0.88</v>
      </c>
    </row>
    <row r="2680" spans="1:10" ht="24" customHeight="1" x14ac:dyDescent="0.2">
      <c r="A2680" s="113" t="s">
        <v>1859</v>
      </c>
      <c r="B2680" s="114" t="s">
        <v>2060</v>
      </c>
      <c r="C2680" s="113" t="s">
        <v>20</v>
      </c>
      <c r="D2680" s="113" t="s">
        <v>2059</v>
      </c>
      <c r="E2680" s="139" t="s">
        <v>1860</v>
      </c>
      <c r="F2680" s="139"/>
      <c r="G2680" s="112" t="s">
        <v>1864</v>
      </c>
      <c r="H2680" s="111">
        <v>4.4000000000000004</v>
      </c>
      <c r="I2680" s="110">
        <v>15.97</v>
      </c>
      <c r="J2680" s="110">
        <v>70.27</v>
      </c>
    </row>
    <row r="2681" spans="1:10" x14ac:dyDescent="0.2">
      <c r="A2681" s="109"/>
      <c r="B2681" s="109"/>
      <c r="C2681" s="109"/>
      <c r="D2681" s="109"/>
      <c r="E2681" s="109" t="s">
        <v>1858</v>
      </c>
      <c r="F2681" s="108">
        <v>71.150000000000006</v>
      </c>
      <c r="G2681" s="109" t="s">
        <v>1857</v>
      </c>
      <c r="H2681" s="108">
        <v>0</v>
      </c>
      <c r="I2681" s="109" t="s">
        <v>1856</v>
      </c>
      <c r="J2681" s="108">
        <v>71.150000000000006</v>
      </c>
    </row>
    <row r="2682" spans="1:10" ht="13.9" customHeight="1" x14ac:dyDescent="0.2">
      <c r="A2682" s="109"/>
      <c r="B2682" s="109"/>
      <c r="C2682" s="109"/>
      <c r="D2682" s="109"/>
      <c r="E2682" s="109" t="s">
        <v>1855</v>
      </c>
      <c r="F2682" s="108">
        <v>205.08813000000001</v>
      </c>
      <c r="G2682" s="109"/>
      <c r="H2682" s="140" t="s">
        <v>1854</v>
      </c>
      <c r="I2682" s="140"/>
      <c r="J2682" s="108">
        <v>977.55</v>
      </c>
    </row>
    <row r="2683" spans="1:10" ht="30" customHeight="1" thickBot="1" x14ac:dyDescent="0.25">
      <c r="A2683" s="100"/>
      <c r="B2683" s="100"/>
      <c r="C2683" s="100"/>
      <c r="D2683" s="100"/>
      <c r="E2683" s="100"/>
      <c r="F2683" s="100"/>
      <c r="G2683" s="100" t="s">
        <v>1853</v>
      </c>
      <c r="H2683" s="107">
        <v>1</v>
      </c>
      <c r="I2683" s="100" t="s">
        <v>1852</v>
      </c>
      <c r="J2683" s="102">
        <v>977.55</v>
      </c>
    </row>
    <row r="2684" spans="1:10" ht="1.1499999999999999" customHeight="1" thickTop="1" x14ac:dyDescent="0.2">
      <c r="A2684" s="106"/>
      <c r="B2684" s="106"/>
      <c r="C2684" s="106"/>
      <c r="D2684" s="106"/>
      <c r="E2684" s="106"/>
      <c r="F2684" s="106"/>
      <c r="G2684" s="106"/>
      <c r="H2684" s="106"/>
      <c r="I2684" s="106"/>
      <c r="J2684" s="106"/>
    </row>
    <row r="2685" spans="1:10" ht="18" customHeight="1" x14ac:dyDescent="0.2">
      <c r="A2685" s="117" t="s">
        <v>661</v>
      </c>
      <c r="B2685" s="126" t="s">
        <v>5</v>
      </c>
      <c r="C2685" s="117" t="s">
        <v>6</v>
      </c>
      <c r="D2685" s="117" t="s">
        <v>7</v>
      </c>
      <c r="E2685" s="136" t="s">
        <v>1113</v>
      </c>
      <c r="F2685" s="136"/>
      <c r="G2685" s="7" t="s">
        <v>8</v>
      </c>
      <c r="H2685" s="126" t="s">
        <v>9</v>
      </c>
      <c r="I2685" s="126" t="s">
        <v>10</v>
      </c>
      <c r="J2685" s="126" t="s">
        <v>12</v>
      </c>
    </row>
    <row r="2686" spans="1:10" ht="24" customHeight="1" x14ac:dyDescent="0.2">
      <c r="A2686" s="116" t="s">
        <v>1861</v>
      </c>
      <c r="B2686" s="1" t="s">
        <v>657</v>
      </c>
      <c r="C2686" s="116" t="s">
        <v>20</v>
      </c>
      <c r="D2686" s="116" t="s">
        <v>662</v>
      </c>
      <c r="E2686" s="137">
        <v>18</v>
      </c>
      <c r="F2686" s="137"/>
      <c r="G2686" s="2" t="s">
        <v>22</v>
      </c>
      <c r="H2686" s="115">
        <v>1</v>
      </c>
      <c r="I2686" s="61">
        <v>796.69</v>
      </c>
      <c r="J2686" s="61">
        <v>796.69</v>
      </c>
    </row>
    <row r="2687" spans="1:10" ht="24" customHeight="1" x14ac:dyDescent="0.2">
      <c r="A2687" s="113" t="s">
        <v>1859</v>
      </c>
      <c r="B2687" s="114" t="s">
        <v>1899</v>
      </c>
      <c r="C2687" s="113" t="s">
        <v>20</v>
      </c>
      <c r="D2687" s="113" t="s">
        <v>1898</v>
      </c>
      <c r="E2687" s="139" t="s">
        <v>1369</v>
      </c>
      <c r="F2687" s="139"/>
      <c r="G2687" s="112" t="s">
        <v>49</v>
      </c>
      <c r="H2687" s="111">
        <v>1.43E-2</v>
      </c>
      <c r="I2687" s="110">
        <v>162.78</v>
      </c>
      <c r="J2687" s="110">
        <v>2.33</v>
      </c>
    </row>
    <row r="2688" spans="1:10" ht="24" customHeight="1" x14ac:dyDescent="0.2">
      <c r="A2688" s="113" t="s">
        <v>1859</v>
      </c>
      <c r="B2688" s="114" t="s">
        <v>1897</v>
      </c>
      <c r="C2688" s="113" t="s">
        <v>20</v>
      </c>
      <c r="D2688" s="113" t="s">
        <v>1896</v>
      </c>
      <c r="E2688" s="139" t="s">
        <v>1369</v>
      </c>
      <c r="F2688" s="139"/>
      <c r="G2688" s="112" t="s">
        <v>96</v>
      </c>
      <c r="H2688" s="111">
        <v>5</v>
      </c>
      <c r="I2688" s="110">
        <v>0.6</v>
      </c>
      <c r="J2688" s="110">
        <v>3</v>
      </c>
    </row>
    <row r="2689" spans="1:10" ht="24" customHeight="1" x14ac:dyDescent="0.2">
      <c r="A2689" s="113" t="s">
        <v>1859</v>
      </c>
      <c r="B2689" s="114" t="s">
        <v>2102</v>
      </c>
      <c r="C2689" s="113" t="s">
        <v>20</v>
      </c>
      <c r="D2689" s="113" t="s">
        <v>2101</v>
      </c>
      <c r="E2689" s="139" t="s">
        <v>1369</v>
      </c>
      <c r="F2689" s="139"/>
      <c r="G2689" s="112" t="s">
        <v>22</v>
      </c>
      <c r="H2689" s="111">
        <v>1</v>
      </c>
      <c r="I2689" s="110">
        <v>760</v>
      </c>
      <c r="J2689" s="110">
        <v>760</v>
      </c>
    </row>
    <row r="2690" spans="1:10" ht="24" customHeight="1" x14ac:dyDescent="0.2">
      <c r="A2690" s="113" t="s">
        <v>1859</v>
      </c>
      <c r="B2690" s="114" t="s">
        <v>1866</v>
      </c>
      <c r="C2690" s="113" t="s">
        <v>20</v>
      </c>
      <c r="D2690" s="113" t="s">
        <v>1865</v>
      </c>
      <c r="E2690" s="139" t="s">
        <v>1860</v>
      </c>
      <c r="F2690" s="139"/>
      <c r="G2690" s="112" t="s">
        <v>1864</v>
      </c>
      <c r="H2690" s="111">
        <v>1.2995000000000001</v>
      </c>
      <c r="I2690" s="110">
        <v>15.97</v>
      </c>
      <c r="J2690" s="110">
        <v>20.75</v>
      </c>
    </row>
    <row r="2691" spans="1:10" ht="24" customHeight="1" x14ac:dyDescent="0.2">
      <c r="A2691" s="113" t="s">
        <v>1859</v>
      </c>
      <c r="B2691" s="114" t="s">
        <v>1872</v>
      </c>
      <c r="C2691" s="113" t="s">
        <v>20</v>
      </c>
      <c r="D2691" s="113" t="s">
        <v>1871</v>
      </c>
      <c r="E2691" s="139" t="s">
        <v>1860</v>
      </c>
      <c r="F2691" s="139"/>
      <c r="G2691" s="112" t="s">
        <v>1864</v>
      </c>
      <c r="H2691" s="111">
        <v>0.99950000000000006</v>
      </c>
      <c r="I2691" s="110">
        <v>10.62</v>
      </c>
      <c r="J2691" s="110">
        <v>10.61</v>
      </c>
    </row>
    <row r="2692" spans="1:10" x14ac:dyDescent="0.2">
      <c r="A2692" s="109"/>
      <c r="B2692" s="109"/>
      <c r="C2692" s="109"/>
      <c r="D2692" s="109"/>
      <c r="E2692" s="109" t="s">
        <v>1858</v>
      </c>
      <c r="F2692" s="108">
        <v>31.36</v>
      </c>
      <c r="G2692" s="109" t="s">
        <v>1857</v>
      </c>
      <c r="H2692" s="108">
        <v>0</v>
      </c>
      <c r="I2692" s="109" t="s">
        <v>1856</v>
      </c>
      <c r="J2692" s="108">
        <v>31.36</v>
      </c>
    </row>
    <row r="2693" spans="1:10" ht="13.9" customHeight="1" x14ac:dyDescent="0.2">
      <c r="A2693" s="109"/>
      <c r="B2693" s="109"/>
      <c r="C2693" s="109"/>
      <c r="D2693" s="109"/>
      <c r="E2693" s="109" t="s">
        <v>1855</v>
      </c>
      <c r="F2693" s="108">
        <v>211.52119500000001</v>
      </c>
      <c r="G2693" s="109"/>
      <c r="H2693" s="140" t="s">
        <v>1854</v>
      </c>
      <c r="I2693" s="140"/>
      <c r="J2693" s="108">
        <v>1008.21</v>
      </c>
    </row>
    <row r="2694" spans="1:10" ht="30" customHeight="1" thickBot="1" x14ac:dyDescent="0.25">
      <c r="A2694" s="100"/>
      <c r="B2694" s="100"/>
      <c r="C2694" s="100"/>
      <c r="D2694" s="100"/>
      <c r="E2694" s="100"/>
      <c r="F2694" s="100"/>
      <c r="G2694" s="100" t="s">
        <v>1853</v>
      </c>
      <c r="H2694" s="107">
        <v>3.15</v>
      </c>
      <c r="I2694" s="100" t="s">
        <v>1852</v>
      </c>
      <c r="J2694" s="102">
        <v>3175.86</v>
      </c>
    </row>
    <row r="2695" spans="1:10" ht="1.1499999999999999" customHeight="1" thickTop="1" x14ac:dyDescent="0.2">
      <c r="A2695" s="106"/>
      <c r="B2695" s="106"/>
      <c r="C2695" s="106"/>
      <c r="D2695" s="106"/>
      <c r="E2695" s="106"/>
      <c r="F2695" s="106"/>
      <c r="G2695" s="106"/>
      <c r="H2695" s="106"/>
      <c r="I2695" s="106"/>
      <c r="J2695" s="106"/>
    </row>
    <row r="2696" spans="1:10" ht="18" customHeight="1" x14ac:dyDescent="0.2">
      <c r="A2696" s="117" t="s">
        <v>663</v>
      </c>
      <c r="B2696" s="126" t="s">
        <v>5</v>
      </c>
      <c r="C2696" s="117" t="s">
        <v>6</v>
      </c>
      <c r="D2696" s="117" t="s">
        <v>7</v>
      </c>
      <c r="E2696" s="136" t="s">
        <v>1113</v>
      </c>
      <c r="F2696" s="136"/>
      <c r="G2696" s="7" t="s">
        <v>8</v>
      </c>
      <c r="H2696" s="126" t="s">
        <v>9</v>
      </c>
      <c r="I2696" s="126" t="s">
        <v>10</v>
      </c>
      <c r="J2696" s="126" t="s">
        <v>12</v>
      </c>
    </row>
    <row r="2697" spans="1:10" ht="24" customHeight="1" x14ac:dyDescent="0.2">
      <c r="A2697" s="116" t="s">
        <v>1861</v>
      </c>
      <c r="B2697" s="1" t="s">
        <v>647</v>
      </c>
      <c r="C2697" s="116" t="s">
        <v>20</v>
      </c>
      <c r="D2697" s="116" t="s">
        <v>664</v>
      </c>
      <c r="E2697" s="137">
        <v>17</v>
      </c>
      <c r="F2697" s="137"/>
      <c r="G2697" s="2" t="s">
        <v>246</v>
      </c>
      <c r="H2697" s="115">
        <v>1</v>
      </c>
      <c r="I2697" s="61">
        <v>751.58</v>
      </c>
      <c r="J2697" s="61">
        <v>751.58</v>
      </c>
    </row>
    <row r="2698" spans="1:10" ht="24" customHeight="1" x14ac:dyDescent="0.2">
      <c r="A2698" s="113" t="s">
        <v>1859</v>
      </c>
      <c r="B2698" s="114" t="s">
        <v>2108</v>
      </c>
      <c r="C2698" s="113" t="s">
        <v>20</v>
      </c>
      <c r="D2698" s="113" t="s">
        <v>2107</v>
      </c>
      <c r="E2698" s="139" t="s">
        <v>1369</v>
      </c>
      <c r="F2698" s="139"/>
      <c r="G2698" s="112" t="s">
        <v>1877</v>
      </c>
      <c r="H2698" s="111">
        <v>2.7930000000000001</v>
      </c>
      <c r="I2698" s="110">
        <v>30.85</v>
      </c>
      <c r="J2698" s="110">
        <v>86.16</v>
      </c>
    </row>
    <row r="2699" spans="1:10" ht="24" customHeight="1" x14ac:dyDescent="0.2">
      <c r="A2699" s="113" t="s">
        <v>1859</v>
      </c>
      <c r="B2699" s="114" t="s">
        <v>2106</v>
      </c>
      <c r="C2699" s="113" t="s">
        <v>20</v>
      </c>
      <c r="D2699" s="113" t="s">
        <v>2105</v>
      </c>
      <c r="E2699" s="139" t="s">
        <v>1369</v>
      </c>
      <c r="F2699" s="139"/>
      <c r="G2699" s="112" t="s">
        <v>22</v>
      </c>
      <c r="H2699" s="111">
        <v>7.7</v>
      </c>
      <c r="I2699" s="110">
        <v>37.07</v>
      </c>
      <c r="J2699" s="110">
        <v>285.44</v>
      </c>
    </row>
    <row r="2700" spans="1:10" ht="24" customHeight="1" x14ac:dyDescent="0.2">
      <c r="A2700" s="113" t="s">
        <v>1859</v>
      </c>
      <c r="B2700" s="114" t="s">
        <v>2110</v>
      </c>
      <c r="C2700" s="113" t="s">
        <v>20</v>
      </c>
      <c r="D2700" s="113" t="s">
        <v>2109</v>
      </c>
      <c r="E2700" s="139" t="s">
        <v>1369</v>
      </c>
      <c r="F2700" s="139"/>
      <c r="G2700" s="112" t="s">
        <v>246</v>
      </c>
      <c r="H2700" s="111">
        <v>1</v>
      </c>
      <c r="I2700" s="110">
        <v>308.83</v>
      </c>
      <c r="J2700" s="110">
        <v>308.83</v>
      </c>
    </row>
    <row r="2701" spans="1:10" ht="24" customHeight="1" x14ac:dyDescent="0.2">
      <c r="A2701" s="113" t="s">
        <v>1859</v>
      </c>
      <c r="B2701" s="114" t="s">
        <v>1872</v>
      </c>
      <c r="C2701" s="113" t="s">
        <v>20</v>
      </c>
      <c r="D2701" s="113" t="s">
        <v>1871</v>
      </c>
      <c r="E2701" s="139" t="s">
        <v>1860</v>
      </c>
      <c r="F2701" s="139"/>
      <c r="G2701" s="112" t="s">
        <v>1864</v>
      </c>
      <c r="H2701" s="111">
        <v>8.3299999999999999E-2</v>
      </c>
      <c r="I2701" s="110">
        <v>10.62</v>
      </c>
      <c r="J2701" s="110">
        <v>0.88</v>
      </c>
    </row>
    <row r="2702" spans="1:10" ht="24" customHeight="1" x14ac:dyDescent="0.2">
      <c r="A2702" s="113" t="s">
        <v>1859</v>
      </c>
      <c r="B2702" s="114" t="s">
        <v>2060</v>
      </c>
      <c r="C2702" s="113" t="s">
        <v>20</v>
      </c>
      <c r="D2702" s="113" t="s">
        <v>2059</v>
      </c>
      <c r="E2702" s="139" t="s">
        <v>1860</v>
      </c>
      <c r="F2702" s="139"/>
      <c r="G2702" s="112" t="s">
        <v>1864</v>
      </c>
      <c r="H2702" s="111">
        <v>4.4000000000000004</v>
      </c>
      <c r="I2702" s="110">
        <v>15.97</v>
      </c>
      <c r="J2702" s="110">
        <v>70.27</v>
      </c>
    </row>
    <row r="2703" spans="1:10" x14ac:dyDescent="0.2">
      <c r="A2703" s="109"/>
      <c r="B2703" s="109"/>
      <c r="C2703" s="109"/>
      <c r="D2703" s="109"/>
      <c r="E2703" s="109" t="s">
        <v>1858</v>
      </c>
      <c r="F2703" s="108">
        <v>71.150000000000006</v>
      </c>
      <c r="G2703" s="109" t="s">
        <v>1857</v>
      </c>
      <c r="H2703" s="108">
        <v>0</v>
      </c>
      <c r="I2703" s="109" t="s">
        <v>1856</v>
      </c>
      <c r="J2703" s="108">
        <v>71.150000000000006</v>
      </c>
    </row>
    <row r="2704" spans="1:10" ht="13.9" customHeight="1" x14ac:dyDescent="0.2">
      <c r="A2704" s="109"/>
      <c r="B2704" s="109"/>
      <c r="C2704" s="109"/>
      <c r="D2704" s="109"/>
      <c r="E2704" s="109" t="s">
        <v>1855</v>
      </c>
      <c r="F2704" s="108">
        <v>199.54449</v>
      </c>
      <c r="G2704" s="109"/>
      <c r="H2704" s="140" t="s">
        <v>1854</v>
      </c>
      <c r="I2704" s="140"/>
      <c r="J2704" s="108">
        <v>951.12</v>
      </c>
    </row>
    <row r="2705" spans="1:10" ht="30" customHeight="1" thickBot="1" x14ac:dyDescent="0.25">
      <c r="A2705" s="100"/>
      <c r="B2705" s="100"/>
      <c r="C2705" s="100"/>
      <c r="D2705" s="100"/>
      <c r="E2705" s="100"/>
      <c r="F2705" s="100"/>
      <c r="G2705" s="100" t="s">
        <v>1853</v>
      </c>
      <c r="H2705" s="107">
        <v>2</v>
      </c>
      <c r="I2705" s="100" t="s">
        <v>1852</v>
      </c>
      <c r="J2705" s="102">
        <v>1902.24</v>
      </c>
    </row>
    <row r="2706" spans="1:10" ht="1.1499999999999999" customHeight="1" thickTop="1" x14ac:dyDescent="0.2">
      <c r="A2706" s="106"/>
      <c r="B2706" s="106"/>
      <c r="C2706" s="106"/>
      <c r="D2706" s="106"/>
      <c r="E2706" s="106"/>
      <c r="F2706" s="106"/>
      <c r="G2706" s="106"/>
      <c r="H2706" s="106"/>
      <c r="I2706" s="106"/>
      <c r="J2706" s="106"/>
    </row>
    <row r="2707" spans="1:10" ht="18" customHeight="1" x14ac:dyDescent="0.2">
      <c r="A2707" s="117" t="s">
        <v>665</v>
      </c>
      <c r="B2707" s="126" t="s">
        <v>5</v>
      </c>
      <c r="C2707" s="117" t="s">
        <v>6</v>
      </c>
      <c r="D2707" s="117" t="s">
        <v>7</v>
      </c>
      <c r="E2707" s="136" t="s">
        <v>1113</v>
      </c>
      <c r="F2707" s="136"/>
      <c r="G2707" s="7" t="s">
        <v>8</v>
      </c>
      <c r="H2707" s="126" t="s">
        <v>9</v>
      </c>
      <c r="I2707" s="126" t="s">
        <v>10</v>
      </c>
      <c r="J2707" s="126" t="s">
        <v>12</v>
      </c>
    </row>
    <row r="2708" spans="1:10" ht="24" customHeight="1" x14ac:dyDescent="0.2">
      <c r="A2708" s="116" t="s">
        <v>1861</v>
      </c>
      <c r="B2708" s="1" t="s">
        <v>666</v>
      </c>
      <c r="C2708" s="116" t="s">
        <v>20</v>
      </c>
      <c r="D2708" s="116" t="s">
        <v>667</v>
      </c>
      <c r="E2708" s="137">
        <v>17</v>
      </c>
      <c r="F2708" s="137"/>
      <c r="G2708" s="2" t="s">
        <v>246</v>
      </c>
      <c r="H2708" s="115">
        <v>1</v>
      </c>
      <c r="I2708" s="61">
        <v>665.8</v>
      </c>
      <c r="J2708" s="61">
        <v>665.8</v>
      </c>
    </row>
    <row r="2709" spans="1:10" ht="24" customHeight="1" x14ac:dyDescent="0.2">
      <c r="A2709" s="113" t="s">
        <v>1859</v>
      </c>
      <c r="B2709" s="114" t="s">
        <v>2108</v>
      </c>
      <c r="C2709" s="113" t="s">
        <v>20</v>
      </c>
      <c r="D2709" s="113" t="s">
        <v>2107</v>
      </c>
      <c r="E2709" s="139" t="s">
        <v>1369</v>
      </c>
      <c r="F2709" s="139"/>
      <c r="G2709" s="112" t="s">
        <v>1877</v>
      </c>
      <c r="H2709" s="111">
        <v>2.4941</v>
      </c>
      <c r="I2709" s="110">
        <v>30.85</v>
      </c>
      <c r="J2709" s="110">
        <v>76.94</v>
      </c>
    </row>
    <row r="2710" spans="1:10" ht="24" customHeight="1" x14ac:dyDescent="0.2">
      <c r="A2710" s="113" t="s">
        <v>1859</v>
      </c>
      <c r="B2710" s="114" t="s">
        <v>2106</v>
      </c>
      <c r="C2710" s="113" t="s">
        <v>20</v>
      </c>
      <c r="D2710" s="113" t="s">
        <v>2105</v>
      </c>
      <c r="E2710" s="139" t="s">
        <v>1369</v>
      </c>
      <c r="F2710" s="139"/>
      <c r="G2710" s="112" t="s">
        <v>22</v>
      </c>
      <c r="H2710" s="111">
        <v>7.7</v>
      </c>
      <c r="I2710" s="110">
        <v>37.07</v>
      </c>
      <c r="J2710" s="110">
        <v>285.44</v>
      </c>
    </row>
    <row r="2711" spans="1:10" ht="24" customHeight="1" x14ac:dyDescent="0.2">
      <c r="A2711" s="113" t="s">
        <v>1859</v>
      </c>
      <c r="B2711" s="114" t="s">
        <v>2104</v>
      </c>
      <c r="C2711" s="113" t="s">
        <v>20</v>
      </c>
      <c r="D2711" s="113" t="s">
        <v>2103</v>
      </c>
      <c r="E2711" s="139" t="s">
        <v>1369</v>
      </c>
      <c r="F2711" s="139"/>
      <c r="G2711" s="112" t="s">
        <v>246</v>
      </c>
      <c r="H2711" s="111">
        <v>1</v>
      </c>
      <c r="I2711" s="110">
        <v>232.27</v>
      </c>
      <c r="J2711" s="110">
        <v>232.27</v>
      </c>
    </row>
    <row r="2712" spans="1:10" ht="24" customHeight="1" x14ac:dyDescent="0.2">
      <c r="A2712" s="113" t="s">
        <v>1859</v>
      </c>
      <c r="B2712" s="114" t="s">
        <v>1872</v>
      </c>
      <c r="C2712" s="113" t="s">
        <v>20</v>
      </c>
      <c r="D2712" s="113" t="s">
        <v>1871</v>
      </c>
      <c r="E2712" s="139" t="s">
        <v>1860</v>
      </c>
      <c r="F2712" s="139"/>
      <c r="G2712" s="112" t="s">
        <v>1864</v>
      </c>
      <c r="H2712" s="111">
        <v>8.3299999999999999E-2</v>
      </c>
      <c r="I2712" s="110">
        <v>10.62</v>
      </c>
      <c r="J2712" s="110">
        <v>0.88</v>
      </c>
    </row>
    <row r="2713" spans="1:10" ht="24" customHeight="1" x14ac:dyDescent="0.2">
      <c r="A2713" s="113" t="s">
        <v>1859</v>
      </c>
      <c r="B2713" s="114" t="s">
        <v>2060</v>
      </c>
      <c r="C2713" s="113" t="s">
        <v>20</v>
      </c>
      <c r="D2713" s="113" t="s">
        <v>2059</v>
      </c>
      <c r="E2713" s="139" t="s">
        <v>1860</v>
      </c>
      <c r="F2713" s="139"/>
      <c r="G2713" s="112" t="s">
        <v>1864</v>
      </c>
      <c r="H2713" s="111">
        <v>4.4000000000000004</v>
      </c>
      <c r="I2713" s="110">
        <v>15.97</v>
      </c>
      <c r="J2713" s="110">
        <v>70.27</v>
      </c>
    </row>
    <row r="2714" spans="1:10" x14ac:dyDescent="0.2">
      <c r="A2714" s="109"/>
      <c r="B2714" s="109"/>
      <c r="C2714" s="109"/>
      <c r="D2714" s="109"/>
      <c r="E2714" s="109" t="s">
        <v>1858</v>
      </c>
      <c r="F2714" s="108">
        <v>71.150000000000006</v>
      </c>
      <c r="G2714" s="109" t="s">
        <v>1857</v>
      </c>
      <c r="H2714" s="108">
        <v>0</v>
      </c>
      <c r="I2714" s="109" t="s">
        <v>1856</v>
      </c>
      <c r="J2714" s="108">
        <v>71.150000000000006</v>
      </c>
    </row>
    <row r="2715" spans="1:10" ht="13.9" customHeight="1" x14ac:dyDescent="0.2">
      <c r="A2715" s="109"/>
      <c r="B2715" s="109"/>
      <c r="C2715" s="109"/>
      <c r="D2715" s="109"/>
      <c r="E2715" s="109" t="s">
        <v>1855</v>
      </c>
      <c r="F2715" s="108">
        <v>176.76990000000001</v>
      </c>
      <c r="G2715" s="109"/>
      <c r="H2715" s="140" t="s">
        <v>1854</v>
      </c>
      <c r="I2715" s="140"/>
      <c r="J2715" s="108">
        <v>842.57</v>
      </c>
    </row>
    <row r="2716" spans="1:10" ht="30" customHeight="1" thickBot="1" x14ac:dyDescent="0.25">
      <c r="A2716" s="100"/>
      <c r="B2716" s="100"/>
      <c r="C2716" s="100"/>
      <c r="D2716" s="100"/>
      <c r="E2716" s="100"/>
      <c r="F2716" s="100"/>
      <c r="G2716" s="100" t="s">
        <v>1853</v>
      </c>
      <c r="H2716" s="107">
        <v>2</v>
      </c>
      <c r="I2716" s="100" t="s">
        <v>1852</v>
      </c>
      <c r="J2716" s="102">
        <v>1685.14</v>
      </c>
    </row>
    <row r="2717" spans="1:10" ht="1.1499999999999999" customHeight="1" thickTop="1" x14ac:dyDescent="0.2">
      <c r="A2717" s="106"/>
      <c r="B2717" s="106"/>
      <c r="C2717" s="106"/>
      <c r="D2717" s="106"/>
      <c r="E2717" s="106"/>
      <c r="F2717" s="106"/>
      <c r="G2717" s="106"/>
      <c r="H2717" s="106"/>
      <c r="I2717" s="106"/>
      <c r="J2717" s="106"/>
    </row>
    <row r="2718" spans="1:10" ht="18" customHeight="1" x14ac:dyDescent="0.2">
      <c r="A2718" s="117" t="s">
        <v>668</v>
      </c>
      <c r="B2718" s="126" t="s">
        <v>5</v>
      </c>
      <c r="C2718" s="117" t="s">
        <v>6</v>
      </c>
      <c r="D2718" s="117" t="s">
        <v>7</v>
      </c>
      <c r="E2718" s="136" t="s">
        <v>1113</v>
      </c>
      <c r="F2718" s="136"/>
      <c r="G2718" s="7" t="s">
        <v>8</v>
      </c>
      <c r="H2718" s="126" t="s">
        <v>9</v>
      </c>
      <c r="I2718" s="126" t="s">
        <v>10</v>
      </c>
      <c r="J2718" s="126" t="s">
        <v>12</v>
      </c>
    </row>
    <row r="2719" spans="1:10" ht="24" customHeight="1" x14ac:dyDescent="0.2">
      <c r="A2719" s="116" t="s">
        <v>1861</v>
      </c>
      <c r="B2719" s="1" t="s">
        <v>657</v>
      </c>
      <c r="C2719" s="116" t="s">
        <v>20</v>
      </c>
      <c r="D2719" s="116" t="s">
        <v>669</v>
      </c>
      <c r="E2719" s="137">
        <v>18</v>
      </c>
      <c r="F2719" s="137"/>
      <c r="G2719" s="2" t="s">
        <v>22</v>
      </c>
      <c r="H2719" s="115">
        <v>1</v>
      </c>
      <c r="I2719" s="61">
        <v>796.69</v>
      </c>
      <c r="J2719" s="61">
        <v>796.69</v>
      </c>
    </row>
    <row r="2720" spans="1:10" ht="24" customHeight="1" x14ac:dyDescent="0.2">
      <c r="A2720" s="113" t="s">
        <v>1859</v>
      </c>
      <c r="B2720" s="114" t="s">
        <v>1899</v>
      </c>
      <c r="C2720" s="113" t="s">
        <v>20</v>
      </c>
      <c r="D2720" s="113" t="s">
        <v>1898</v>
      </c>
      <c r="E2720" s="139" t="s">
        <v>1369</v>
      </c>
      <c r="F2720" s="139"/>
      <c r="G2720" s="112" t="s">
        <v>49</v>
      </c>
      <c r="H2720" s="111">
        <v>1.43E-2</v>
      </c>
      <c r="I2720" s="110">
        <v>162.78</v>
      </c>
      <c r="J2720" s="110">
        <v>2.33</v>
      </c>
    </row>
    <row r="2721" spans="1:10" ht="24" customHeight="1" x14ac:dyDescent="0.2">
      <c r="A2721" s="113" t="s">
        <v>1859</v>
      </c>
      <c r="B2721" s="114" t="s">
        <v>1897</v>
      </c>
      <c r="C2721" s="113" t="s">
        <v>20</v>
      </c>
      <c r="D2721" s="113" t="s">
        <v>1896</v>
      </c>
      <c r="E2721" s="139" t="s">
        <v>1369</v>
      </c>
      <c r="F2721" s="139"/>
      <c r="G2721" s="112" t="s">
        <v>96</v>
      </c>
      <c r="H2721" s="111">
        <v>5</v>
      </c>
      <c r="I2721" s="110">
        <v>0.6</v>
      </c>
      <c r="J2721" s="110">
        <v>3</v>
      </c>
    </row>
    <row r="2722" spans="1:10" ht="24" customHeight="1" x14ac:dyDescent="0.2">
      <c r="A2722" s="113" t="s">
        <v>1859</v>
      </c>
      <c r="B2722" s="114" t="s">
        <v>2102</v>
      </c>
      <c r="C2722" s="113" t="s">
        <v>20</v>
      </c>
      <c r="D2722" s="113" t="s">
        <v>2101</v>
      </c>
      <c r="E2722" s="139" t="s">
        <v>1369</v>
      </c>
      <c r="F2722" s="139"/>
      <c r="G2722" s="112" t="s">
        <v>22</v>
      </c>
      <c r="H2722" s="111">
        <v>1</v>
      </c>
      <c r="I2722" s="110">
        <v>760</v>
      </c>
      <c r="J2722" s="110">
        <v>760</v>
      </c>
    </row>
    <row r="2723" spans="1:10" ht="24" customHeight="1" x14ac:dyDescent="0.2">
      <c r="A2723" s="113" t="s">
        <v>1859</v>
      </c>
      <c r="B2723" s="114" t="s">
        <v>1866</v>
      </c>
      <c r="C2723" s="113" t="s">
        <v>20</v>
      </c>
      <c r="D2723" s="113" t="s">
        <v>1865</v>
      </c>
      <c r="E2723" s="139" t="s">
        <v>1860</v>
      </c>
      <c r="F2723" s="139"/>
      <c r="G2723" s="112" t="s">
        <v>1864</v>
      </c>
      <c r="H2723" s="111">
        <v>1.2995000000000001</v>
      </c>
      <c r="I2723" s="110">
        <v>15.97</v>
      </c>
      <c r="J2723" s="110">
        <v>20.75</v>
      </c>
    </row>
    <row r="2724" spans="1:10" ht="24" customHeight="1" x14ac:dyDescent="0.2">
      <c r="A2724" s="113" t="s">
        <v>1859</v>
      </c>
      <c r="B2724" s="114" t="s">
        <v>1872</v>
      </c>
      <c r="C2724" s="113" t="s">
        <v>20</v>
      </c>
      <c r="D2724" s="113" t="s">
        <v>1871</v>
      </c>
      <c r="E2724" s="139" t="s">
        <v>1860</v>
      </c>
      <c r="F2724" s="139"/>
      <c r="G2724" s="112" t="s">
        <v>1864</v>
      </c>
      <c r="H2724" s="111">
        <v>0.99950000000000006</v>
      </c>
      <c r="I2724" s="110">
        <v>10.62</v>
      </c>
      <c r="J2724" s="110">
        <v>10.61</v>
      </c>
    </row>
    <row r="2725" spans="1:10" x14ac:dyDescent="0.2">
      <c r="A2725" s="109"/>
      <c r="B2725" s="109"/>
      <c r="C2725" s="109"/>
      <c r="D2725" s="109"/>
      <c r="E2725" s="109" t="s">
        <v>1858</v>
      </c>
      <c r="F2725" s="108">
        <v>31.36</v>
      </c>
      <c r="G2725" s="109" t="s">
        <v>1857</v>
      </c>
      <c r="H2725" s="108">
        <v>0</v>
      </c>
      <c r="I2725" s="109" t="s">
        <v>1856</v>
      </c>
      <c r="J2725" s="108">
        <v>31.36</v>
      </c>
    </row>
    <row r="2726" spans="1:10" ht="13.9" customHeight="1" x14ac:dyDescent="0.2">
      <c r="A2726" s="109"/>
      <c r="B2726" s="109"/>
      <c r="C2726" s="109"/>
      <c r="D2726" s="109"/>
      <c r="E2726" s="109" t="s">
        <v>1855</v>
      </c>
      <c r="F2726" s="108">
        <v>211.52119500000001</v>
      </c>
      <c r="G2726" s="109"/>
      <c r="H2726" s="140" t="s">
        <v>1854</v>
      </c>
      <c r="I2726" s="140"/>
      <c r="J2726" s="108">
        <v>1008.21</v>
      </c>
    </row>
    <row r="2727" spans="1:10" ht="30" customHeight="1" thickBot="1" x14ac:dyDescent="0.25">
      <c r="A2727" s="100"/>
      <c r="B2727" s="100"/>
      <c r="C2727" s="100"/>
      <c r="D2727" s="100"/>
      <c r="E2727" s="100"/>
      <c r="F2727" s="100"/>
      <c r="G2727" s="100" t="s">
        <v>1853</v>
      </c>
      <c r="H2727" s="107">
        <v>3.36</v>
      </c>
      <c r="I2727" s="100" t="s">
        <v>1852</v>
      </c>
      <c r="J2727" s="102">
        <v>3387.59</v>
      </c>
    </row>
    <row r="2728" spans="1:10" ht="1.1499999999999999" customHeight="1" thickTop="1" x14ac:dyDescent="0.2">
      <c r="A2728" s="106"/>
      <c r="B2728" s="106"/>
      <c r="C2728" s="106"/>
      <c r="D2728" s="106"/>
      <c r="E2728" s="106"/>
      <c r="F2728" s="106"/>
      <c r="G2728" s="106"/>
      <c r="H2728" s="106"/>
      <c r="I2728" s="106"/>
      <c r="J2728" s="106"/>
    </row>
    <row r="2729" spans="1:10" ht="18" customHeight="1" x14ac:dyDescent="0.2">
      <c r="A2729" s="117" t="s">
        <v>670</v>
      </c>
      <c r="B2729" s="126" t="s">
        <v>5</v>
      </c>
      <c r="C2729" s="117" t="s">
        <v>6</v>
      </c>
      <c r="D2729" s="117" t="s">
        <v>7</v>
      </c>
      <c r="E2729" s="136" t="s">
        <v>1113</v>
      </c>
      <c r="F2729" s="136"/>
      <c r="G2729" s="7" t="s">
        <v>8</v>
      </c>
      <c r="H2729" s="126" t="s">
        <v>9</v>
      </c>
      <c r="I2729" s="126" t="s">
        <v>10</v>
      </c>
      <c r="J2729" s="126" t="s">
        <v>12</v>
      </c>
    </row>
    <row r="2730" spans="1:10" ht="24" customHeight="1" x14ac:dyDescent="0.2">
      <c r="A2730" s="116" t="s">
        <v>1861</v>
      </c>
      <c r="B2730" s="1" t="s">
        <v>638</v>
      </c>
      <c r="C2730" s="116" t="s">
        <v>20</v>
      </c>
      <c r="D2730" s="116" t="s">
        <v>671</v>
      </c>
      <c r="E2730" s="137">
        <v>18</v>
      </c>
      <c r="F2730" s="137"/>
      <c r="G2730" s="2" t="s">
        <v>22</v>
      </c>
      <c r="H2730" s="115">
        <v>1</v>
      </c>
      <c r="I2730" s="61">
        <v>1108.1199999999999</v>
      </c>
      <c r="J2730" s="61">
        <v>1108.1199999999999</v>
      </c>
    </row>
    <row r="2731" spans="1:10" ht="24" customHeight="1" x14ac:dyDescent="0.2">
      <c r="A2731" s="113" t="s">
        <v>1859</v>
      </c>
      <c r="B2731" s="114" t="s">
        <v>1899</v>
      </c>
      <c r="C2731" s="113" t="s">
        <v>20</v>
      </c>
      <c r="D2731" s="113" t="s">
        <v>1898</v>
      </c>
      <c r="E2731" s="139" t="s">
        <v>1369</v>
      </c>
      <c r="F2731" s="139"/>
      <c r="G2731" s="112" t="s">
        <v>49</v>
      </c>
      <c r="H2731" s="111">
        <v>1.43E-2</v>
      </c>
      <c r="I2731" s="110">
        <v>162.78</v>
      </c>
      <c r="J2731" s="110">
        <v>2.33</v>
      </c>
    </row>
    <row r="2732" spans="1:10" ht="24" customHeight="1" x14ac:dyDescent="0.2">
      <c r="A2732" s="113" t="s">
        <v>1859</v>
      </c>
      <c r="B2732" s="114" t="s">
        <v>1897</v>
      </c>
      <c r="C2732" s="113" t="s">
        <v>20</v>
      </c>
      <c r="D2732" s="113" t="s">
        <v>1896</v>
      </c>
      <c r="E2732" s="139" t="s">
        <v>1369</v>
      </c>
      <c r="F2732" s="139"/>
      <c r="G2732" s="112" t="s">
        <v>96</v>
      </c>
      <c r="H2732" s="111">
        <v>5</v>
      </c>
      <c r="I2732" s="110">
        <v>0.6</v>
      </c>
      <c r="J2732" s="110">
        <v>3</v>
      </c>
    </row>
    <row r="2733" spans="1:10" ht="24" customHeight="1" x14ac:dyDescent="0.2">
      <c r="A2733" s="113" t="s">
        <v>1859</v>
      </c>
      <c r="B2733" s="114" t="s">
        <v>2100</v>
      </c>
      <c r="C2733" s="113" t="s">
        <v>20</v>
      </c>
      <c r="D2733" s="113" t="s">
        <v>2099</v>
      </c>
      <c r="E2733" s="139" t="s">
        <v>1369</v>
      </c>
      <c r="F2733" s="139"/>
      <c r="G2733" s="112" t="s">
        <v>22</v>
      </c>
      <c r="H2733" s="111">
        <v>1</v>
      </c>
      <c r="I2733" s="110">
        <v>1071.43</v>
      </c>
      <c r="J2733" s="110">
        <v>1071.43</v>
      </c>
    </row>
    <row r="2734" spans="1:10" ht="24" customHeight="1" x14ac:dyDescent="0.2">
      <c r="A2734" s="113" t="s">
        <v>1859</v>
      </c>
      <c r="B2734" s="114" t="s">
        <v>1866</v>
      </c>
      <c r="C2734" s="113" t="s">
        <v>20</v>
      </c>
      <c r="D2734" s="113" t="s">
        <v>1865</v>
      </c>
      <c r="E2734" s="139" t="s">
        <v>1860</v>
      </c>
      <c r="F2734" s="139"/>
      <c r="G2734" s="112" t="s">
        <v>1864</v>
      </c>
      <c r="H2734" s="111">
        <v>1.2995000000000001</v>
      </c>
      <c r="I2734" s="110">
        <v>15.97</v>
      </c>
      <c r="J2734" s="110">
        <v>20.75</v>
      </c>
    </row>
    <row r="2735" spans="1:10" ht="24" customHeight="1" x14ac:dyDescent="0.2">
      <c r="A2735" s="113" t="s">
        <v>1859</v>
      </c>
      <c r="B2735" s="114" t="s">
        <v>1872</v>
      </c>
      <c r="C2735" s="113" t="s">
        <v>20</v>
      </c>
      <c r="D2735" s="113" t="s">
        <v>1871</v>
      </c>
      <c r="E2735" s="139" t="s">
        <v>1860</v>
      </c>
      <c r="F2735" s="139"/>
      <c r="G2735" s="112" t="s">
        <v>1864</v>
      </c>
      <c r="H2735" s="111">
        <v>0.99950000000000006</v>
      </c>
      <c r="I2735" s="110">
        <v>10.62</v>
      </c>
      <c r="J2735" s="110">
        <v>10.61</v>
      </c>
    </row>
    <row r="2736" spans="1:10" x14ac:dyDescent="0.2">
      <c r="A2736" s="109"/>
      <c r="B2736" s="109"/>
      <c r="C2736" s="109"/>
      <c r="D2736" s="109"/>
      <c r="E2736" s="109" t="s">
        <v>1858</v>
      </c>
      <c r="F2736" s="108">
        <v>31.36</v>
      </c>
      <c r="G2736" s="109" t="s">
        <v>1857</v>
      </c>
      <c r="H2736" s="108">
        <v>0</v>
      </c>
      <c r="I2736" s="109" t="s">
        <v>1856</v>
      </c>
      <c r="J2736" s="108">
        <v>31.36</v>
      </c>
    </row>
    <row r="2737" spans="1:10" ht="13.9" customHeight="1" x14ac:dyDescent="0.2">
      <c r="A2737" s="109"/>
      <c r="B2737" s="109"/>
      <c r="C2737" s="109"/>
      <c r="D2737" s="109"/>
      <c r="E2737" s="109" t="s">
        <v>1855</v>
      </c>
      <c r="F2737" s="108">
        <v>294.20585999999997</v>
      </c>
      <c r="G2737" s="109"/>
      <c r="H2737" s="140" t="s">
        <v>1854</v>
      </c>
      <c r="I2737" s="140"/>
      <c r="J2737" s="108">
        <v>1402.33</v>
      </c>
    </row>
    <row r="2738" spans="1:10" ht="30" customHeight="1" thickBot="1" x14ac:dyDescent="0.25">
      <c r="A2738" s="100"/>
      <c r="B2738" s="100"/>
      <c r="C2738" s="100"/>
      <c r="D2738" s="100"/>
      <c r="E2738" s="100"/>
      <c r="F2738" s="100"/>
      <c r="G2738" s="100" t="s">
        <v>1853</v>
      </c>
      <c r="H2738" s="107">
        <v>0.8</v>
      </c>
      <c r="I2738" s="100" t="s">
        <v>1852</v>
      </c>
      <c r="J2738" s="102">
        <v>1121.8599999999999</v>
      </c>
    </row>
    <row r="2739" spans="1:10" ht="1.1499999999999999" customHeight="1" thickTop="1" x14ac:dyDescent="0.2">
      <c r="A2739" s="106"/>
      <c r="B2739" s="106"/>
      <c r="C2739" s="106"/>
      <c r="D2739" s="106"/>
      <c r="E2739" s="106"/>
      <c r="F2739" s="106"/>
      <c r="G2739" s="106"/>
      <c r="H2739" s="106"/>
      <c r="I2739" s="106"/>
      <c r="J2739" s="106"/>
    </row>
    <row r="2740" spans="1:10" ht="18" customHeight="1" x14ac:dyDescent="0.2">
      <c r="A2740" s="117" t="s">
        <v>672</v>
      </c>
      <c r="B2740" s="126" t="s">
        <v>5</v>
      </c>
      <c r="C2740" s="117" t="s">
        <v>6</v>
      </c>
      <c r="D2740" s="117" t="s">
        <v>7</v>
      </c>
      <c r="E2740" s="136" t="s">
        <v>1113</v>
      </c>
      <c r="F2740" s="136"/>
      <c r="G2740" s="7" t="s">
        <v>8</v>
      </c>
      <c r="H2740" s="126" t="s">
        <v>9</v>
      </c>
      <c r="I2740" s="126" t="s">
        <v>10</v>
      </c>
      <c r="J2740" s="126" t="s">
        <v>12</v>
      </c>
    </row>
    <row r="2741" spans="1:10" ht="24" customHeight="1" x14ac:dyDescent="0.2">
      <c r="A2741" s="116" t="s">
        <v>1861</v>
      </c>
      <c r="B2741" s="1" t="s">
        <v>638</v>
      </c>
      <c r="C2741" s="116" t="s">
        <v>20</v>
      </c>
      <c r="D2741" s="116" t="s">
        <v>673</v>
      </c>
      <c r="E2741" s="137">
        <v>18</v>
      </c>
      <c r="F2741" s="137"/>
      <c r="G2741" s="2" t="s">
        <v>22</v>
      </c>
      <c r="H2741" s="115">
        <v>1</v>
      </c>
      <c r="I2741" s="61">
        <v>1108.1199999999999</v>
      </c>
      <c r="J2741" s="61">
        <v>1108.1199999999999</v>
      </c>
    </row>
    <row r="2742" spans="1:10" ht="24" customHeight="1" x14ac:dyDescent="0.2">
      <c r="A2742" s="113" t="s">
        <v>1859</v>
      </c>
      <c r="B2742" s="114" t="s">
        <v>1899</v>
      </c>
      <c r="C2742" s="113" t="s">
        <v>20</v>
      </c>
      <c r="D2742" s="113" t="s">
        <v>1898</v>
      </c>
      <c r="E2742" s="139" t="s">
        <v>1369</v>
      </c>
      <c r="F2742" s="139"/>
      <c r="G2742" s="112" t="s">
        <v>49</v>
      </c>
      <c r="H2742" s="111">
        <v>1.43E-2</v>
      </c>
      <c r="I2742" s="110">
        <v>162.78</v>
      </c>
      <c r="J2742" s="110">
        <v>2.33</v>
      </c>
    </row>
    <row r="2743" spans="1:10" ht="24" customHeight="1" x14ac:dyDescent="0.2">
      <c r="A2743" s="113" t="s">
        <v>1859</v>
      </c>
      <c r="B2743" s="114" t="s">
        <v>1897</v>
      </c>
      <c r="C2743" s="113" t="s">
        <v>20</v>
      </c>
      <c r="D2743" s="113" t="s">
        <v>1896</v>
      </c>
      <c r="E2743" s="139" t="s">
        <v>1369</v>
      </c>
      <c r="F2743" s="139"/>
      <c r="G2743" s="112" t="s">
        <v>96</v>
      </c>
      <c r="H2743" s="111">
        <v>5</v>
      </c>
      <c r="I2743" s="110">
        <v>0.6</v>
      </c>
      <c r="J2743" s="110">
        <v>3</v>
      </c>
    </row>
    <row r="2744" spans="1:10" ht="24" customHeight="1" x14ac:dyDescent="0.2">
      <c r="A2744" s="113" t="s">
        <v>1859</v>
      </c>
      <c r="B2744" s="114" t="s">
        <v>2100</v>
      </c>
      <c r="C2744" s="113" t="s">
        <v>20</v>
      </c>
      <c r="D2744" s="113" t="s">
        <v>2099</v>
      </c>
      <c r="E2744" s="139" t="s">
        <v>1369</v>
      </c>
      <c r="F2744" s="139"/>
      <c r="G2744" s="112" t="s">
        <v>22</v>
      </c>
      <c r="H2744" s="111">
        <v>1</v>
      </c>
      <c r="I2744" s="110">
        <v>1071.43</v>
      </c>
      <c r="J2744" s="110">
        <v>1071.43</v>
      </c>
    </row>
    <row r="2745" spans="1:10" ht="24" customHeight="1" x14ac:dyDescent="0.2">
      <c r="A2745" s="113" t="s">
        <v>1859</v>
      </c>
      <c r="B2745" s="114" t="s">
        <v>1866</v>
      </c>
      <c r="C2745" s="113" t="s">
        <v>20</v>
      </c>
      <c r="D2745" s="113" t="s">
        <v>1865</v>
      </c>
      <c r="E2745" s="139" t="s">
        <v>1860</v>
      </c>
      <c r="F2745" s="139"/>
      <c r="G2745" s="112" t="s">
        <v>1864</v>
      </c>
      <c r="H2745" s="111">
        <v>1.2995000000000001</v>
      </c>
      <c r="I2745" s="110">
        <v>15.97</v>
      </c>
      <c r="J2745" s="110">
        <v>20.75</v>
      </c>
    </row>
    <row r="2746" spans="1:10" ht="24" customHeight="1" x14ac:dyDescent="0.2">
      <c r="A2746" s="113" t="s">
        <v>1859</v>
      </c>
      <c r="B2746" s="114" t="s">
        <v>1872</v>
      </c>
      <c r="C2746" s="113" t="s">
        <v>20</v>
      </c>
      <c r="D2746" s="113" t="s">
        <v>1871</v>
      </c>
      <c r="E2746" s="139" t="s">
        <v>1860</v>
      </c>
      <c r="F2746" s="139"/>
      <c r="G2746" s="112" t="s">
        <v>1864</v>
      </c>
      <c r="H2746" s="111">
        <v>0.99950000000000006</v>
      </c>
      <c r="I2746" s="110">
        <v>10.62</v>
      </c>
      <c r="J2746" s="110">
        <v>10.61</v>
      </c>
    </row>
    <row r="2747" spans="1:10" x14ac:dyDescent="0.2">
      <c r="A2747" s="109"/>
      <c r="B2747" s="109"/>
      <c r="C2747" s="109"/>
      <c r="D2747" s="109"/>
      <c r="E2747" s="109" t="s">
        <v>1858</v>
      </c>
      <c r="F2747" s="108">
        <v>31.36</v>
      </c>
      <c r="G2747" s="109" t="s">
        <v>1857</v>
      </c>
      <c r="H2747" s="108">
        <v>0</v>
      </c>
      <c r="I2747" s="109" t="s">
        <v>1856</v>
      </c>
      <c r="J2747" s="108">
        <v>31.36</v>
      </c>
    </row>
    <row r="2748" spans="1:10" ht="13.9" customHeight="1" x14ac:dyDescent="0.2">
      <c r="A2748" s="109"/>
      <c r="B2748" s="109"/>
      <c r="C2748" s="109"/>
      <c r="D2748" s="109"/>
      <c r="E2748" s="109" t="s">
        <v>1855</v>
      </c>
      <c r="F2748" s="108">
        <v>294.20585999999997</v>
      </c>
      <c r="G2748" s="109"/>
      <c r="H2748" s="140" t="s">
        <v>1854</v>
      </c>
      <c r="I2748" s="140"/>
      <c r="J2748" s="108">
        <v>1402.33</v>
      </c>
    </row>
    <row r="2749" spans="1:10" ht="30" customHeight="1" thickBot="1" x14ac:dyDescent="0.25">
      <c r="A2749" s="100"/>
      <c r="B2749" s="100"/>
      <c r="C2749" s="100"/>
      <c r="D2749" s="100"/>
      <c r="E2749" s="100"/>
      <c r="F2749" s="100"/>
      <c r="G2749" s="100" t="s">
        <v>1853</v>
      </c>
      <c r="H2749" s="107">
        <v>1.68</v>
      </c>
      <c r="I2749" s="100" t="s">
        <v>1852</v>
      </c>
      <c r="J2749" s="102">
        <v>2355.91</v>
      </c>
    </row>
    <row r="2750" spans="1:10" ht="1.1499999999999999" customHeight="1" thickTop="1" x14ac:dyDescent="0.2">
      <c r="A2750" s="106"/>
      <c r="B2750" s="106"/>
      <c r="C2750" s="106"/>
      <c r="D2750" s="106"/>
      <c r="E2750" s="106"/>
      <c r="F2750" s="106"/>
      <c r="G2750" s="106"/>
      <c r="H2750" s="106"/>
      <c r="I2750" s="106"/>
      <c r="J2750" s="106"/>
    </row>
    <row r="2751" spans="1:10" ht="18" customHeight="1" x14ac:dyDescent="0.2">
      <c r="A2751" s="117" t="s">
        <v>674</v>
      </c>
      <c r="B2751" s="126" t="s">
        <v>5</v>
      </c>
      <c r="C2751" s="117" t="s">
        <v>6</v>
      </c>
      <c r="D2751" s="117" t="s">
        <v>7</v>
      </c>
      <c r="E2751" s="136" t="s">
        <v>1113</v>
      </c>
      <c r="F2751" s="136"/>
      <c r="G2751" s="7" t="s">
        <v>8</v>
      </c>
      <c r="H2751" s="126" t="s">
        <v>9</v>
      </c>
      <c r="I2751" s="126" t="s">
        <v>10</v>
      </c>
      <c r="J2751" s="126" t="s">
        <v>12</v>
      </c>
    </row>
    <row r="2752" spans="1:10" ht="24" customHeight="1" x14ac:dyDescent="0.2">
      <c r="A2752" s="116" t="s">
        <v>1861</v>
      </c>
      <c r="B2752" s="1" t="s">
        <v>675</v>
      </c>
      <c r="C2752" s="116" t="s">
        <v>20</v>
      </c>
      <c r="D2752" s="116" t="s">
        <v>676</v>
      </c>
      <c r="E2752" s="137">
        <v>23</v>
      </c>
      <c r="F2752" s="137"/>
      <c r="G2752" s="2" t="s">
        <v>37</v>
      </c>
      <c r="H2752" s="115">
        <v>1</v>
      </c>
      <c r="I2752" s="61">
        <v>13.13</v>
      </c>
      <c r="J2752" s="61">
        <v>13.13</v>
      </c>
    </row>
    <row r="2753" spans="1:10" ht="24" customHeight="1" x14ac:dyDescent="0.2">
      <c r="A2753" s="113" t="s">
        <v>1859</v>
      </c>
      <c r="B2753" s="114" t="s">
        <v>2098</v>
      </c>
      <c r="C2753" s="113" t="s">
        <v>20</v>
      </c>
      <c r="D2753" s="113" t="s">
        <v>2097</v>
      </c>
      <c r="E2753" s="139" t="s">
        <v>1369</v>
      </c>
      <c r="F2753" s="139"/>
      <c r="G2753" s="112" t="s">
        <v>246</v>
      </c>
      <c r="H2753" s="111">
        <v>1</v>
      </c>
      <c r="I2753" s="110">
        <v>6.48</v>
      </c>
      <c r="J2753" s="110">
        <v>6.48</v>
      </c>
    </row>
    <row r="2754" spans="1:10" ht="24" customHeight="1" x14ac:dyDescent="0.2">
      <c r="A2754" s="113" t="s">
        <v>1859</v>
      </c>
      <c r="B2754" s="114" t="s">
        <v>1951</v>
      </c>
      <c r="C2754" s="113" t="s">
        <v>20</v>
      </c>
      <c r="D2754" s="113" t="s">
        <v>1950</v>
      </c>
      <c r="E2754" s="139" t="s">
        <v>1860</v>
      </c>
      <c r="F2754" s="139"/>
      <c r="G2754" s="112" t="s">
        <v>1864</v>
      </c>
      <c r="H2754" s="111">
        <v>0.25</v>
      </c>
      <c r="I2754" s="110">
        <v>10.62</v>
      </c>
      <c r="J2754" s="110">
        <v>2.66</v>
      </c>
    </row>
    <row r="2755" spans="1:10" ht="24" customHeight="1" x14ac:dyDescent="0.2">
      <c r="A2755" s="113" t="s">
        <v>1859</v>
      </c>
      <c r="B2755" s="114" t="s">
        <v>2060</v>
      </c>
      <c r="C2755" s="113" t="s">
        <v>20</v>
      </c>
      <c r="D2755" s="113" t="s">
        <v>2059</v>
      </c>
      <c r="E2755" s="139" t="s">
        <v>1860</v>
      </c>
      <c r="F2755" s="139"/>
      <c r="G2755" s="112" t="s">
        <v>1864</v>
      </c>
      <c r="H2755" s="111">
        <v>0.25</v>
      </c>
      <c r="I2755" s="110">
        <v>15.97</v>
      </c>
      <c r="J2755" s="110">
        <v>3.99</v>
      </c>
    </row>
    <row r="2756" spans="1:10" x14ac:dyDescent="0.2">
      <c r="A2756" s="109"/>
      <c r="B2756" s="109"/>
      <c r="C2756" s="109"/>
      <c r="D2756" s="109"/>
      <c r="E2756" s="109" t="s">
        <v>1858</v>
      </c>
      <c r="F2756" s="108">
        <v>6.65</v>
      </c>
      <c r="G2756" s="109" t="s">
        <v>1857</v>
      </c>
      <c r="H2756" s="108">
        <v>0</v>
      </c>
      <c r="I2756" s="109" t="s">
        <v>1856</v>
      </c>
      <c r="J2756" s="108">
        <v>6.65</v>
      </c>
    </row>
    <row r="2757" spans="1:10" ht="13.9" customHeight="1" x14ac:dyDescent="0.2">
      <c r="A2757" s="109"/>
      <c r="B2757" s="109"/>
      <c r="C2757" s="109"/>
      <c r="D2757" s="109"/>
      <c r="E2757" s="109" t="s">
        <v>1855</v>
      </c>
      <c r="F2757" s="108">
        <v>3.4860150000000001</v>
      </c>
      <c r="G2757" s="109"/>
      <c r="H2757" s="140" t="s">
        <v>1854</v>
      </c>
      <c r="I2757" s="140"/>
      <c r="J2757" s="108">
        <v>16.62</v>
      </c>
    </row>
    <row r="2758" spans="1:10" ht="30" customHeight="1" thickBot="1" x14ac:dyDescent="0.25">
      <c r="A2758" s="100"/>
      <c r="B2758" s="100"/>
      <c r="C2758" s="100"/>
      <c r="D2758" s="100"/>
      <c r="E2758" s="100"/>
      <c r="F2758" s="100"/>
      <c r="G2758" s="100" t="s">
        <v>1853</v>
      </c>
      <c r="H2758" s="107">
        <v>42</v>
      </c>
      <c r="I2758" s="100" t="s">
        <v>1852</v>
      </c>
      <c r="J2758" s="102">
        <v>698.04</v>
      </c>
    </row>
    <row r="2759" spans="1:10" ht="1.1499999999999999" customHeight="1" thickTop="1" x14ac:dyDescent="0.2">
      <c r="A2759" s="106"/>
      <c r="B2759" s="106"/>
      <c r="C2759" s="106"/>
      <c r="D2759" s="106"/>
      <c r="E2759" s="106"/>
      <c r="F2759" s="106"/>
      <c r="G2759" s="106"/>
      <c r="H2759" s="106"/>
      <c r="I2759" s="106"/>
      <c r="J2759" s="106"/>
    </row>
    <row r="2760" spans="1:10" ht="18" customHeight="1" x14ac:dyDescent="0.2">
      <c r="A2760" s="117" t="s">
        <v>677</v>
      </c>
      <c r="B2760" s="126" t="s">
        <v>5</v>
      </c>
      <c r="C2760" s="117" t="s">
        <v>6</v>
      </c>
      <c r="D2760" s="117" t="s">
        <v>7</v>
      </c>
      <c r="E2760" s="136" t="s">
        <v>1113</v>
      </c>
      <c r="F2760" s="136"/>
      <c r="G2760" s="7" t="s">
        <v>8</v>
      </c>
      <c r="H2760" s="126" t="s">
        <v>9</v>
      </c>
      <c r="I2760" s="126" t="s">
        <v>10</v>
      </c>
      <c r="J2760" s="126" t="s">
        <v>12</v>
      </c>
    </row>
    <row r="2761" spans="1:10" ht="24" customHeight="1" x14ac:dyDescent="0.2">
      <c r="A2761" s="116" t="s">
        <v>1861</v>
      </c>
      <c r="B2761" s="1" t="s">
        <v>678</v>
      </c>
      <c r="C2761" s="116" t="s">
        <v>20</v>
      </c>
      <c r="D2761" s="116" t="s">
        <v>679</v>
      </c>
      <c r="E2761" s="137">
        <v>23</v>
      </c>
      <c r="F2761" s="137"/>
      <c r="G2761" s="2" t="s">
        <v>37</v>
      </c>
      <c r="H2761" s="115">
        <v>1</v>
      </c>
      <c r="I2761" s="61">
        <v>140.97</v>
      </c>
      <c r="J2761" s="61">
        <v>140.97</v>
      </c>
    </row>
    <row r="2762" spans="1:10" ht="24" customHeight="1" x14ac:dyDescent="0.2">
      <c r="A2762" s="113" t="s">
        <v>1859</v>
      </c>
      <c r="B2762" s="114" t="s">
        <v>2096</v>
      </c>
      <c r="C2762" s="113" t="s">
        <v>20</v>
      </c>
      <c r="D2762" s="113" t="s">
        <v>2095</v>
      </c>
      <c r="E2762" s="139" t="s">
        <v>1369</v>
      </c>
      <c r="F2762" s="139"/>
      <c r="G2762" s="112" t="s">
        <v>246</v>
      </c>
      <c r="H2762" s="111">
        <v>1</v>
      </c>
      <c r="I2762" s="110">
        <v>125</v>
      </c>
      <c r="J2762" s="110">
        <v>125</v>
      </c>
    </row>
    <row r="2763" spans="1:10" ht="24" customHeight="1" x14ac:dyDescent="0.2">
      <c r="A2763" s="113" t="s">
        <v>1859</v>
      </c>
      <c r="B2763" s="114" t="s">
        <v>2060</v>
      </c>
      <c r="C2763" s="113" t="s">
        <v>20</v>
      </c>
      <c r="D2763" s="113" t="s">
        <v>2059</v>
      </c>
      <c r="E2763" s="139" t="s">
        <v>1860</v>
      </c>
      <c r="F2763" s="139"/>
      <c r="G2763" s="112" t="s">
        <v>1864</v>
      </c>
      <c r="H2763" s="111">
        <v>1</v>
      </c>
      <c r="I2763" s="110">
        <v>15.97</v>
      </c>
      <c r="J2763" s="110">
        <v>15.97</v>
      </c>
    </row>
    <row r="2764" spans="1:10" x14ac:dyDescent="0.2">
      <c r="A2764" s="109"/>
      <c r="B2764" s="109"/>
      <c r="C2764" s="109"/>
      <c r="D2764" s="109"/>
      <c r="E2764" s="109" t="s">
        <v>1858</v>
      </c>
      <c r="F2764" s="108">
        <v>15.97</v>
      </c>
      <c r="G2764" s="109" t="s">
        <v>1857</v>
      </c>
      <c r="H2764" s="108">
        <v>0</v>
      </c>
      <c r="I2764" s="109" t="s">
        <v>1856</v>
      </c>
      <c r="J2764" s="108">
        <v>15.97</v>
      </c>
    </row>
    <row r="2765" spans="1:10" ht="13.9" customHeight="1" x14ac:dyDescent="0.2">
      <c r="A2765" s="109"/>
      <c r="B2765" s="109"/>
      <c r="C2765" s="109"/>
      <c r="D2765" s="109"/>
      <c r="E2765" s="109" t="s">
        <v>1855</v>
      </c>
      <c r="F2765" s="108">
        <v>37.427534999999999</v>
      </c>
      <c r="G2765" s="109"/>
      <c r="H2765" s="140" t="s">
        <v>1854</v>
      </c>
      <c r="I2765" s="140"/>
      <c r="J2765" s="108">
        <v>178.4</v>
      </c>
    </row>
    <row r="2766" spans="1:10" ht="30" customHeight="1" thickBot="1" x14ac:dyDescent="0.25">
      <c r="A2766" s="100"/>
      <c r="B2766" s="100"/>
      <c r="C2766" s="100"/>
      <c r="D2766" s="100"/>
      <c r="E2766" s="100"/>
      <c r="F2766" s="100"/>
      <c r="G2766" s="100" t="s">
        <v>1853</v>
      </c>
      <c r="H2766" s="107">
        <v>20</v>
      </c>
      <c r="I2766" s="100" t="s">
        <v>1852</v>
      </c>
      <c r="J2766" s="102">
        <v>3568</v>
      </c>
    </row>
    <row r="2767" spans="1:10" ht="1.1499999999999999" customHeight="1" thickTop="1" x14ac:dyDescent="0.2">
      <c r="A2767" s="106"/>
      <c r="B2767" s="106"/>
      <c r="C2767" s="106"/>
      <c r="D2767" s="106"/>
      <c r="E2767" s="106"/>
      <c r="F2767" s="106"/>
      <c r="G2767" s="106"/>
      <c r="H2767" s="106"/>
      <c r="I2767" s="106"/>
      <c r="J2767" s="106"/>
    </row>
    <row r="2768" spans="1:10" ht="18" customHeight="1" x14ac:dyDescent="0.2">
      <c r="A2768" s="117" t="s">
        <v>680</v>
      </c>
      <c r="B2768" s="126" t="s">
        <v>5</v>
      </c>
      <c r="C2768" s="117" t="s">
        <v>6</v>
      </c>
      <c r="D2768" s="117" t="s">
        <v>7</v>
      </c>
      <c r="E2768" s="136" t="s">
        <v>1113</v>
      </c>
      <c r="F2768" s="136"/>
      <c r="G2768" s="7" t="s">
        <v>8</v>
      </c>
      <c r="H2768" s="126" t="s">
        <v>9</v>
      </c>
      <c r="I2768" s="126" t="s">
        <v>10</v>
      </c>
      <c r="J2768" s="126" t="s">
        <v>12</v>
      </c>
    </row>
    <row r="2769" spans="1:10" ht="36" customHeight="1" x14ac:dyDescent="0.2">
      <c r="A2769" s="116" t="s">
        <v>1861</v>
      </c>
      <c r="B2769" s="1" t="s">
        <v>681</v>
      </c>
      <c r="C2769" s="116" t="s">
        <v>25</v>
      </c>
      <c r="D2769" s="116" t="s">
        <v>682</v>
      </c>
      <c r="E2769" s="137" t="s">
        <v>1398</v>
      </c>
      <c r="F2769" s="137"/>
      <c r="G2769" s="2" t="s">
        <v>92</v>
      </c>
      <c r="H2769" s="115">
        <v>1</v>
      </c>
      <c r="I2769" s="61">
        <v>38.840000000000003</v>
      </c>
      <c r="J2769" s="61">
        <v>38.840000000000003</v>
      </c>
    </row>
    <row r="2770" spans="1:10" ht="24" customHeight="1" x14ac:dyDescent="0.2">
      <c r="A2770" s="121" t="s">
        <v>1888</v>
      </c>
      <c r="B2770" s="122" t="s">
        <v>2094</v>
      </c>
      <c r="C2770" s="121" t="s">
        <v>25</v>
      </c>
      <c r="D2770" s="121" t="s">
        <v>2093</v>
      </c>
      <c r="E2770" s="138" t="s">
        <v>1902</v>
      </c>
      <c r="F2770" s="138"/>
      <c r="G2770" s="120" t="s">
        <v>61</v>
      </c>
      <c r="H2770" s="119">
        <v>0.625</v>
      </c>
      <c r="I2770" s="118">
        <v>15.78</v>
      </c>
      <c r="J2770" s="118">
        <v>9.86</v>
      </c>
    </row>
    <row r="2771" spans="1:10" ht="24" customHeight="1" x14ac:dyDescent="0.2">
      <c r="A2771" s="121" t="s">
        <v>1888</v>
      </c>
      <c r="B2771" s="122" t="s">
        <v>2092</v>
      </c>
      <c r="C2771" s="121" t="s">
        <v>25</v>
      </c>
      <c r="D2771" s="121" t="s">
        <v>2091</v>
      </c>
      <c r="E2771" s="138" t="s">
        <v>1902</v>
      </c>
      <c r="F2771" s="138"/>
      <c r="G2771" s="120" t="s">
        <v>61</v>
      </c>
      <c r="H2771" s="119">
        <v>0.625</v>
      </c>
      <c r="I2771" s="118">
        <v>20.399999999999999</v>
      </c>
      <c r="J2771" s="118">
        <v>12.75</v>
      </c>
    </row>
    <row r="2772" spans="1:10" ht="36" customHeight="1" x14ac:dyDescent="0.2">
      <c r="A2772" s="113" t="s">
        <v>1859</v>
      </c>
      <c r="B2772" s="114" t="s">
        <v>2090</v>
      </c>
      <c r="C2772" s="113" t="s">
        <v>25</v>
      </c>
      <c r="D2772" s="113" t="s">
        <v>2089</v>
      </c>
      <c r="E2772" s="139" t="s">
        <v>1369</v>
      </c>
      <c r="F2772" s="139"/>
      <c r="G2772" s="112" t="s">
        <v>92</v>
      </c>
      <c r="H2772" s="111">
        <v>1</v>
      </c>
      <c r="I2772" s="110">
        <v>16.23</v>
      </c>
      <c r="J2772" s="110">
        <v>16.23</v>
      </c>
    </row>
    <row r="2773" spans="1:10" x14ac:dyDescent="0.2">
      <c r="A2773" s="109"/>
      <c r="B2773" s="109"/>
      <c r="C2773" s="109"/>
      <c r="D2773" s="109"/>
      <c r="E2773" s="109" t="s">
        <v>1858</v>
      </c>
      <c r="F2773" s="108">
        <v>15.81</v>
      </c>
      <c r="G2773" s="109" t="s">
        <v>1857</v>
      </c>
      <c r="H2773" s="108">
        <v>0</v>
      </c>
      <c r="I2773" s="109" t="s">
        <v>1856</v>
      </c>
      <c r="J2773" s="108">
        <v>15.81</v>
      </c>
    </row>
    <row r="2774" spans="1:10" ht="13.9" customHeight="1" x14ac:dyDescent="0.2">
      <c r="A2774" s="109"/>
      <c r="B2774" s="109"/>
      <c r="C2774" s="109"/>
      <c r="D2774" s="109"/>
      <c r="E2774" s="109" t="s">
        <v>1855</v>
      </c>
      <c r="F2774" s="108">
        <v>10.31202</v>
      </c>
      <c r="G2774" s="109"/>
      <c r="H2774" s="140" t="s">
        <v>1854</v>
      </c>
      <c r="I2774" s="140"/>
      <c r="J2774" s="108">
        <v>49.15</v>
      </c>
    </row>
    <row r="2775" spans="1:10" ht="30" customHeight="1" thickBot="1" x14ac:dyDescent="0.25">
      <c r="A2775" s="100"/>
      <c r="B2775" s="100"/>
      <c r="C2775" s="100"/>
      <c r="D2775" s="100"/>
      <c r="E2775" s="100"/>
      <c r="F2775" s="100"/>
      <c r="G2775" s="100" t="s">
        <v>1853</v>
      </c>
      <c r="H2775" s="107">
        <v>8</v>
      </c>
      <c r="I2775" s="100" t="s">
        <v>1852</v>
      </c>
      <c r="J2775" s="102">
        <v>393.2</v>
      </c>
    </row>
    <row r="2776" spans="1:10" ht="1.1499999999999999" customHeight="1" thickTop="1" x14ac:dyDescent="0.2">
      <c r="A2776" s="106"/>
      <c r="B2776" s="106"/>
      <c r="C2776" s="106"/>
      <c r="D2776" s="106"/>
      <c r="E2776" s="106"/>
      <c r="F2776" s="106"/>
      <c r="G2776" s="106"/>
      <c r="H2776" s="106"/>
      <c r="I2776" s="106"/>
      <c r="J2776" s="106"/>
    </row>
    <row r="2777" spans="1:10" ht="18" customHeight="1" x14ac:dyDescent="0.2">
      <c r="A2777" s="117" t="s">
        <v>683</v>
      </c>
      <c r="B2777" s="126" t="s">
        <v>5</v>
      </c>
      <c r="C2777" s="117" t="s">
        <v>6</v>
      </c>
      <c r="D2777" s="117" t="s">
        <v>7</v>
      </c>
      <c r="E2777" s="136" t="s">
        <v>1113</v>
      </c>
      <c r="F2777" s="136"/>
      <c r="G2777" s="7" t="s">
        <v>8</v>
      </c>
      <c r="H2777" s="126" t="s">
        <v>9</v>
      </c>
      <c r="I2777" s="126" t="s">
        <v>10</v>
      </c>
      <c r="J2777" s="126" t="s">
        <v>12</v>
      </c>
    </row>
    <row r="2778" spans="1:10" ht="24" customHeight="1" x14ac:dyDescent="0.2">
      <c r="A2778" s="116" t="s">
        <v>1861</v>
      </c>
      <c r="B2778" s="1" t="s">
        <v>684</v>
      </c>
      <c r="C2778" s="116" t="s">
        <v>20</v>
      </c>
      <c r="D2778" s="116" t="s">
        <v>685</v>
      </c>
      <c r="E2778" s="137">
        <v>6</v>
      </c>
      <c r="F2778" s="137"/>
      <c r="G2778" s="2" t="s">
        <v>49</v>
      </c>
      <c r="H2778" s="115">
        <v>1</v>
      </c>
      <c r="I2778" s="61">
        <v>2652.27</v>
      </c>
      <c r="J2778" s="61">
        <v>2652.27</v>
      </c>
    </row>
    <row r="2779" spans="1:10" ht="24" customHeight="1" x14ac:dyDescent="0.2">
      <c r="A2779" s="113" t="s">
        <v>1859</v>
      </c>
      <c r="B2779" s="114" t="s">
        <v>2082</v>
      </c>
      <c r="C2779" s="113" t="s">
        <v>20</v>
      </c>
      <c r="D2779" s="113" t="s">
        <v>2081</v>
      </c>
      <c r="E2779" s="139" t="s">
        <v>1369</v>
      </c>
      <c r="F2779" s="139"/>
      <c r="G2779" s="112" t="s">
        <v>96</v>
      </c>
      <c r="H2779" s="111">
        <v>25.813700000000001</v>
      </c>
      <c r="I2779" s="110">
        <v>9.2200000000000006</v>
      </c>
      <c r="J2779" s="110">
        <v>238</v>
      </c>
    </row>
    <row r="2780" spans="1:10" ht="24" customHeight="1" x14ac:dyDescent="0.2">
      <c r="A2780" s="113" t="s">
        <v>1859</v>
      </c>
      <c r="B2780" s="114" t="s">
        <v>2080</v>
      </c>
      <c r="C2780" s="113" t="s">
        <v>20</v>
      </c>
      <c r="D2780" s="113" t="s">
        <v>2079</v>
      </c>
      <c r="E2780" s="139" t="s">
        <v>1369</v>
      </c>
      <c r="F2780" s="139"/>
      <c r="G2780" s="112" t="s">
        <v>96</v>
      </c>
      <c r="H2780" s="111">
        <v>0.49</v>
      </c>
      <c r="I2780" s="110">
        <v>22.63</v>
      </c>
      <c r="J2780" s="110">
        <v>11.09</v>
      </c>
    </row>
    <row r="2781" spans="1:10" ht="24" customHeight="1" x14ac:dyDescent="0.2">
      <c r="A2781" s="113" t="s">
        <v>1859</v>
      </c>
      <c r="B2781" s="114" t="s">
        <v>2078</v>
      </c>
      <c r="C2781" s="113" t="s">
        <v>20</v>
      </c>
      <c r="D2781" s="113" t="s">
        <v>2077</v>
      </c>
      <c r="E2781" s="139" t="s">
        <v>1369</v>
      </c>
      <c r="F2781" s="139"/>
      <c r="G2781" s="112" t="s">
        <v>96</v>
      </c>
      <c r="H2781" s="111">
        <v>121</v>
      </c>
      <c r="I2781" s="110">
        <v>8.41</v>
      </c>
      <c r="J2781" s="110">
        <v>1017.61</v>
      </c>
    </row>
    <row r="2782" spans="1:10" ht="24" customHeight="1" x14ac:dyDescent="0.2">
      <c r="A2782" s="113" t="s">
        <v>1859</v>
      </c>
      <c r="B2782" s="114" t="s">
        <v>2076</v>
      </c>
      <c r="C2782" s="113" t="s">
        <v>20</v>
      </c>
      <c r="D2782" s="113" t="s">
        <v>2075</v>
      </c>
      <c r="E2782" s="139" t="s">
        <v>1369</v>
      </c>
      <c r="F2782" s="139"/>
      <c r="G2782" s="112" t="s">
        <v>49</v>
      </c>
      <c r="H2782" s="111">
        <v>0.627</v>
      </c>
      <c r="I2782" s="110">
        <v>100.76</v>
      </c>
      <c r="J2782" s="110">
        <v>63.18</v>
      </c>
    </row>
    <row r="2783" spans="1:10" ht="24" customHeight="1" x14ac:dyDescent="0.2">
      <c r="A2783" s="113" t="s">
        <v>1859</v>
      </c>
      <c r="B2783" s="114" t="s">
        <v>2074</v>
      </c>
      <c r="C2783" s="113" t="s">
        <v>20</v>
      </c>
      <c r="D2783" s="113" t="s">
        <v>2073</v>
      </c>
      <c r="E2783" s="139" t="s">
        <v>1369</v>
      </c>
      <c r="F2783" s="139"/>
      <c r="G2783" s="112" t="s">
        <v>96</v>
      </c>
      <c r="H2783" s="111">
        <v>2.6692999999999998</v>
      </c>
      <c r="I2783" s="110">
        <v>22.63</v>
      </c>
      <c r="J2783" s="110">
        <v>60.41</v>
      </c>
    </row>
    <row r="2784" spans="1:10" ht="24" customHeight="1" x14ac:dyDescent="0.2">
      <c r="A2784" s="113" t="s">
        <v>1859</v>
      </c>
      <c r="B2784" s="114" t="s">
        <v>2072</v>
      </c>
      <c r="C2784" s="113" t="s">
        <v>20</v>
      </c>
      <c r="D2784" s="113" t="s">
        <v>2071</v>
      </c>
      <c r="E2784" s="139" t="s">
        <v>1369</v>
      </c>
      <c r="F2784" s="139"/>
      <c r="G2784" s="112" t="s">
        <v>49</v>
      </c>
      <c r="H2784" s="111">
        <v>0.20899999999999999</v>
      </c>
      <c r="I2784" s="110">
        <v>100.76</v>
      </c>
      <c r="J2784" s="110">
        <v>21.06</v>
      </c>
    </row>
    <row r="2785" spans="1:10" ht="24" customHeight="1" x14ac:dyDescent="0.2">
      <c r="A2785" s="113" t="s">
        <v>1859</v>
      </c>
      <c r="B2785" s="114" t="s">
        <v>2070</v>
      </c>
      <c r="C2785" s="113" t="s">
        <v>20</v>
      </c>
      <c r="D2785" s="113" t="s">
        <v>2069</v>
      </c>
      <c r="E2785" s="139" t="s">
        <v>1369</v>
      </c>
      <c r="F2785" s="139"/>
      <c r="G2785" s="112" t="s">
        <v>49</v>
      </c>
      <c r="H2785" s="111">
        <v>0.80900000000000005</v>
      </c>
      <c r="I2785" s="110">
        <v>169.44</v>
      </c>
      <c r="J2785" s="110">
        <v>137.08000000000001</v>
      </c>
    </row>
    <row r="2786" spans="1:10" ht="24" customHeight="1" x14ac:dyDescent="0.2">
      <c r="A2786" s="113" t="s">
        <v>1859</v>
      </c>
      <c r="B2786" s="114" t="s">
        <v>1897</v>
      </c>
      <c r="C2786" s="113" t="s">
        <v>20</v>
      </c>
      <c r="D2786" s="113" t="s">
        <v>1896</v>
      </c>
      <c r="E2786" s="139" t="s">
        <v>1369</v>
      </c>
      <c r="F2786" s="139"/>
      <c r="G2786" s="112" t="s">
        <v>96</v>
      </c>
      <c r="H2786" s="111">
        <v>320</v>
      </c>
      <c r="I2786" s="110">
        <v>0.6</v>
      </c>
      <c r="J2786" s="110">
        <v>192</v>
      </c>
    </row>
    <row r="2787" spans="1:10" ht="24" customHeight="1" x14ac:dyDescent="0.2">
      <c r="A2787" s="113" t="s">
        <v>1859</v>
      </c>
      <c r="B2787" s="114" t="s">
        <v>2068</v>
      </c>
      <c r="C2787" s="113" t="s">
        <v>20</v>
      </c>
      <c r="D2787" s="113" t="s">
        <v>2067</v>
      </c>
      <c r="E2787" s="139" t="s">
        <v>1369</v>
      </c>
      <c r="F2787" s="139"/>
      <c r="G2787" s="112" t="s">
        <v>213</v>
      </c>
      <c r="H2787" s="111">
        <v>22.821999999999999</v>
      </c>
      <c r="I2787" s="110">
        <v>15.39</v>
      </c>
      <c r="J2787" s="110">
        <v>351.23</v>
      </c>
    </row>
    <row r="2788" spans="1:10" ht="24" customHeight="1" x14ac:dyDescent="0.2">
      <c r="A2788" s="113" t="s">
        <v>1859</v>
      </c>
      <c r="B2788" s="114" t="s">
        <v>2066</v>
      </c>
      <c r="C2788" s="113" t="s">
        <v>20</v>
      </c>
      <c r="D2788" s="113" t="s">
        <v>2065</v>
      </c>
      <c r="E2788" s="139" t="s">
        <v>1369</v>
      </c>
      <c r="F2788" s="139"/>
      <c r="G2788" s="112" t="s">
        <v>96</v>
      </c>
      <c r="H2788" s="111">
        <v>1.1140000000000001</v>
      </c>
      <c r="I2788" s="110">
        <v>18.170000000000002</v>
      </c>
      <c r="J2788" s="110">
        <v>20.239999999999998</v>
      </c>
    </row>
    <row r="2789" spans="1:10" ht="24" customHeight="1" x14ac:dyDescent="0.2">
      <c r="A2789" s="113" t="s">
        <v>1859</v>
      </c>
      <c r="B2789" s="114" t="s">
        <v>2064</v>
      </c>
      <c r="C2789" s="113" t="s">
        <v>20</v>
      </c>
      <c r="D2789" s="113" t="s">
        <v>2063</v>
      </c>
      <c r="E2789" s="139" t="s">
        <v>1860</v>
      </c>
      <c r="F2789" s="139"/>
      <c r="G2789" s="112" t="s">
        <v>1864</v>
      </c>
      <c r="H2789" s="111">
        <v>10.4427</v>
      </c>
      <c r="I2789" s="110">
        <v>15.97</v>
      </c>
      <c r="J2789" s="110">
        <v>166.77</v>
      </c>
    </row>
    <row r="2790" spans="1:10" ht="24" customHeight="1" x14ac:dyDescent="0.2">
      <c r="A2790" s="113" t="s">
        <v>1859</v>
      </c>
      <c r="B2790" s="114" t="s">
        <v>2062</v>
      </c>
      <c r="C2790" s="113" t="s">
        <v>20</v>
      </c>
      <c r="D2790" s="113" t="s">
        <v>2061</v>
      </c>
      <c r="E2790" s="139" t="s">
        <v>1860</v>
      </c>
      <c r="F2790" s="139"/>
      <c r="G2790" s="112" t="s">
        <v>1864</v>
      </c>
      <c r="H2790" s="111">
        <v>0.64480000000000004</v>
      </c>
      <c r="I2790" s="110">
        <v>12.74</v>
      </c>
      <c r="J2790" s="110">
        <v>8.2100000000000009</v>
      </c>
    </row>
    <row r="2791" spans="1:10" ht="24" customHeight="1" x14ac:dyDescent="0.2">
      <c r="A2791" s="113" t="s">
        <v>1859</v>
      </c>
      <c r="B2791" s="114" t="s">
        <v>1872</v>
      </c>
      <c r="C2791" s="113" t="s">
        <v>20</v>
      </c>
      <c r="D2791" s="113" t="s">
        <v>1871</v>
      </c>
      <c r="E2791" s="139" t="s">
        <v>1860</v>
      </c>
      <c r="F2791" s="139"/>
      <c r="G2791" s="112" t="s">
        <v>1864</v>
      </c>
      <c r="H2791" s="111">
        <v>5.8032000000000004</v>
      </c>
      <c r="I2791" s="110">
        <v>10.62</v>
      </c>
      <c r="J2791" s="110">
        <v>61.63</v>
      </c>
    </row>
    <row r="2792" spans="1:10" ht="24" customHeight="1" x14ac:dyDescent="0.2">
      <c r="A2792" s="113" t="s">
        <v>1859</v>
      </c>
      <c r="B2792" s="114" t="s">
        <v>1951</v>
      </c>
      <c r="C2792" s="113" t="s">
        <v>20</v>
      </c>
      <c r="D2792" s="113" t="s">
        <v>1950</v>
      </c>
      <c r="E2792" s="139" t="s">
        <v>1860</v>
      </c>
      <c r="F2792" s="139"/>
      <c r="G2792" s="112" t="s">
        <v>1864</v>
      </c>
      <c r="H2792" s="111">
        <v>16.6907</v>
      </c>
      <c r="I2792" s="110">
        <v>10.62</v>
      </c>
      <c r="J2792" s="110">
        <v>177.26</v>
      </c>
    </row>
    <row r="2793" spans="1:10" ht="24" customHeight="1" x14ac:dyDescent="0.2">
      <c r="A2793" s="113" t="s">
        <v>1859</v>
      </c>
      <c r="B2793" s="114" t="s">
        <v>1949</v>
      </c>
      <c r="C2793" s="113" t="s">
        <v>20</v>
      </c>
      <c r="D2793" s="113" t="s">
        <v>1948</v>
      </c>
      <c r="E2793" s="139" t="s">
        <v>1860</v>
      </c>
      <c r="F2793" s="139"/>
      <c r="G2793" s="112" t="s">
        <v>1864</v>
      </c>
      <c r="H2793" s="111">
        <v>1.9348000000000001</v>
      </c>
      <c r="I2793" s="110">
        <v>15.97</v>
      </c>
      <c r="J2793" s="110">
        <v>30.9</v>
      </c>
    </row>
    <row r="2794" spans="1:10" ht="24" customHeight="1" x14ac:dyDescent="0.2">
      <c r="A2794" s="113" t="s">
        <v>1859</v>
      </c>
      <c r="B2794" s="114" t="s">
        <v>2060</v>
      </c>
      <c r="C2794" s="113" t="s">
        <v>20</v>
      </c>
      <c r="D2794" s="113" t="s">
        <v>2059</v>
      </c>
      <c r="E2794" s="139" t="s">
        <v>1860</v>
      </c>
      <c r="F2794" s="139"/>
      <c r="G2794" s="112" t="s">
        <v>1864</v>
      </c>
      <c r="H2794" s="111">
        <v>5.9859999999999998</v>
      </c>
      <c r="I2794" s="110">
        <v>15.97</v>
      </c>
      <c r="J2794" s="110">
        <v>95.6</v>
      </c>
    </row>
    <row r="2795" spans="1:10" x14ac:dyDescent="0.2">
      <c r="A2795" s="109"/>
      <c r="B2795" s="109"/>
      <c r="C2795" s="109"/>
      <c r="D2795" s="109"/>
      <c r="E2795" s="109" t="s">
        <v>1858</v>
      </c>
      <c r="F2795" s="108">
        <v>540.37</v>
      </c>
      <c r="G2795" s="109" t="s">
        <v>1857</v>
      </c>
      <c r="H2795" s="108">
        <v>0</v>
      </c>
      <c r="I2795" s="109" t="s">
        <v>1856</v>
      </c>
      <c r="J2795" s="108">
        <v>540.37</v>
      </c>
    </row>
    <row r="2796" spans="1:10" ht="13.9" customHeight="1" x14ac:dyDescent="0.2">
      <c r="A2796" s="109"/>
      <c r="B2796" s="109"/>
      <c r="C2796" s="109"/>
      <c r="D2796" s="109"/>
      <c r="E2796" s="109" t="s">
        <v>1855</v>
      </c>
      <c r="F2796" s="108">
        <v>704.177685</v>
      </c>
      <c r="G2796" s="109"/>
      <c r="H2796" s="140" t="s">
        <v>1854</v>
      </c>
      <c r="I2796" s="140"/>
      <c r="J2796" s="108">
        <v>3356.45</v>
      </c>
    </row>
    <row r="2797" spans="1:10" ht="30" customHeight="1" thickBot="1" x14ac:dyDescent="0.25">
      <c r="A2797" s="100"/>
      <c r="B2797" s="100"/>
      <c r="C2797" s="100"/>
      <c r="D2797" s="100"/>
      <c r="E2797" s="100"/>
      <c r="F2797" s="100"/>
      <c r="G2797" s="100" t="s">
        <v>1853</v>
      </c>
      <c r="H2797" s="107">
        <v>1.1599999999999999</v>
      </c>
      <c r="I2797" s="100" t="s">
        <v>1852</v>
      </c>
      <c r="J2797" s="102">
        <v>3893.48</v>
      </c>
    </row>
    <row r="2798" spans="1:10" ht="1.1499999999999999" customHeight="1" thickTop="1" x14ac:dyDescent="0.2">
      <c r="A2798" s="106"/>
      <c r="B2798" s="106"/>
      <c r="C2798" s="106"/>
      <c r="D2798" s="106"/>
      <c r="E2798" s="106"/>
      <c r="F2798" s="106"/>
      <c r="G2798" s="106"/>
      <c r="H2798" s="106"/>
      <c r="I2798" s="106"/>
      <c r="J2798" s="106"/>
    </row>
    <row r="2799" spans="1:10" ht="18" customHeight="1" x14ac:dyDescent="0.2">
      <c r="A2799" s="117"/>
      <c r="B2799" s="126" t="s">
        <v>5</v>
      </c>
      <c r="C2799" s="117" t="s">
        <v>6</v>
      </c>
      <c r="D2799" s="117" t="s">
        <v>7</v>
      </c>
      <c r="E2799" s="136" t="s">
        <v>1113</v>
      </c>
      <c r="F2799" s="136"/>
      <c r="G2799" s="7" t="s">
        <v>8</v>
      </c>
      <c r="H2799" s="126" t="s">
        <v>9</v>
      </c>
      <c r="I2799" s="126" t="s">
        <v>10</v>
      </c>
      <c r="J2799" s="126" t="s">
        <v>12</v>
      </c>
    </row>
    <row r="2800" spans="1:10" ht="72" customHeight="1" x14ac:dyDescent="0.2">
      <c r="A2800" s="116" t="s">
        <v>1859</v>
      </c>
      <c r="B2800" s="1" t="s">
        <v>1249</v>
      </c>
      <c r="C2800" s="116" t="s">
        <v>25</v>
      </c>
      <c r="D2800" s="116" t="s">
        <v>1248</v>
      </c>
      <c r="E2800" s="137" t="s">
        <v>1369</v>
      </c>
      <c r="F2800" s="137"/>
      <c r="G2800" s="2" t="s">
        <v>1247</v>
      </c>
      <c r="H2800" s="115">
        <v>1</v>
      </c>
      <c r="I2800" s="61">
        <v>130</v>
      </c>
      <c r="J2800" s="61">
        <v>130</v>
      </c>
    </row>
    <row r="2801" spans="1:10" x14ac:dyDescent="0.2">
      <c r="A2801" s="109"/>
      <c r="B2801" s="109"/>
      <c r="C2801" s="109"/>
      <c r="D2801" s="109"/>
      <c r="E2801" s="109" t="s">
        <v>1858</v>
      </c>
      <c r="F2801" s="108">
        <v>0</v>
      </c>
      <c r="G2801" s="109" t="s">
        <v>1857</v>
      </c>
      <c r="H2801" s="108">
        <v>0</v>
      </c>
      <c r="I2801" s="109" t="s">
        <v>1856</v>
      </c>
      <c r="J2801" s="108">
        <v>0</v>
      </c>
    </row>
    <row r="2802" spans="1:10" ht="13.9" customHeight="1" x14ac:dyDescent="0.2">
      <c r="A2802" s="109"/>
      <c r="B2802" s="109"/>
      <c r="C2802" s="109"/>
      <c r="D2802" s="109"/>
      <c r="E2802" s="109" t="s">
        <v>1855</v>
      </c>
      <c r="F2802" s="108">
        <v>34.520000000000003</v>
      </c>
      <c r="G2802" s="109"/>
      <c r="H2802" s="140" t="s">
        <v>1854</v>
      </c>
      <c r="I2802" s="140"/>
      <c r="J2802" s="108">
        <v>164.52</v>
      </c>
    </row>
    <row r="2803" spans="1:10" ht="30" customHeight="1" thickBot="1" x14ac:dyDescent="0.25">
      <c r="A2803" s="100"/>
      <c r="B2803" s="100"/>
      <c r="C2803" s="100"/>
      <c r="D2803" s="100"/>
      <c r="E2803" s="100"/>
      <c r="F2803" s="100"/>
      <c r="G2803" s="100" t="s">
        <v>1853</v>
      </c>
      <c r="H2803" s="107">
        <v>13</v>
      </c>
      <c r="I2803" s="100" t="s">
        <v>1852</v>
      </c>
      <c r="J2803" s="102">
        <v>2138.7600000000002</v>
      </c>
    </row>
    <row r="2804" spans="1:10" ht="1.1499999999999999" customHeight="1" thickTop="1" x14ac:dyDescent="0.2">
      <c r="A2804" s="106"/>
      <c r="B2804" s="106"/>
      <c r="C2804" s="106"/>
      <c r="D2804" s="106"/>
      <c r="E2804" s="106"/>
      <c r="F2804" s="106"/>
      <c r="G2804" s="106"/>
      <c r="H2804" s="106"/>
      <c r="I2804" s="106"/>
      <c r="J2804" s="106"/>
    </row>
    <row r="2805" spans="1:10" ht="18" customHeight="1" x14ac:dyDescent="0.2">
      <c r="A2805" s="117"/>
      <c r="B2805" s="126" t="s">
        <v>5</v>
      </c>
      <c r="C2805" s="117" t="s">
        <v>6</v>
      </c>
      <c r="D2805" s="117" t="s">
        <v>7</v>
      </c>
      <c r="E2805" s="136" t="s">
        <v>1113</v>
      </c>
      <c r="F2805" s="136"/>
      <c r="G2805" s="7" t="s">
        <v>8</v>
      </c>
      <c r="H2805" s="126" t="s">
        <v>9</v>
      </c>
      <c r="I2805" s="126" t="s">
        <v>10</v>
      </c>
      <c r="J2805" s="126" t="s">
        <v>12</v>
      </c>
    </row>
    <row r="2806" spans="1:10" ht="48" customHeight="1" x14ac:dyDescent="0.2">
      <c r="A2806" s="116" t="s">
        <v>1859</v>
      </c>
      <c r="B2806" s="1" t="s">
        <v>1245</v>
      </c>
      <c r="C2806" s="116" t="s">
        <v>25</v>
      </c>
      <c r="D2806" s="116" t="s">
        <v>1244</v>
      </c>
      <c r="E2806" s="137" t="s">
        <v>1369</v>
      </c>
      <c r="F2806" s="137"/>
      <c r="G2806" s="2" t="s">
        <v>92</v>
      </c>
      <c r="H2806" s="115">
        <v>1</v>
      </c>
      <c r="I2806" s="61">
        <v>4.72</v>
      </c>
      <c r="J2806" s="61">
        <v>4.72</v>
      </c>
    </row>
    <row r="2807" spans="1:10" x14ac:dyDescent="0.2">
      <c r="A2807" s="109"/>
      <c r="B2807" s="109"/>
      <c r="C2807" s="109"/>
      <c r="D2807" s="109"/>
      <c r="E2807" s="109" t="s">
        <v>1858</v>
      </c>
      <c r="F2807" s="108">
        <v>0</v>
      </c>
      <c r="G2807" s="109" t="s">
        <v>1857</v>
      </c>
      <c r="H2807" s="108">
        <v>0</v>
      </c>
      <c r="I2807" s="109" t="s">
        <v>1856</v>
      </c>
      <c r="J2807" s="108">
        <v>0</v>
      </c>
    </row>
    <row r="2808" spans="1:10" ht="13.9" customHeight="1" x14ac:dyDescent="0.2">
      <c r="A2808" s="109"/>
      <c r="B2808" s="109"/>
      <c r="C2808" s="109"/>
      <c r="D2808" s="109"/>
      <c r="E2808" s="109" t="s">
        <v>1855</v>
      </c>
      <c r="F2808" s="108">
        <v>1.25</v>
      </c>
      <c r="G2808" s="109"/>
      <c r="H2808" s="140" t="s">
        <v>1854</v>
      </c>
      <c r="I2808" s="140"/>
      <c r="J2808" s="108">
        <v>5.97</v>
      </c>
    </row>
    <row r="2809" spans="1:10" ht="30" customHeight="1" thickBot="1" x14ac:dyDescent="0.25">
      <c r="A2809" s="100"/>
      <c r="B2809" s="100"/>
      <c r="C2809" s="100"/>
      <c r="D2809" s="100"/>
      <c r="E2809" s="100"/>
      <c r="F2809" s="100"/>
      <c r="G2809" s="100" t="s">
        <v>1853</v>
      </c>
      <c r="H2809" s="107">
        <v>11.9</v>
      </c>
      <c r="I2809" s="100" t="s">
        <v>1852</v>
      </c>
      <c r="J2809" s="102">
        <v>71.040000000000006</v>
      </c>
    </row>
    <row r="2810" spans="1:10" ht="1.1499999999999999" customHeight="1" thickTop="1" x14ac:dyDescent="0.2">
      <c r="A2810" s="106"/>
      <c r="B2810" s="106"/>
      <c r="C2810" s="106"/>
      <c r="D2810" s="106"/>
      <c r="E2810" s="106"/>
      <c r="F2810" s="106"/>
      <c r="G2810" s="106"/>
      <c r="H2810" s="106"/>
      <c r="I2810" s="106"/>
      <c r="J2810" s="106"/>
    </row>
    <row r="2811" spans="1:10" ht="24" customHeight="1" x14ac:dyDescent="0.2">
      <c r="A2811" s="123" t="s">
        <v>686</v>
      </c>
      <c r="B2811" s="123"/>
      <c r="C2811" s="123"/>
      <c r="D2811" s="123" t="s">
        <v>687</v>
      </c>
      <c r="E2811" s="123"/>
      <c r="F2811" s="142"/>
      <c r="G2811" s="142"/>
      <c r="H2811" s="3"/>
      <c r="I2811" s="123"/>
      <c r="J2811" s="63">
        <v>150236.24</v>
      </c>
    </row>
    <row r="2812" spans="1:10" ht="18" customHeight="1" x14ac:dyDescent="0.2">
      <c r="A2812" s="117" t="s">
        <v>688</v>
      </c>
      <c r="B2812" s="126" t="s">
        <v>5</v>
      </c>
      <c r="C2812" s="117" t="s">
        <v>6</v>
      </c>
      <c r="D2812" s="117" t="s">
        <v>7</v>
      </c>
      <c r="E2812" s="136" t="s">
        <v>1113</v>
      </c>
      <c r="F2812" s="136"/>
      <c r="G2812" s="7" t="s">
        <v>8</v>
      </c>
      <c r="H2812" s="126" t="s">
        <v>9</v>
      </c>
      <c r="I2812" s="126" t="s">
        <v>10</v>
      </c>
      <c r="J2812" s="126" t="s">
        <v>12</v>
      </c>
    </row>
    <row r="2813" spans="1:10" ht="24" customHeight="1" x14ac:dyDescent="0.2">
      <c r="A2813" s="116" t="s">
        <v>1861</v>
      </c>
      <c r="B2813" s="1" t="s">
        <v>1608</v>
      </c>
      <c r="C2813" s="116" t="s">
        <v>20</v>
      </c>
      <c r="D2813" s="116" t="s">
        <v>1622</v>
      </c>
      <c r="E2813" s="137">
        <v>18</v>
      </c>
      <c r="F2813" s="137"/>
      <c r="G2813" s="2" t="s">
        <v>22</v>
      </c>
      <c r="H2813" s="115">
        <v>1</v>
      </c>
      <c r="I2813" s="61">
        <v>947.9</v>
      </c>
      <c r="J2813" s="61">
        <v>947.9</v>
      </c>
    </row>
    <row r="2814" spans="1:10" ht="24" customHeight="1" x14ac:dyDescent="0.2">
      <c r="A2814" s="113" t="s">
        <v>1859</v>
      </c>
      <c r="B2814" s="114" t="s">
        <v>1899</v>
      </c>
      <c r="C2814" s="113" t="s">
        <v>20</v>
      </c>
      <c r="D2814" s="113" t="s">
        <v>1898</v>
      </c>
      <c r="E2814" s="139" t="s">
        <v>1369</v>
      </c>
      <c r="F2814" s="139"/>
      <c r="G2814" s="112" t="s">
        <v>49</v>
      </c>
      <c r="H2814" s="111">
        <v>1.0800000000000001E-2</v>
      </c>
      <c r="I2814" s="110">
        <v>162.78</v>
      </c>
      <c r="J2814" s="110">
        <v>1.76</v>
      </c>
    </row>
    <row r="2815" spans="1:10" ht="24" customHeight="1" x14ac:dyDescent="0.2">
      <c r="A2815" s="113" t="s">
        <v>1859</v>
      </c>
      <c r="B2815" s="114" t="s">
        <v>1897</v>
      </c>
      <c r="C2815" s="113" t="s">
        <v>20</v>
      </c>
      <c r="D2815" s="113" t="s">
        <v>1896</v>
      </c>
      <c r="E2815" s="139" t="s">
        <v>1369</v>
      </c>
      <c r="F2815" s="139"/>
      <c r="G2815" s="112" t="s">
        <v>96</v>
      </c>
      <c r="H2815" s="111">
        <v>3.7955999999999999</v>
      </c>
      <c r="I2815" s="110">
        <v>0.6</v>
      </c>
      <c r="J2815" s="110">
        <v>2.2799999999999998</v>
      </c>
    </row>
    <row r="2816" spans="1:10" ht="24" customHeight="1" x14ac:dyDescent="0.2">
      <c r="A2816" s="113" t="s">
        <v>1859</v>
      </c>
      <c r="B2816" s="114" t="s">
        <v>2088</v>
      </c>
      <c r="C2816" s="113" t="s">
        <v>20</v>
      </c>
      <c r="D2816" s="113" t="s">
        <v>2087</v>
      </c>
      <c r="E2816" s="139" t="s">
        <v>1369</v>
      </c>
      <c r="F2816" s="139"/>
      <c r="G2816" s="112" t="s">
        <v>22</v>
      </c>
      <c r="H2816" s="111">
        <v>1</v>
      </c>
      <c r="I2816" s="110">
        <v>910.41</v>
      </c>
      <c r="J2816" s="110">
        <v>910.41</v>
      </c>
    </row>
    <row r="2817" spans="1:10" ht="24" customHeight="1" x14ac:dyDescent="0.2">
      <c r="A2817" s="113" t="s">
        <v>1859</v>
      </c>
      <c r="B2817" s="114" t="s">
        <v>1866</v>
      </c>
      <c r="C2817" s="113" t="s">
        <v>20</v>
      </c>
      <c r="D2817" s="113" t="s">
        <v>1865</v>
      </c>
      <c r="E2817" s="139" t="s">
        <v>1860</v>
      </c>
      <c r="F2817" s="139"/>
      <c r="G2817" s="112" t="s">
        <v>1864</v>
      </c>
      <c r="H2817" s="111">
        <v>1.3727</v>
      </c>
      <c r="I2817" s="110">
        <v>15.97</v>
      </c>
      <c r="J2817" s="110">
        <v>21.92</v>
      </c>
    </row>
    <row r="2818" spans="1:10" ht="24" customHeight="1" x14ac:dyDescent="0.2">
      <c r="A2818" s="113" t="s">
        <v>1859</v>
      </c>
      <c r="B2818" s="114" t="s">
        <v>1872</v>
      </c>
      <c r="C2818" s="113" t="s">
        <v>20</v>
      </c>
      <c r="D2818" s="113" t="s">
        <v>1871</v>
      </c>
      <c r="E2818" s="139" t="s">
        <v>1860</v>
      </c>
      <c r="F2818" s="139"/>
      <c r="G2818" s="112" t="s">
        <v>1864</v>
      </c>
      <c r="H2818" s="111">
        <v>1.0860000000000001</v>
      </c>
      <c r="I2818" s="110">
        <v>10.62</v>
      </c>
      <c r="J2818" s="110">
        <v>11.53</v>
      </c>
    </row>
    <row r="2819" spans="1:10" x14ac:dyDescent="0.2">
      <c r="A2819" s="109"/>
      <c r="B2819" s="109"/>
      <c r="C2819" s="109"/>
      <c r="D2819" s="109"/>
      <c r="E2819" s="109" t="s">
        <v>1858</v>
      </c>
      <c r="F2819" s="108">
        <v>33.450000000000003</v>
      </c>
      <c r="G2819" s="109" t="s">
        <v>1857</v>
      </c>
      <c r="H2819" s="108">
        <v>0</v>
      </c>
      <c r="I2819" s="109" t="s">
        <v>1856</v>
      </c>
      <c r="J2819" s="108">
        <v>33.450000000000003</v>
      </c>
    </row>
    <row r="2820" spans="1:10" ht="13.9" customHeight="1" x14ac:dyDescent="0.2">
      <c r="A2820" s="109"/>
      <c r="B2820" s="109"/>
      <c r="C2820" s="109"/>
      <c r="D2820" s="109"/>
      <c r="E2820" s="109" t="s">
        <v>1855</v>
      </c>
      <c r="F2820" s="108">
        <v>251.66745</v>
      </c>
      <c r="G2820" s="109"/>
      <c r="H2820" s="140" t="s">
        <v>1854</v>
      </c>
      <c r="I2820" s="140"/>
      <c r="J2820" s="108">
        <v>1199.57</v>
      </c>
    </row>
    <row r="2821" spans="1:10" ht="30" customHeight="1" thickBot="1" x14ac:dyDescent="0.25">
      <c r="A2821" s="100"/>
      <c r="B2821" s="100"/>
      <c r="C2821" s="100"/>
      <c r="D2821" s="100"/>
      <c r="E2821" s="100"/>
      <c r="F2821" s="100"/>
      <c r="G2821" s="100" t="s">
        <v>1853</v>
      </c>
      <c r="H2821" s="107">
        <v>2.8</v>
      </c>
      <c r="I2821" s="100" t="s">
        <v>1852</v>
      </c>
      <c r="J2821" s="102">
        <v>3358.8</v>
      </c>
    </row>
    <row r="2822" spans="1:10" ht="1.1499999999999999" customHeight="1" thickTop="1" x14ac:dyDescent="0.2">
      <c r="A2822" s="106"/>
      <c r="B2822" s="106"/>
      <c r="C2822" s="106"/>
      <c r="D2822" s="106"/>
      <c r="E2822" s="106"/>
      <c r="F2822" s="106"/>
      <c r="G2822" s="106"/>
      <c r="H2822" s="106"/>
      <c r="I2822" s="106"/>
      <c r="J2822" s="106"/>
    </row>
    <row r="2823" spans="1:10" ht="18" customHeight="1" x14ac:dyDescent="0.2">
      <c r="A2823" s="117" t="s">
        <v>689</v>
      </c>
      <c r="B2823" s="126" t="s">
        <v>5</v>
      </c>
      <c r="C2823" s="117" t="s">
        <v>6</v>
      </c>
      <c r="D2823" s="117" t="s">
        <v>7</v>
      </c>
      <c r="E2823" s="136" t="s">
        <v>1113</v>
      </c>
      <c r="F2823" s="136"/>
      <c r="G2823" s="7" t="s">
        <v>8</v>
      </c>
      <c r="H2823" s="126" t="s">
        <v>9</v>
      </c>
      <c r="I2823" s="126" t="s">
        <v>10</v>
      </c>
      <c r="J2823" s="126" t="s">
        <v>12</v>
      </c>
    </row>
    <row r="2824" spans="1:10" ht="24" customHeight="1" x14ac:dyDescent="0.2">
      <c r="A2824" s="116" t="s">
        <v>1861</v>
      </c>
      <c r="B2824" s="1" t="s">
        <v>1608</v>
      </c>
      <c r="C2824" s="116" t="s">
        <v>20</v>
      </c>
      <c r="D2824" s="116" t="s">
        <v>1621</v>
      </c>
      <c r="E2824" s="137">
        <v>18</v>
      </c>
      <c r="F2824" s="137"/>
      <c r="G2824" s="2" t="s">
        <v>22</v>
      </c>
      <c r="H2824" s="115">
        <v>1</v>
      </c>
      <c r="I2824" s="61">
        <v>947.9</v>
      </c>
      <c r="J2824" s="61">
        <v>947.9</v>
      </c>
    </row>
    <row r="2825" spans="1:10" ht="24" customHeight="1" x14ac:dyDescent="0.2">
      <c r="A2825" s="113" t="s">
        <v>1859</v>
      </c>
      <c r="B2825" s="114" t="s">
        <v>1899</v>
      </c>
      <c r="C2825" s="113" t="s">
        <v>20</v>
      </c>
      <c r="D2825" s="113" t="s">
        <v>1898</v>
      </c>
      <c r="E2825" s="139" t="s">
        <v>1369</v>
      </c>
      <c r="F2825" s="139"/>
      <c r="G2825" s="112" t="s">
        <v>49</v>
      </c>
      <c r="H2825" s="111">
        <v>1.0800000000000001E-2</v>
      </c>
      <c r="I2825" s="110">
        <v>162.78</v>
      </c>
      <c r="J2825" s="110">
        <v>1.76</v>
      </c>
    </row>
    <row r="2826" spans="1:10" ht="24" customHeight="1" x14ac:dyDescent="0.2">
      <c r="A2826" s="113" t="s">
        <v>1859</v>
      </c>
      <c r="B2826" s="114" t="s">
        <v>1897</v>
      </c>
      <c r="C2826" s="113" t="s">
        <v>20</v>
      </c>
      <c r="D2826" s="113" t="s">
        <v>1896</v>
      </c>
      <c r="E2826" s="139" t="s">
        <v>1369</v>
      </c>
      <c r="F2826" s="139"/>
      <c r="G2826" s="112" t="s">
        <v>96</v>
      </c>
      <c r="H2826" s="111">
        <v>3.7955999999999999</v>
      </c>
      <c r="I2826" s="110">
        <v>0.6</v>
      </c>
      <c r="J2826" s="110">
        <v>2.2799999999999998</v>
      </c>
    </row>
    <row r="2827" spans="1:10" ht="24" customHeight="1" x14ac:dyDescent="0.2">
      <c r="A2827" s="113" t="s">
        <v>1859</v>
      </c>
      <c r="B2827" s="114" t="s">
        <v>2088</v>
      </c>
      <c r="C2827" s="113" t="s">
        <v>20</v>
      </c>
      <c r="D2827" s="113" t="s">
        <v>2087</v>
      </c>
      <c r="E2827" s="139" t="s">
        <v>1369</v>
      </c>
      <c r="F2827" s="139"/>
      <c r="G2827" s="112" t="s">
        <v>22</v>
      </c>
      <c r="H2827" s="111">
        <v>1</v>
      </c>
      <c r="I2827" s="110">
        <v>910.41</v>
      </c>
      <c r="J2827" s="110">
        <v>910.41</v>
      </c>
    </row>
    <row r="2828" spans="1:10" ht="24" customHeight="1" x14ac:dyDescent="0.2">
      <c r="A2828" s="113" t="s">
        <v>1859</v>
      </c>
      <c r="B2828" s="114" t="s">
        <v>1866</v>
      </c>
      <c r="C2828" s="113" t="s">
        <v>20</v>
      </c>
      <c r="D2828" s="113" t="s">
        <v>1865</v>
      </c>
      <c r="E2828" s="139" t="s">
        <v>1860</v>
      </c>
      <c r="F2828" s="139"/>
      <c r="G2828" s="112" t="s">
        <v>1864</v>
      </c>
      <c r="H2828" s="111">
        <v>1.3727</v>
      </c>
      <c r="I2828" s="110">
        <v>15.97</v>
      </c>
      <c r="J2828" s="110">
        <v>21.92</v>
      </c>
    </row>
    <row r="2829" spans="1:10" ht="24" customHeight="1" x14ac:dyDescent="0.2">
      <c r="A2829" s="113" t="s">
        <v>1859</v>
      </c>
      <c r="B2829" s="114" t="s">
        <v>1872</v>
      </c>
      <c r="C2829" s="113" t="s">
        <v>20</v>
      </c>
      <c r="D2829" s="113" t="s">
        <v>1871</v>
      </c>
      <c r="E2829" s="139" t="s">
        <v>1860</v>
      </c>
      <c r="F2829" s="139"/>
      <c r="G2829" s="112" t="s">
        <v>1864</v>
      </c>
      <c r="H2829" s="111">
        <v>1.0860000000000001</v>
      </c>
      <c r="I2829" s="110">
        <v>10.62</v>
      </c>
      <c r="J2829" s="110">
        <v>11.53</v>
      </c>
    </row>
    <row r="2830" spans="1:10" x14ac:dyDescent="0.2">
      <c r="A2830" s="109"/>
      <c r="B2830" s="109"/>
      <c r="C2830" s="109"/>
      <c r="D2830" s="109"/>
      <c r="E2830" s="109" t="s">
        <v>1858</v>
      </c>
      <c r="F2830" s="108">
        <v>33.450000000000003</v>
      </c>
      <c r="G2830" s="109" t="s">
        <v>1857</v>
      </c>
      <c r="H2830" s="108">
        <v>0</v>
      </c>
      <c r="I2830" s="109" t="s">
        <v>1856</v>
      </c>
      <c r="J2830" s="108">
        <v>33.450000000000003</v>
      </c>
    </row>
    <row r="2831" spans="1:10" ht="13.9" customHeight="1" x14ac:dyDescent="0.2">
      <c r="A2831" s="109"/>
      <c r="B2831" s="109"/>
      <c r="C2831" s="109"/>
      <c r="D2831" s="109"/>
      <c r="E2831" s="109" t="s">
        <v>1855</v>
      </c>
      <c r="F2831" s="108">
        <v>251.66745</v>
      </c>
      <c r="G2831" s="109"/>
      <c r="H2831" s="140" t="s">
        <v>1854</v>
      </c>
      <c r="I2831" s="140"/>
      <c r="J2831" s="108">
        <v>1199.57</v>
      </c>
    </row>
    <row r="2832" spans="1:10" ht="30" customHeight="1" thickBot="1" x14ac:dyDescent="0.25">
      <c r="A2832" s="100"/>
      <c r="B2832" s="100"/>
      <c r="C2832" s="100"/>
      <c r="D2832" s="100"/>
      <c r="E2832" s="100"/>
      <c r="F2832" s="100"/>
      <c r="G2832" s="100" t="s">
        <v>1853</v>
      </c>
      <c r="H2832" s="107">
        <v>4.3499999999999996</v>
      </c>
      <c r="I2832" s="100" t="s">
        <v>1852</v>
      </c>
      <c r="J2832" s="102">
        <v>5218.13</v>
      </c>
    </row>
    <row r="2833" spans="1:10" ht="1.1499999999999999" customHeight="1" thickTop="1" x14ac:dyDescent="0.2">
      <c r="A2833" s="106"/>
      <c r="B2833" s="106"/>
      <c r="C2833" s="106"/>
      <c r="D2833" s="106"/>
      <c r="E2833" s="106"/>
      <c r="F2833" s="106"/>
      <c r="G2833" s="106"/>
      <c r="H2833" s="106"/>
      <c r="I2833" s="106"/>
      <c r="J2833" s="106"/>
    </row>
    <row r="2834" spans="1:10" ht="18" customHeight="1" x14ac:dyDescent="0.2">
      <c r="A2834" s="117" t="s">
        <v>690</v>
      </c>
      <c r="B2834" s="126" t="s">
        <v>5</v>
      </c>
      <c r="C2834" s="117" t="s">
        <v>6</v>
      </c>
      <c r="D2834" s="117" t="s">
        <v>7</v>
      </c>
      <c r="E2834" s="136" t="s">
        <v>1113</v>
      </c>
      <c r="F2834" s="136"/>
      <c r="G2834" s="7" t="s">
        <v>8</v>
      </c>
      <c r="H2834" s="126" t="s">
        <v>9</v>
      </c>
      <c r="I2834" s="126" t="s">
        <v>10</v>
      </c>
      <c r="J2834" s="126" t="s">
        <v>12</v>
      </c>
    </row>
    <row r="2835" spans="1:10" ht="24" customHeight="1" x14ac:dyDescent="0.2">
      <c r="A2835" s="116" t="s">
        <v>1861</v>
      </c>
      <c r="B2835" s="1" t="s">
        <v>1608</v>
      </c>
      <c r="C2835" s="116" t="s">
        <v>20</v>
      </c>
      <c r="D2835" s="116" t="s">
        <v>1620</v>
      </c>
      <c r="E2835" s="137">
        <v>18</v>
      </c>
      <c r="F2835" s="137"/>
      <c r="G2835" s="2" t="s">
        <v>22</v>
      </c>
      <c r="H2835" s="115">
        <v>1</v>
      </c>
      <c r="I2835" s="61">
        <v>947.9</v>
      </c>
      <c r="J2835" s="61">
        <v>947.9</v>
      </c>
    </row>
    <row r="2836" spans="1:10" ht="24" customHeight="1" x14ac:dyDescent="0.2">
      <c r="A2836" s="113" t="s">
        <v>1859</v>
      </c>
      <c r="B2836" s="114" t="s">
        <v>1899</v>
      </c>
      <c r="C2836" s="113" t="s">
        <v>20</v>
      </c>
      <c r="D2836" s="113" t="s">
        <v>1898</v>
      </c>
      <c r="E2836" s="139" t="s">
        <v>1369</v>
      </c>
      <c r="F2836" s="139"/>
      <c r="G2836" s="112" t="s">
        <v>49</v>
      </c>
      <c r="H2836" s="111">
        <v>1.0800000000000001E-2</v>
      </c>
      <c r="I2836" s="110">
        <v>162.78</v>
      </c>
      <c r="J2836" s="110">
        <v>1.76</v>
      </c>
    </row>
    <row r="2837" spans="1:10" ht="24" customHeight="1" x14ac:dyDescent="0.2">
      <c r="A2837" s="113" t="s">
        <v>1859</v>
      </c>
      <c r="B2837" s="114" t="s">
        <v>1897</v>
      </c>
      <c r="C2837" s="113" t="s">
        <v>20</v>
      </c>
      <c r="D2837" s="113" t="s">
        <v>1896</v>
      </c>
      <c r="E2837" s="139" t="s">
        <v>1369</v>
      </c>
      <c r="F2837" s="139"/>
      <c r="G2837" s="112" t="s">
        <v>96</v>
      </c>
      <c r="H2837" s="111">
        <v>3.7955999999999999</v>
      </c>
      <c r="I2837" s="110">
        <v>0.6</v>
      </c>
      <c r="J2837" s="110">
        <v>2.2799999999999998</v>
      </c>
    </row>
    <row r="2838" spans="1:10" ht="24" customHeight="1" x14ac:dyDescent="0.2">
      <c r="A2838" s="113" t="s">
        <v>1859</v>
      </c>
      <c r="B2838" s="114" t="s">
        <v>2088</v>
      </c>
      <c r="C2838" s="113" t="s">
        <v>20</v>
      </c>
      <c r="D2838" s="113" t="s">
        <v>2087</v>
      </c>
      <c r="E2838" s="139" t="s">
        <v>1369</v>
      </c>
      <c r="F2838" s="139"/>
      <c r="G2838" s="112" t="s">
        <v>22</v>
      </c>
      <c r="H2838" s="111">
        <v>1</v>
      </c>
      <c r="I2838" s="110">
        <v>910.41</v>
      </c>
      <c r="J2838" s="110">
        <v>910.41</v>
      </c>
    </row>
    <row r="2839" spans="1:10" ht="24" customHeight="1" x14ac:dyDescent="0.2">
      <c r="A2839" s="113" t="s">
        <v>1859</v>
      </c>
      <c r="B2839" s="114" t="s">
        <v>1866</v>
      </c>
      <c r="C2839" s="113" t="s">
        <v>20</v>
      </c>
      <c r="D2839" s="113" t="s">
        <v>1865</v>
      </c>
      <c r="E2839" s="139" t="s">
        <v>1860</v>
      </c>
      <c r="F2839" s="139"/>
      <c r="G2839" s="112" t="s">
        <v>1864</v>
      </c>
      <c r="H2839" s="111">
        <v>1.3727</v>
      </c>
      <c r="I2839" s="110">
        <v>15.97</v>
      </c>
      <c r="J2839" s="110">
        <v>21.92</v>
      </c>
    </row>
    <row r="2840" spans="1:10" ht="24" customHeight="1" x14ac:dyDescent="0.2">
      <c r="A2840" s="113" t="s">
        <v>1859</v>
      </c>
      <c r="B2840" s="114" t="s">
        <v>1872</v>
      </c>
      <c r="C2840" s="113" t="s">
        <v>20</v>
      </c>
      <c r="D2840" s="113" t="s">
        <v>1871</v>
      </c>
      <c r="E2840" s="139" t="s">
        <v>1860</v>
      </c>
      <c r="F2840" s="139"/>
      <c r="G2840" s="112" t="s">
        <v>1864</v>
      </c>
      <c r="H2840" s="111">
        <v>1.0860000000000001</v>
      </c>
      <c r="I2840" s="110">
        <v>10.62</v>
      </c>
      <c r="J2840" s="110">
        <v>11.53</v>
      </c>
    </row>
    <row r="2841" spans="1:10" x14ac:dyDescent="0.2">
      <c r="A2841" s="109"/>
      <c r="B2841" s="109"/>
      <c r="C2841" s="109"/>
      <c r="D2841" s="109"/>
      <c r="E2841" s="109" t="s">
        <v>1858</v>
      </c>
      <c r="F2841" s="108">
        <v>33.450000000000003</v>
      </c>
      <c r="G2841" s="109" t="s">
        <v>1857</v>
      </c>
      <c r="H2841" s="108">
        <v>0</v>
      </c>
      <c r="I2841" s="109" t="s">
        <v>1856</v>
      </c>
      <c r="J2841" s="108">
        <v>33.450000000000003</v>
      </c>
    </row>
    <row r="2842" spans="1:10" ht="13.9" customHeight="1" x14ac:dyDescent="0.2">
      <c r="A2842" s="109"/>
      <c r="B2842" s="109"/>
      <c r="C2842" s="109"/>
      <c r="D2842" s="109"/>
      <c r="E2842" s="109" t="s">
        <v>1855</v>
      </c>
      <c r="F2842" s="108">
        <v>251.66745</v>
      </c>
      <c r="G2842" s="109"/>
      <c r="H2842" s="140" t="s">
        <v>1854</v>
      </c>
      <c r="I2842" s="140"/>
      <c r="J2842" s="108">
        <v>1199.57</v>
      </c>
    </row>
    <row r="2843" spans="1:10" ht="30" customHeight="1" thickBot="1" x14ac:dyDescent="0.25">
      <c r="A2843" s="100"/>
      <c r="B2843" s="100"/>
      <c r="C2843" s="100"/>
      <c r="D2843" s="100"/>
      <c r="E2843" s="100"/>
      <c r="F2843" s="100"/>
      <c r="G2843" s="100" t="s">
        <v>1853</v>
      </c>
      <c r="H2843" s="107">
        <v>4.3</v>
      </c>
      <c r="I2843" s="100" t="s">
        <v>1852</v>
      </c>
      <c r="J2843" s="102">
        <v>5158.1499999999996</v>
      </c>
    </row>
    <row r="2844" spans="1:10" ht="1.1499999999999999" customHeight="1" thickTop="1" x14ac:dyDescent="0.2">
      <c r="A2844" s="106"/>
      <c r="B2844" s="106"/>
      <c r="C2844" s="106"/>
      <c r="D2844" s="106"/>
      <c r="E2844" s="106"/>
      <c r="F2844" s="106"/>
      <c r="G2844" s="106"/>
      <c r="H2844" s="106"/>
      <c r="I2844" s="106"/>
      <c r="J2844" s="106"/>
    </row>
    <row r="2845" spans="1:10" ht="18" customHeight="1" x14ac:dyDescent="0.2">
      <c r="A2845" s="117" t="s">
        <v>691</v>
      </c>
      <c r="B2845" s="126" t="s">
        <v>5</v>
      </c>
      <c r="C2845" s="117" t="s">
        <v>6</v>
      </c>
      <c r="D2845" s="117" t="s">
        <v>7</v>
      </c>
      <c r="E2845" s="136" t="s">
        <v>1113</v>
      </c>
      <c r="F2845" s="136"/>
      <c r="G2845" s="7" t="s">
        <v>8</v>
      </c>
      <c r="H2845" s="126" t="s">
        <v>9</v>
      </c>
      <c r="I2845" s="126" t="s">
        <v>10</v>
      </c>
      <c r="J2845" s="126" t="s">
        <v>12</v>
      </c>
    </row>
    <row r="2846" spans="1:10" ht="24" customHeight="1" x14ac:dyDescent="0.2">
      <c r="A2846" s="116" t="s">
        <v>1861</v>
      </c>
      <c r="B2846" s="1" t="s">
        <v>1608</v>
      </c>
      <c r="C2846" s="116" t="s">
        <v>20</v>
      </c>
      <c r="D2846" s="116" t="s">
        <v>1619</v>
      </c>
      <c r="E2846" s="137">
        <v>18</v>
      </c>
      <c r="F2846" s="137"/>
      <c r="G2846" s="2" t="s">
        <v>22</v>
      </c>
      <c r="H2846" s="115">
        <v>1</v>
      </c>
      <c r="I2846" s="61">
        <v>947.9</v>
      </c>
      <c r="J2846" s="61">
        <v>947.9</v>
      </c>
    </row>
    <row r="2847" spans="1:10" ht="24" customHeight="1" x14ac:dyDescent="0.2">
      <c r="A2847" s="113" t="s">
        <v>1859</v>
      </c>
      <c r="B2847" s="114" t="s">
        <v>1899</v>
      </c>
      <c r="C2847" s="113" t="s">
        <v>20</v>
      </c>
      <c r="D2847" s="113" t="s">
        <v>1898</v>
      </c>
      <c r="E2847" s="139" t="s">
        <v>1369</v>
      </c>
      <c r="F2847" s="139"/>
      <c r="G2847" s="112" t="s">
        <v>49</v>
      </c>
      <c r="H2847" s="111">
        <v>1.0800000000000001E-2</v>
      </c>
      <c r="I2847" s="110">
        <v>162.78</v>
      </c>
      <c r="J2847" s="110">
        <v>1.76</v>
      </c>
    </row>
    <row r="2848" spans="1:10" ht="24" customHeight="1" x14ac:dyDescent="0.2">
      <c r="A2848" s="113" t="s">
        <v>1859</v>
      </c>
      <c r="B2848" s="114" t="s">
        <v>1897</v>
      </c>
      <c r="C2848" s="113" t="s">
        <v>20</v>
      </c>
      <c r="D2848" s="113" t="s">
        <v>1896</v>
      </c>
      <c r="E2848" s="139" t="s">
        <v>1369</v>
      </c>
      <c r="F2848" s="139"/>
      <c r="G2848" s="112" t="s">
        <v>96</v>
      </c>
      <c r="H2848" s="111">
        <v>3.7955999999999999</v>
      </c>
      <c r="I2848" s="110">
        <v>0.6</v>
      </c>
      <c r="J2848" s="110">
        <v>2.2799999999999998</v>
      </c>
    </row>
    <row r="2849" spans="1:10" ht="24" customHeight="1" x14ac:dyDescent="0.2">
      <c r="A2849" s="113" t="s">
        <v>1859</v>
      </c>
      <c r="B2849" s="114" t="s">
        <v>2088</v>
      </c>
      <c r="C2849" s="113" t="s">
        <v>20</v>
      </c>
      <c r="D2849" s="113" t="s">
        <v>2087</v>
      </c>
      <c r="E2849" s="139" t="s">
        <v>1369</v>
      </c>
      <c r="F2849" s="139"/>
      <c r="G2849" s="112" t="s">
        <v>22</v>
      </c>
      <c r="H2849" s="111">
        <v>1</v>
      </c>
      <c r="I2849" s="110">
        <v>910.41</v>
      </c>
      <c r="J2849" s="110">
        <v>910.41</v>
      </c>
    </row>
    <row r="2850" spans="1:10" ht="24" customHeight="1" x14ac:dyDescent="0.2">
      <c r="A2850" s="113" t="s">
        <v>1859</v>
      </c>
      <c r="B2850" s="114" t="s">
        <v>1866</v>
      </c>
      <c r="C2850" s="113" t="s">
        <v>20</v>
      </c>
      <c r="D2850" s="113" t="s">
        <v>1865</v>
      </c>
      <c r="E2850" s="139" t="s">
        <v>1860</v>
      </c>
      <c r="F2850" s="139"/>
      <c r="G2850" s="112" t="s">
        <v>1864</v>
      </c>
      <c r="H2850" s="111">
        <v>1.3727</v>
      </c>
      <c r="I2850" s="110">
        <v>15.97</v>
      </c>
      <c r="J2850" s="110">
        <v>21.92</v>
      </c>
    </row>
    <row r="2851" spans="1:10" ht="24" customHeight="1" x14ac:dyDescent="0.2">
      <c r="A2851" s="113" t="s">
        <v>1859</v>
      </c>
      <c r="B2851" s="114" t="s">
        <v>1872</v>
      </c>
      <c r="C2851" s="113" t="s">
        <v>20</v>
      </c>
      <c r="D2851" s="113" t="s">
        <v>1871</v>
      </c>
      <c r="E2851" s="139" t="s">
        <v>1860</v>
      </c>
      <c r="F2851" s="139"/>
      <c r="G2851" s="112" t="s">
        <v>1864</v>
      </c>
      <c r="H2851" s="111">
        <v>1.0860000000000001</v>
      </c>
      <c r="I2851" s="110">
        <v>10.62</v>
      </c>
      <c r="J2851" s="110">
        <v>11.53</v>
      </c>
    </row>
    <row r="2852" spans="1:10" x14ac:dyDescent="0.2">
      <c r="A2852" s="109"/>
      <c r="B2852" s="109"/>
      <c r="C2852" s="109"/>
      <c r="D2852" s="109"/>
      <c r="E2852" s="109" t="s">
        <v>1858</v>
      </c>
      <c r="F2852" s="108">
        <v>33.450000000000003</v>
      </c>
      <c r="G2852" s="109" t="s">
        <v>1857</v>
      </c>
      <c r="H2852" s="108">
        <v>0</v>
      </c>
      <c r="I2852" s="109" t="s">
        <v>1856</v>
      </c>
      <c r="J2852" s="108">
        <v>33.450000000000003</v>
      </c>
    </row>
    <row r="2853" spans="1:10" ht="13.9" customHeight="1" x14ac:dyDescent="0.2">
      <c r="A2853" s="109"/>
      <c r="B2853" s="109"/>
      <c r="C2853" s="109"/>
      <c r="D2853" s="109"/>
      <c r="E2853" s="109" t="s">
        <v>1855</v>
      </c>
      <c r="F2853" s="108">
        <v>251.66745</v>
      </c>
      <c r="G2853" s="109"/>
      <c r="H2853" s="140" t="s">
        <v>1854</v>
      </c>
      <c r="I2853" s="140"/>
      <c r="J2853" s="108">
        <v>1199.57</v>
      </c>
    </row>
    <row r="2854" spans="1:10" ht="30" customHeight="1" thickBot="1" x14ac:dyDescent="0.25">
      <c r="A2854" s="100"/>
      <c r="B2854" s="100"/>
      <c r="C2854" s="100"/>
      <c r="D2854" s="100"/>
      <c r="E2854" s="100"/>
      <c r="F2854" s="100"/>
      <c r="G2854" s="100" t="s">
        <v>1853</v>
      </c>
      <c r="H2854" s="107">
        <v>4.0599999999999996</v>
      </c>
      <c r="I2854" s="100" t="s">
        <v>1852</v>
      </c>
      <c r="J2854" s="102">
        <v>4870.25</v>
      </c>
    </row>
    <row r="2855" spans="1:10" ht="1.1499999999999999" customHeight="1" thickTop="1" x14ac:dyDescent="0.2">
      <c r="A2855" s="106"/>
      <c r="B2855" s="106"/>
      <c r="C2855" s="106"/>
      <c r="D2855" s="106"/>
      <c r="E2855" s="106"/>
      <c r="F2855" s="106"/>
      <c r="G2855" s="106"/>
      <c r="H2855" s="106"/>
      <c r="I2855" s="106"/>
      <c r="J2855" s="106"/>
    </row>
    <row r="2856" spans="1:10" ht="18" customHeight="1" x14ac:dyDescent="0.2">
      <c r="A2856" s="117" t="s">
        <v>692</v>
      </c>
      <c r="B2856" s="126" t="s">
        <v>5</v>
      </c>
      <c r="C2856" s="117" t="s">
        <v>6</v>
      </c>
      <c r="D2856" s="117" t="s">
        <v>7</v>
      </c>
      <c r="E2856" s="136" t="s">
        <v>1113</v>
      </c>
      <c r="F2856" s="136"/>
      <c r="G2856" s="7" t="s">
        <v>8</v>
      </c>
      <c r="H2856" s="126" t="s">
        <v>9</v>
      </c>
      <c r="I2856" s="126" t="s">
        <v>10</v>
      </c>
      <c r="J2856" s="126" t="s">
        <v>12</v>
      </c>
    </row>
    <row r="2857" spans="1:10" ht="24" customHeight="1" x14ac:dyDescent="0.2">
      <c r="A2857" s="116" t="s">
        <v>1861</v>
      </c>
      <c r="B2857" s="1" t="s">
        <v>1608</v>
      </c>
      <c r="C2857" s="116" t="s">
        <v>20</v>
      </c>
      <c r="D2857" s="116" t="s">
        <v>1618</v>
      </c>
      <c r="E2857" s="137">
        <v>18</v>
      </c>
      <c r="F2857" s="137"/>
      <c r="G2857" s="2" t="s">
        <v>22</v>
      </c>
      <c r="H2857" s="115">
        <v>1</v>
      </c>
      <c r="I2857" s="61">
        <v>947.9</v>
      </c>
      <c r="J2857" s="61">
        <v>947.9</v>
      </c>
    </row>
    <row r="2858" spans="1:10" ht="24" customHeight="1" x14ac:dyDescent="0.2">
      <c r="A2858" s="113" t="s">
        <v>1859</v>
      </c>
      <c r="B2858" s="114" t="s">
        <v>1899</v>
      </c>
      <c r="C2858" s="113" t="s">
        <v>20</v>
      </c>
      <c r="D2858" s="113" t="s">
        <v>1898</v>
      </c>
      <c r="E2858" s="139" t="s">
        <v>1369</v>
      </c>
      <c r="F2858" s="139"/>
      <c r="G2858" s="112" t="s">
        <v>49</v>
      </c>
      <c r="H2858" s="111">
        <v>1.0800000000000001E-2</v>
      </c>
      <c r="I2858" s="110">
        <v>162.78</v>
      </c>
      <c r="J2858" s="110">
        <v>1.76</v>
      </c>
    </row>
    <row r="2859" spans="1:10" ht="24" customHeight="1" x14ac:dyDescent="0.2">
      <c r="A2859" s="113" t="s">
        <v>1859</v>
      </c>
      <c r="B2859" s="114" t="s">
        <v>1897</v>
      </c>
      <c r="C2859" s="113" t="s">
        <v>20</v>
      </c>
      <c r="D2859" s="113" t="s">
        <v>1896</v>
      </c>
      <c r="E2859" s="139" t="s">
        <v>1369</v>
      </c>
      <c r="F2859" s="139"/>
      <c r="G2859" s="112" t="s">
        <v>96</v>
      </c>
      <c r="H2859" s="111">
        <v>3.7955999999999999</v>
      </c>
      <c r="I2859" s="110">
        <v>0.6</v>
      </c>
      <c r="J2859" s="110">
        <v>2.2799999999999998</v>
      </c>
    </row>
    <row r="2860" spans="1:10" ht="24" customHeight="1" x14ac:dyDescent="0.2">
      <c r="A2860" s="113" t="s">
        <v>1859</v>
      </c>
      <c r="B2860" s="114" t="s">
        <v>2088</v>
      </c>
      <c r="C2860" s="113" t="s">
        <v>20</v>
      </c>
      <c r="D2860" s="113" t="s">
        <v>2087</v>
      </c>
      <c r="E2860" s="139" t="s">
        <v>1369</v>
      </c>
      <c r="F2860" s="139"/>
      <c r="G2860" s="112" t="s">
        <v>22</v>
      </c>
      <c r="H2860" s="111">
        <v>1</v>
      </c>
      <c r="I2860" s="110">
        <v>910.41</v>
      </c>
      <c r="J2860" s="110">
        <v>910.41</v>
      </c>
    </row>
    <row r="2861" spans="1:10" ht="24" customHeight="1" x14ac:dyDescent="0.2">
      <c r="A2861" s="113" t="s">
        <v>1859</v>
      </c>
      <c r="B2861" s="114" t="s">
        <v>1866</v>
      </c>
      <c r="C2861" s="113" t="s">
        <v>20</v>
      </c>
      <c r="D2861" s="113" t="s">
        <v>1865</v>
      </c>
      <c r="E2861" s="139" t="s">
        <v>1860</v>
      </c>
      <c r="F2861" s="139"/>
      <c r="G2861" s="112" t="s">
        <v>1864</v>
      </c>
      <c r="H2861" s="111">
        <v>1.3727</v>
      </c>
      <c r="I2861" s="110">
        <v>15.97</v>
      </c>
      <c r="J2861" s="110">
        <v>21.92</v>
      </c>
    </row>
    <row r="2862" spans="1:10" ht="24" customHeight="1" x14ac:dyDescent="0.2">
      <c r="A2862" s="113" t="s">
        <v>1859</v>
      </c>
      <c r="B2862" s="114" t="s">
        <v>1872</v>
      </c>
      <c r="C2862" s="113" t="s">
        <v>20</v>
      </c>
      <c r="D2862" s="113" t="s">
        <v>1871</v>
      </c>
      <c r="E2862" s="139" t="s">
        <v>1860</v>
      </c>
      <c r="F2862" s="139"/>
      <c r="G2862" s="112" t="s">
        <v>1864</v>
      </c>
      <c r="H2862" s="111">
        <v>1.0860000000000001</v>
      </c>
      <c r="I2862" s="110">
        <v>10.62</v>
      </c>
      <c r="J2862" s="110">
        <v>11.53</v>
      </c>
    </row>
    <row r="2863" spans="1:10" x14ac:dyDescent="0.2">
      <c r="A2863" s="109"/>
      <c r="B2863" s="109"/>
      <c r="C2863" s="109"/>
      <c r="D2863" s="109"/>
      <c r="E2863" s="109" t="s">
        <v>1858</v>
      </c>
      <c r="F2863" s="108">
        <v>33.450000000000003</v>
      </c>
      <c r="G2863" s="109" t="s">
        <v>1857</v>
      </c>
      <c r="H2863" s="108">
        <v>0</v>
      </c>
      <c r="I2863" s="109" t="s">
        <v>1856</v>
      </c>
      <c r="J2863" s="108">
        <v>33.450000000000003</v>
      </c>
    </row>
    <row r="2864" spans="1:10" ht="13.9" customHeight="1" x14ac:dyDescent="0.2">
      <c r="A2864" s="109"/>
      <c r="B2864" s="109"/>
      <c r="C2864" s="109"/>
      <c r="D2864" s="109"/>
      <c r="E2864" s="109" t="s">
        <v>1855</v>
      </c>
      <c r="F2864" s="108">
        <v>251.66745</v>
      </c>
      <c r="G2864" s="109"/>
      <c r="H2864" s="140" t="s">
        <v>1854</v>
      </c>
      <c r="I2864" s="140"/>
      <c r="J2864" s="108">
        <v>1199.57</v>
      </c>
    </row>
    <row r="2865" spans="1:10" ht="30" customHeight="1" thickBot="1" x14ac:dyDescent="0.25">
      <c r="A2865" s="100"/>
      <c r="B2865" s="100"/>
      <c r="C2865" s="100"/>
      <c r="D2865" s="100"/>
      <c r="E2865" s="100"/>
      <c r="F2865" s="100"/>
      <c r="G2865" s="100" t="s">
        <v>1853</v>
      </c>
      <c r="H2865" s="107">
        <v>2.08</v>
      </c>
      <c r="I2865" s="100" t="s">
        <v>1852</v>
      </c>
      <c r="J2865" s="102">
        <v>2495.11</v>
      </c>
    </row>
    <row r="2866" spans="1:10" ht="1.1499999999999999" customHeight="1" thickTop="1" x14ac:dyDescent="0.2">
      <c r="A2866" s="106"/>
      <c r="B2866" s="106"/>
      <c r="C2866" s="106"/>
      <c r="D2866" s="106"/>
      <c r="E2866" s="106"/>
      <c r="F2866" s="106"/>
      <c r="G2866" s="106"/>
      <c r="H2866" s="106"/>
      <c r="I2866" s="106"/>
      <c r="J2866" s="106"/>
    </row>
    <row r="2867" spans="1:10" ht="18" customHeight="1" x14ac:dyDescent="0.2">
      <c r="A2867" s="117" t="s">
        <v>693</v>
      </c>
      <c r="B2867" s="126" t="s">
        <v>5</v>
      </c>
      <c r="C2867" s="117" t="s">
        <v>6</v>
      </c>
      <c r="D2867" s="117" t="s">
        <v>7</v>
      </c>
      <c r="E2867" s="136" t="s">
        <v>1113</v>
      </c>
      <c r="F2867" s="136"/>
      <c r="G2867" s="7" t="s">
        <v>8</v>
      </c>
      <c r="H2867" s="126" t="s">
        <v>9</v>
      </c>
      <c r="I2867" s="126" t="s">
        <v>10</v>
      </c>
      <c r="J2867" s="126" t="s">
        <v>12</v>
      </c>
    </row>
    <row r="2868" spans="1:10" ht="24" customHeight="1" x14ac:dyDescent="0.2">
      <c r="A2868" s="116" t="s">
        <v>1861</v>
      </c>
      <c r="B2868" s="1" t="s">
        <v>1608</v>
      </c>
      <c r="C2868" s="116" t="s">
        <v>20</v>
      </c>
      <c r="D2868" s="116" t="s">
        <v>1617</v>
      </c>
      <c r="E2868" s="137">
        <v>18</v>
      </c>
      <c r="F2868" s="137"/>
      <c r="G2868" s="2" t="s">
        <v>22</v>
      </c>
      <c r="H2868" s="115">
        <v>1</v>
      </c>
      <c r="I2868" s="61">
        <v>947.9</v>
      </c>
      <c r="J2868" s="61">
        <v>947.9</v>
      </c>
    </row>
    <row r="2869" spans="1:10" ht="24" customHeight="1" x14ac:dyDescent="0.2">
      <c r="A2869" s="113" t="s">
        <v>1859</v>
      </c>
      <c r="B2869" s="114" t="s">
        <v>1899</v>
      </c>
      <c r="C2869" s="113" t="s">
        <v>20</v>
      </c>
      <c r="D2869" s="113" t="s">
        <v>1898</v>
      </c>
      <c r="E2869" s="139" t="s">
        <v>1369</v>
      </c>
      <c r="F2869" s="139"/>
      <c r="G2869" s="112" t="s">
        <v>49</v>
      </c>
      <c r="H2869" s="111">
        <v>1.0800000000000001E-2</v>
      </c>
      <c r="I2869" s="110">
        <v>162.78</v>
      </c>
      <c r="J2869" s="110">
        <v>1.76</v>
      </c>
    </row>
    <row r="2870" spans="1:10" ht="24" customHeight="1" x14ac:dyDescent="0.2">
      <c r="A2870" s="113" t="s">
        <v>1859</v>
      </c>
      <c r="B2870" s="114" t="s">
        <v>1897</v>
      </c>
      <c r="C2870" s="113" t="s">
        <v>20</v>
      </c>
      <c r="D2870" s="113" t="s">
        <v>1896</v>
      </c>
      <c r="E2870" s="139" t="s">
        <v>1369</v>
      </c>
      <c r="F2870" s="139"/>
      <c r="G2870" s="112" t="s">
        <v>96</v>
      </c>
      <c r="H2870" s="111">
        <v>3.7955999999999999</v>
      </c>
      <c r="I2870" s="110">
        <v>0.6</v>
      </c>
      <c r="J2870" s="110">
        <v>2.2799999999999998</v>
      </c>
    </row>
    <row r="2871" spans="1:10" ht="24" customHeight="1" x14ac:dyDescent="0.2">
      <c r="A2871" s="113" t="s">
        <v>1859</v>
      </c>
      <c r="B2871" s="114" t="s">
        <v>2088</v>
      </c>
      <c r="C2871" s="113" t="s">
        <v>20</v>
      </c>
      <c r="D2871" s="113" t="s">
        <v>2087</v>
      </c>
      <c r="E2871" s="139" t="s">
        <v>1369</v>
      </c>
      <c r="F2871" s="139"/>
      <c r="G2871" s="112" t="s">
        <v>22</v>
      </c>
      <c r="H2871" s="111">
        <v>1</v>
      </c>
      <c r="I2871" s="110">
        <v>910.41</v>
      </c>
      <c r="J2871" s="110">
        <v>910.41</v>
      </c>
    </row>
    <row r="2872" spans="1:10" ht="24" customHeight="1" x14ac:dyDescent="0.2">
      <c r="A2872" s="113" t="s">
        <v>1859</v>
      </c>
      <c r="B2872" s="114" t="s">
        <v>1866</v>
      </c>
      <c r="C2872" s="113" t="s">
        <v>20</v>
      </c>
      <c r="D2872" s="113" t="s">
        <v>1865</v>
      </c>
      <c r="E2872" s="139" t="s">
        <v>1860</v>
      </c>
      <c r="F2872" s="139"/>
      <c r="G2872" s="112" t="s">
        <v>1864</v>
      </c>
      <c r="H2872" s="111">
        <v>1.3727</v>
      </c>
      <c r="I2872" s="110">
        <v>15.97</v>
      </c>
      <c r="J2872" s="110">
        <v>21.92</v>
      </c>
    </row>
    <row r="2873" spans="1:10" ht="24" customHeight="1" x14ac:dyDescent="0.2">
      <c r="A2873" s="113" t="s">
        <v>1859</v>
      </c>
      <c r="B2873" s="114" t="s">
        <v>1872</v>
      </c>
      <c r="C2873" s="113" t="s">
        <v>20</v>
      </c>
      <c r="D2873" s="113" t="s">
        <v>1871</v>
      </c>
      <c r="E2873" s="139" t="s">
        <v>1860</v>
      </c>
      <c r="F2873" s="139"/>
      <c r="G2873" s="112" t="s">
        <v>1864</v>
      </c>
      <c r="H2873" s="111">
        <v>1.0860000000000001</v>
      </c>
      <c r="I2873" s="110">
        <v>10.62</v>
      </c>
      <c r="J2873" s="110">
        <v>11.53</v>
      </c>
    </row>
    <row r="2874" spans="1:10" x14ac:dyDescent="0.2">
      <c r="A2874" s="109"/>
      <c r="B2874" s="109"/>
      <c r="C2874" s="109"/>
      <c r="D2874" s="109"/>
      <c r="E2874" s="109" t="s">
        <v>1858</v>
      </c>
      <c r="F2874" s="108">
        <v>33.450000000000003</v>
      </c>
      <c r="G2874" s="109" t="s">
        <v>1857</v>
      </c>
      <c r="H2874" s="108">
        <v>0</v>
      </c>
      <c r="I2874" s="109" t="s">
        <v>1856</v>
      </c>
      <c r="J2874" s="108">
        <v>33.450000000000003</v>
      </c>
    </row>
    <row r="2875" spans="1:10" ht="13.9" customHeight="1" x14ac:dyDescent="0.2">
      <c r="A2875" s="109"/>
      <c r="B2875" s="109"/>
      <c r="C2875" s="109"/>
      <c r="D2875" s="109"/>
      <c r="E2875" s="109" t="s">
        <v>1855</v>
      </c>
      <c r="F2875" s="108">
        <v>251.66745</v>
      </c>
      <c r="G2875" s="109"/>
      <c r="H2875" s="140" t="s">
        <v>1854</v>
      </c>
      <c r="I2875" s="140"/>
      <c r="J2875" s="108">
        <v>1199.57</v>
      </c>
    </row>
    <row r="2876" spans="1:10" ht="30" customHeight="1" thickBot="1" x14ac:dyDescent="0.25">
      <c r="A2876" s="100"/>
      <c r="B2876" s="100"/>
      <c r="C2876" s="100"/>
      <c r="D2876" s="100"/>
      <c r="E2876" s="100"/>
      <c r="F2876" s="100"/>
      <c r="G2876" s="100" t="s">
        <v>1853</v>
      </c>
      <c r="H2876" s="107">
        <v>3.45</v>
      </c>
      <c r="I2876" s="100" t="s">
        <v>1852</v>
      </c>
      <c r="J2876" s="102">
        <v>4138.5200000000004</v>
      </c>
    </row>
    <row r="2877" spans="1:10" ht="1.1499999999999999" customHeight="1" thickTop="1" x14ac:dyDescent="0.2">
      <c r="A2877" s="106"/>
      <c r="B2877" s="106"/>
      <c r="C2877" s="106"/>
      <c r="D2877" s="106"/>
      <c r="E2877" s="106"/>
      <c r="F2877" s="106"/>
      <c r="G2877" s="106"/>
      <c r="H2877" s="106"/>
      <c r="I2877" s="106"/>
      <c r="J2877" s="106"/>
    </row>
    <row r="2878" spans="1:10" ht="18" customHeight="1" x14ac:dyDescent="0.2">
      <c r="A2878" s="117" t="s">
        <v>694</v>
      </c>
      <c r="B2878" s="126" t="s">
        <v>5</v>
      </c>
      <c r="C2878" s="117" t="s">
        <v>6</v>
      </c>
      <c r="D2878" s="117" t="s">
        <v>7</v>
      </c>
      <c r="E2878" s="136" t="s">
        <v>1113</v>
      </c>
      <c r="F2878" s="136"/>
      <c r="G2878" s="7" t="s">
        <v>8</v>
      </c>
      <c r="H2878" s="126" t="s">
        <v>9</v>
      </c>
      <c r="I2878" s="126" t="s">
        <v>10</v>
      </c>
      <c r="J2878" s="126" t="s">
        <v>12</v>
      </c>
    </row>
    <row r="2879" spans="1:10" ht="24" customHeight="1" x14ac:dyDescent="0.2">
      <c r="A2879" s="116" t="s">
        <v>1861</v>
      </c>
      <c r="B2879" s="1" t="s">
        <v>1608</v>
      </c>
      <c r="C2879" s="116" t="s">
        <v>20</v>
      </c>
      <c r="D2879" s="116" t="s">
        <v>1616</v>
      </c>
      <c r="E2879" s="137">
        <v>18</v>
      </c>
      <c r="F2879" s="137"/>
      <c r="G2879" s="2" t="s">
        <v>22</v>
      </c>
      <c r="H2879" s="115">
        <v>1</v>
      </c>
      <c r="I2879" s="61">
        <v>947.9</v>
      </c>
      <c r="J2879" s="61">
        <v>947.9</v>
      </c>
    </row>
    <row r="2880" spans="1:10" ht="24" customHeight="1" x14ac:dyDescent="0.2">
      <c r="A2880" s="113" t="s">
        <v>1859</v>
      </c>
      <c r="B2880" s="114" t="s">
        <v>1899</v>
      </c>
      <c r="C2880" s="113" t="s">
        <v>20</v>
      </c>
      <c r="D2880" s="113" t="s">
        <v>1898</v>
      </c>
      <c r="E2880" s="139" t="s">
        <v>1369</v>
      </c>
      <c r="F2880" s="139"/>
      <c r="G2880" s="112" t="s">
        <v>49</v>
      </c>
      <c r="H2880" s="111">
        <v>1.0800000000000001E-2</v>
      </c>
      <c r="I2880" s="110">
        <v>162.78</v>
      </c>
      <c r="J2880" s="110">
        <v>1.76</v>
      </c>
    </row>
    <row r="2881" spans="1:10" ht="24" customHeight="1" x14ac:dyDescent="0.2">
      <c r="A2881" s="113" t="s">
        <v>1859</v>
      </c>
      <c r="B2881" s="114" t="s">
        <v>1897</v>
      </c>
      <c r="C2881" s="113" t="s">
        <v>20</v>
      </c>
      <c r="D2881" s="113" t="s">
        <v>1896</v>
      </c>
      <c r="E2881" s="139" t="s">
        <v>1369</v>
      </c>
      <c r="F2881" s="139"/>
      <c r="G2881" s="112" t="s">
        <v>96</v>
      </c>
      <c r="H2881" s="111">
        <v>3.7955999999999999</v>
      </c>
      <c r="I2881" s="110">
        <v>0.6</v>
      </c>
      <c r="J2881" s="110">
        <v>2.2799999999999998</v>
      </c>
    </row>
    <row r="2882" spans="1:10" ht="24" customHeight="1" x14ac:dyDescent="0.2">
      <c r="A2882" s="113" t="s">
        <v>1859</v>
      </c>
      <c r="B2882" s="114" t="s">
        <v>2088</v>
      </c>
      <c r="C2882" s="113" t="s">
        <v>20</v>
      </c>
      <c r="D2882" s="113" t="s">
        <v>2087</v>
      </c>
      <c r="E2882" s="139" t="s">
        <v>1369</v>
      </c>
      <c r="F2882" s="139"/>
      <c r="G2882" s="112" t="s">
        <v>22</v>
      </c>
      <c r="H2882" s="111">
        <v>1</v>
      </c>
      <c r="I2882" s="110">
        <v>910.41</v>
      </c>
      <c r="J2882" s="110">
        <v>910.41</v>
      </c>
    </row>
    <row r="2883" spans="1:10" ht="24" customHeight="1" x14ac:dyDescent="0.2">
      <c r="A2883" s="113" t="s">
        <v>1859</v>
      </c>
      <c r="B2883" s="114" t="s">
        <v>1866</v>
      </c>
      <c r="C2883" s="113" t="s">
        <v>20</v>
      </c>
      <c r="D2883" s="113" t="s">
        <v>1865</v>
      </c>
      <c r="E2883" s="139" t="s">
        <v>1860</v>
      </c>
      <c r="F2883" s="139"/>
      <c r="G2883" s="112" t="s">
        <v>1864</v>
      </c>
      <c r="H2883" s="111">
        <v>1.3727</v>
      </c>
      <c r="I2883" s="110">
        <v>15.97</v>
      </c>
      <c r="J2883" s="110">
        <v>21.92</v>
      </c>
    </row>
    <row r="2884" spans="1:10" ht="24" customHeight="1" x14ac:dyDescent="0.2">
      <c r="A2884" s="113" t="s">
        <v>1859</v>
      </c>
      <c r="B2884" s="114" t="s">
        <v>1872</v>
      </c>
      <c r="C2884" s="113" t="s">
        <v>20</v>
      </c>
      <c r="D2884" s="113" t="s">
        <v>1871</v>
      </c>
      <c r="E2884" s="139" t="s">
        <v>1860</v>
      </c>
      <c r="F2884" s="139"/>
      <c r="G2884" s="112" t="s">
        <v>1864</v>
      </c>
      <c r="H2884" s="111">
        <v>1.0860000000000001</v>
      </c>
      <c r="I2884" s="110">
        <v>10.62</v>
      </c>
      <c r="J2884" s="110">
        <v>11.53</v>
      </c>
    </row>
    <row r="2885" spans="1:10" x14ac:dyDescent="0.2">
      <c r="A2885" s="109"/>
      <c r="B2885" s="109"/>
      <c r="C2885" s="109"/>
      <c r="D2885" s="109"/>
      <c r="E2885" s="109" t="s">
        <v>1858</v>
      </c>
      <c r="F2885" s="108">
        <v>33.450000000000003</v>
      </c>
      <c r="G2885" s="109" t="s">
        <v>1857</v>
      </c>
      <c r="H2885" s="108">
        <v>0</v>
      </c>
      <c r="I2885" s="109" t="s">
        <v>1856</v>
      </c>
      <c r="J2885" s="108">
        <v>33.450000000000003</v>
      </c>
    </row>
    <row r="2886" spans="1:10" ht="13.9" customHeight="1" x14ac:dyDescent="0.2">
      <c r="A2886" s="109"/>
      <c r="B2886" s="109"/>
      <c r="C2886" s="109"/>
      <c r="D2886" s="109"/>
      <c r="E2886" s="109" t="s">
        <v>1855</v>
      </c>
      <c r="F2886" s="108">
        <v>251.66745</v>
      </c>
      <c r="G2886" s="109"/>
      <c r="H2886" s="140" t="s">
        <v>1854</v>
      </c>
      <c r="I2886" s="140"/>
      <c r="J2886" s="108">
        <v>1199.57</v>
      </c>
    </row>
    <row r="2887" spans="1:10" ht="30" customHeight="1" thickBot="1" x14ac:dyDescent="0.25">
      <c r="A2887" s="100"/>
      <c r="B2887" s="100"/>
      <c r="C2887" s="100"/>
      <c r="D2887" s="100"/>
      <c r="E2887" s="100"/>
      <c r="F2887" s="100"/>
      <c r="G2887" s="100" t="s">
        <v>1853</v>
      </c>
      <c r="H2887" s="107">
        <v>8.0399999999999991</v>
      </c>
      <c r="I2887" s="100" t="s">
        <v>1852</v>
      </c>
      <c r="J2887" s="102">
        <v>9644.5400000000009</v>
      </c>
    </row>
    <row r="2888" spans="1:10" ht="1.1499999999999999" customHeight="1" thickTop="1" x14ac:dyDescent="0.2">
      <c r="A2888" s="106"/>
      <c r="B2888" s="106"/>
      <c r="C2888" s="106"/>
      <c r="D2888" s="106"/>
      <c r="E2888" s="106"/>
      <c r="F2888" s="106"/>
      <c r="G2888" s="106"/>
      <c r="H2888" s="106"/>
      <c r="I2888" s="106"/>
      <c r="J2888" s="106"/>
    </row>
    <row r="2889" spans="1:10" ht="18" customHeight="1" x14ac:dyDescent="0.2">
      <c r="A2889" s="117" t="s">
        <v>695</v>
      </c>
      <c r="B2889" s="126" t="s">
        <v>5</v>
      </c>
      <c r="C2889" s="117" t="s">
        <v>6</v>
      </c>
      <c r="D2889" s="117" t="s">
        <v>7</v>
      </c>
      <c r="E2889" s="136" t="s">
        <v>1113</v>
      </c>
      <c r="F2889" s="136"/>
      <c r="G2889" s="7" t="s">
        <v>8</v>
      </c>
      <c r="H2889" s="126" t="s">
        <v>9</v>
      </c>
      <c r="I2889" s="126" t="s">
        <v>10</v>
      </c>
      <c r="J2889" s="126" t="s">
        <v>12</v>
      </c>
    </row>
    <row r="2890" spans="1:10" ht="24" customHeight="1" x14ac:dyDescent="0.2">
      <c r="A2890" s="116" t="s">
        <v>1861</v>
      </c>
      <c r="B2890" s="1" t="s">
        <v>1608</v>
      </c>
      <c r="C2890" s="116" t="s">
        <v>20</v>
      </c>
      <c r="D2890" s="116" t="s">
        <v>1615</v>
      </c>
      <c r="E2890" s="137">
        <v>18</v>
      </c>
      <c r="F2890" s="137"/>
      <c r="G2890" s="2" t="s">
        <v>22</v>
      </c>
      <c r="H2890" s="115">
        <v>1</v>
      </c>
      <c r="I2890" s="61">
        <v>947.9</v>
      </c>
      <c r="J2890" s="61">
        <v>947.9</v>
      </c>
    </row>
    <row r="2891" spans="1:10" ht="24" customHeight="1" x14ac:dyDescent="0.2">
      <c r="A2891" s="113" t="s">
        <v>1859</v>
      </c>
      <c r="B2891" s="114" t="s">
        <v>1899</v>
      </c>
      <c r="C2891" s="113" t="s">
        <v>20</v>
      </c>
      <c r="D2891" s="113" t="s">
        <v>1898</v>
      </c>
      <c r="E2891" s="139" t="s">
        <v>1369</v>
      </c>
      <c r="F2891" s="139"/>
      <c r="G2891" s="112" t="s">
        <v>49</v>
      </c>
      <c r="H2891" s="111">
        <v>1.0800000000000001E-2</v>
      </c>
      <c r="I2891" s="110">
        <v>162.78</v>
      </c>
      <c r="J2891" s="110">
        <v>1.76</v>
      </c>
    </row>
    <row r="2892" spans="1:10" ht="24" customHeight="1" x14ac:dyDescent="0.2">
      <c r="A2892" s="113" t="s">
        <v>1859</v>
      </c>
      <c r="B2892" s="114" t="s">
        <v>1897</v>
      </c>
      <c r="C2892" s="113" t="s">
        <v>20</v>
      </c>
      <c r="D2892" s="113" t="s">
        <v>1896</v>
      </c>
      <c r="E2892" s="139" t="s">
        <v>1369</v>
      </c>
      <c r="F2892" s="139"/>
      <c r="G2892" s="112" t="s">
        <v>96</v>
      </c>
      <c r="H2892" s="111">
        <v>3.7955999999999999</v>
      </c>
      <c r="I2892" s="110">
        <v>0.6</v>
      </c>
      <c r="J2892" s="110">
        <v>2.2799999999999998</v>
      </c>
    </row>
    <row r="2893" spans="1:10" ht="24" customHeight="1" x14ac:dyDescent="0.2">
      <c r="A2893" s="113" t="s">
        <v>1859</v>
      </c>
      <c r="B2893" s="114" t="s">
        <v>2088</v>
      </c>
      <c r="C2893" s="113" t="s">
        <v>20</v>
      </c>
      <c r="D2893" s="113" t="s">
        <v>2087</v>
      </c>
      <c r="E2893" s="139" t="s">
        <v>1369</v>
      </c>
      <c r="F2893" s="139"/>
      <c r="G2893" s="112" t="s">
        <v>22</v>
      </c>
      <c r="H2893" s="111">
        <v>1</v>
      </c>
      <c r="I2893" s="110">
        <v>910.41</v>
      </c>
      <c r="J2893" s="110">
        <v>910.41</v>
      </c>
    </row>
    <row r="2894" spans="1:10" ht="24" customHeight="1" x14ac:dyDescent="0.2">
      <c r="A2894" s="113" t="s">
        <v>1859</v>
      </c>
      <c r="B2894" s="114" t="s">
        <v>1866</v>
      </c>
      <c r="C2894" s="113" t="s">
        <v>20</v>
      </c>
      <c r="D2894" s="113" t="s">
        <v>1865</v>
      </c>
      <c r="E2894" s="139" t="s">
        <v>1860</v>
      </c>
      <c r="F2894" s="139"/>
      <c r="G2894" s="112" t="s">
        <v>1864</v>
      </c>
      <c r="H2894" s="111">
        <v>1.3727</v>
      </c>
      <c r="I2894" s="110">
        <v>15.97</v>
      </c>
      <c r="J2894" s="110">
        <v>21.92</v>
      </c>
    </row>
    <row r="2895" spans="1:10" ht="24" customHeight="1" x14ac:dyDescent="0.2">
      <c r="A2895" s="113" t="s">
        <v>1859</v>
      </c>
      <c r="B2895" s="114" t="s">
        <v>1872</v>
      </c>
      <c r="C2895" s="113" t="s">
        <v>20</v>
      </c>
      <c r="D2895" s="113" t="s">
        <v>1871</v>
      </c>
      <c r="E2895" s="139" t="s">
        <v>1860</v>
      </c>
      <c r="F2895" s="139"/>
      <c r="G2895" s="112" t="s">
        <v>1864</v>
      </c>
      <c r="H2895" s="111">
        <v>1.0860000000000001</v>
      </c>
      <c r="I2895" s="110">
        <v>10.62</v>
      </c>
      <c r="J2895" s="110">
        <v>11.53</v>
      </c>
    </row>
    <row r="2896" spans="1:10" x14ac:dyDescent="0.2">
      <c r="A2896" s="109"/>
      <c r="B2896" s="109"/>
      <c r="C2896" s="109"/>
      <c r="D2896" s="109"/>
      <c r="E2896" s="109" t="s">
        <v>1858</v>
      </c>
      <c r="F2896" s="108">
        <v>33.450000000000003</v>
      </c>
      <c r="G2896" s="109" t="s">
        <v>1857</v>
      </c>
      <c r="H2896" s="108">
        <v>0</v>
      </c>
      <c r="I2896" s="109" t="s">
        <v>1856</v>
      </c>
      <c r="J2896" s="108">
        <v>33.450000000000003</v>
      </c>
    </row>
    <row r="2897" spans="1:10" ht="13.9" customHeight="1" x14ac:dyDescent="0.2">
      <c r="A2897" s="109"/>
      <c r="B2897" s="109"/>
      <c r="C2897" s="109"/>
      <c r="D2897" s="109"/>
      <c r="E2897" s="109" t="s">
        <v>1855</v>
      </c>
      <c r="F2897" s="108">
        <v>251.66745</v>
      </c>
      <c r="G2897" s="109"/>
      <c r="H2897" s="140" t="s">
        <v>1854</v>
      </c>
      <c r="I2897" s="140"/>
      <c r="J2897" s="108">
        <v>1199.57</v>
      </c>
    </row>
    <row r="2898" spans="1:10" ht="30" customHeight="1" thickBot="1" x14ac:dyDescent="0.25">
      <c r="A2898" s="100"/>
      <c r="B2898" s="100"/>
      <c r="C2898" s="100"/>
      <c r="D2898" s="100"/>
      <c r="E2898" s="100"/>
      <c r="F2898" s="100"/>
      <c r="G2898" s="100" t="s">
        <v>1853</v>
      </c>
      <c r="H2898" s="107">
        <v>4.3</v>
      </c>
      <c r="I2898" s="100" t="s">
        <v>1852</v>
      </c>
      <c r="J2898" s="102">
        <v>5158.1499999999996</v>
      </c>
    </row>
    <row r="2899" spans="1:10" ht="1.1499999999999999" customHeight="1" thickTop="1" x14ac:dyDescent="0.2">
      <c r="A2899" s="106"/>
      <c r="B2899" s="106"/>
      <c r="C2899" s="106"/>
      <c r="D2899" s="106"/>
      <c r="E2899" s="106"/>
      <c r="F2899" s="106"/>
      <c r="G2899" s="106"/>
      <c r="H2899" s="106"/>
      <c r="I2899" s="106"/>
      <c r="J2899" s="106"/>
    </row>
    <row r="2900" spans="1:10" ht="18" customHeight="1" x14ac:dyDescent="0.2">
      <c r="A2900" s="117" t="s">
        <v>696</v>
      </c>
      <c r="B2900" s="126" t="s">
        <v>5</v>
      </c>
      <c r="C2900" s="117" t="s">
        <v>6</v>
      </c>
      <c r="D2900" s="117" t="s">
        <v>7</v>
      </c>
      <c r="E2900" s="136" t="s">
        <v>1113</v>
      </c>
      <c r="F2900" s="136"/>
      <c r="G2900" s="7" t="s">
        <v>8</v>
      </c>
      <c r="H2900" s="126" t="s">
        <v>9</v>
      </c>
      <c r="I2900" s="126" t="s">
        <v>10</v>
      </c>
      <c r="J2900" s="126" t="s">
        <v>12</v>
      </c>
    </row>
    <row r="2901" spans="1:10" ht="24" customHeight="1" x14ac:dyDescent="0.2">
      <c r="A2901" s="116" t="s">
        <v>1861</v>
      </c>
      <c r="B2901" s="1" t="s">
        <v>1608</v>
      </c>
      <c r="C2901" s="116" t="s">
        <v>20</v>
      </c>
      <c r="D2901" s="116" t="s">
        <v>1614</v>
      </c>
      <c r="E2901" s="137">
        <v>18</v>
      </c>
      <c r="F2901" s="137"/>
      <c r="G2901" s="2" t="s">
        <v>22</v>
      </c>
      <c r="H2901" s="115">
        <v>1</v>
      </c>
      <c r="I2901" s="61">
        <v>947.9</v>
      </c>
      <c r="J2901" s="61">
        <v>947.9</v>
      </c>
    </row>
    <row r="2902" spans="1:10" ht="24" customHeight="1" x14ac:dyDescent="0.2">
      <c r="A2902" s="113" t="s">
        <v>1859</v>
      </c>
      <c r="B2902" s="114" t="s">
        <v>1899</v>
      </c>
      <c r="C2902" s="113" t="s">
        <v>20</v>
      </c>
      <c r="D2902" s="113" t="s">
        <v>1898</v>
      </c>
      <c r="E2902" s="139" t="s">
        <v>1369</v>
      </c>
      <c r="F2902" s="139"/>
      <c r="G2902" s="112" t="s">
        <v>49</v>
      </c>
      <c r="H2902" s="111">
        <v>1.0800000000000001E-2</v>
      </c>
      <c r="I2902" s="110">
        <v>162.78</v>
      </c>
      <c r="J2902" s="110">
        <v>1.76</v>
      </c>
    </row>
    <row r="2903" spans="1:10" ht="24" customHeight="1" x14ac:dyDescent="0.2">
      <c r="A2903" s="113" t="s">
        <v>1859</v>
      </c>
      <c r="B2903" s="114" t="s">
        <v>1897</v>
      </c>
      <c r="C2903" s="113" t="s">
        <v>20</v>
      </c>
      <c r="D2903" s="113" t="s">
        <v>1896</v>
      </c>
      <c r="E2903" s="139" t="s">
        <v>1369</v>
      </c>
      <c r="F2903" s="139"/>
      <c r="G2903" s="112" t="s">
        <v>96</v>
      </c>
      <c r="H2903" s="111">
        <v>3.7955999999999999</v>
      </c>
      <c r="I2903" s="110">
        <v>0.6</v>
      </c>
      <c r="J2903" s="110">
        <v>2.2799999999999998</v>
      </c>
    </row>
    <row r="2904" spans="1:10" ht="24" customHeight="1" x14ac:dyDescent="0.2">
      <c r="A2904" s="113" t="s">
        <v>1859</v>
      </c>
      <c r="B2904" s="114" t="s">
        <v>2088</v>
      </c>
      <c r="C2904" s="113" t="s">
        <v>20</v>
      </c>
      <c r="D2904" s="113" t="s">
        <v>2087</v>
      </c>
      <c r="E2904" s="139" t="s">
        <v>1369</v>
      </c>
      <c r="F2904" s="139"/>
      <c r="G2904" s="112" t="s">
        <v>22</v>
      </c>
      <c r="H2904" s="111">
        <v>1</v>
      </c>
      <c r="I2904" s="110">
        <v>910.41</v>
      </c>
      <c r="J2904" s="110">
        <v>910.41</v>
      </c>
    </row>
    <row r="2905" spans="1:10" ht="24" customHeight="1" x14ac:dyDescent="0.2">
      <c r="A2905" s="113" t="s">
        <v>1859</v>
      </c>
      <c r="B2905" s="114" t="s">
        <v>1866</v>
      </c>
      <c r="C2905" s="113" t="s">
        <v>20</v>
      </c>
      <c r="D2905" s="113" t="s">
        <v>1865</v>
      </c>
      <c r="E2905" s="139" t="s">
        <v>1860</v>
      </c>
      <c r="F2905" s="139"/>
      <c r="G2905" s="112" t="s">
        <v>1864</v>
      </c>
      <c r="H2905" s="111">
        <v>1.3727</v>
      </c>
      <c r="I2905" s="110">
        <v>15.97</v>
      </c>
      <c r="J2905" s="110">
        <v>21.92</v>
      </c>
    </row>
    <row r="2906" spans="1:10" ht="24" customHeight="1" x14ac:dyDescent="0.2">
      <c r="A2906" s="113" t="s">
        <v>1859</v>
      </c>
      <c r="B2906" s="114" t="s">
        <v>1872</v>
      </c>
      <c r="C2906" s="113" t="s">
        <v>20</v>
      </c>
      <c r="D2906" s="113" t="s">
        <v>1871</v>
      </c>
      <c r="E2906" s="139" t="s">
        <v>1860</v>
      </c>
      <c r="F2906" s="139"/>
      <c r="G2906" s="112" t="s">
        <v>1864</v>
      </c>
      <c r="H2906" s="111">
        <v>1.0860000000000001</v>
      </c>
      <c r="I2906" s="110">
        <v>10.62</v>
      </c>
      <c r="J2906" s="110">
        <v>11.53</v>
      </c>
    </row>
    <row r="2907" spans="1:10" x14ac:dyDescent="0.2">
      <c r="A2907" s="109"/>
      <c r="B2907" s="109"/>
      <c r="C2907" s="109"/>
      <c r="D2907" s="109"/>
      <c r="E2907" s="109" t="s">
        <v>1858</v>
      </c>
      <c r="F2907" s="108">
        <v>33.450000000000003</v>
      </c>
      <c r="G2907" s="109" t="s">
        <v>1857</v>
      </c>
      <c r="H2907" s="108">
        <v>0</v>
      </c>
      <c r="I2907" s="109" t="s">
        <v>1856</v>
      </c>
      <c r="J2907" s="108">
        <v>33.450000000000003</v>
      </c>
    </row>
    <row r="2908" spans="1:10" ht="13.9" customHeight="1" x14ac:dyDescent="0.2">
      <c r="A2908" s="109"/>
      <c r="B2908" s="109"/>
      <c r="C2908" s="109"/>
      <c r="D2908" s="109"/>
      <c r="E2908" s="109" t="s">
        <v>1855</v>
      </c>
      <c r="F2908" s="108">
        <v>251.66745</v>
      </c>
      <c r="G2908" s="109"/>
      <c r="H2908" s="140" t="s">
        <v>1854</v>
      </c>
      <c r="I2908" s="140"/>
      <c r="J2908" s="108">
        <v>1199.57</v>
      </c>
    </row>
    <row r="2909" spans="1:10" ht="30" customHeight="1" thickBot="1" x14ac:dyDescent="0.25">
      <c r="A2909" s="100"/>
      <c r="B2909" s="100"/>
      <c r="C2909" s="100"/>
      <c r="D2909" s="100"/>
      <c r="E2909" s="100"/>
      <c r="F2909" s="100"/>
      <c r="G2909" s="100" t="s">
        <v>1853</v>
      </c>
      <c r="H2909" s="107">
        <v>1.9</v>
      </c>
      <c r="I2909" s="100" t="s">
        <v>1852</v>
      </c>
      <c r="J2909" s="102">
        <v>2279.1799999999998</v>
      </c>
    </row>
    <row r="2910" spans="1:10" ht="1.1499999999999999" customHeight="1" thickTop="1" x14ac:dyDescent="0.2">
      <c r="A2910" s="106"/>
      <c r="B2910" s="106"/>
      <c r="C2910" s="106"/>
      <c r="D2910" s="106"/>
      <c r="E2910" s="106"/>
      <c r="F2910" s="106"/>
      <c r="G2910" s="106"/>
      <c r="H2910" s="106"/>
      <c r="I2910" s="106"/>
      <c r="J2910" s="106"/>
    </row>
    <row r="2911" spans="1:10" ht="18" customHeight="1" x14ac:dyDescent="0.2">
      <c r="A2911" s="117" t="s">
        <v>697</v>
      </c>
      <c r="B2911" s="126" t="s">
        <v>5</v>
      </c>
      <c r="C2911" s="117" t="s">
        <v>6</v>
      </c>
      <c r="D2911" s="117" t="s">
        <v>7</v>
      </c>
      <c r="E2911" s="136" t="s">
        <v>1113</v>
      </c>
      <c r="F2911" s="136"/>
      <c r="G2911" s="7" t="s">
        <v>8</v>
      </c>
      <c r="H2911" s="126" t="s">
        <v>9</v>
      </c>
      <c r="I2911" s="126" t="s">
        <v>10</v>
      </c>
      <c r="J2911" s="126" t="s">
        <v>12</v>
      </c>
    </row>
    <row r="2912" spans="1:10" ht="24" customHeight="1" x14ac:dyDescent="0.2">
      <c r="A2912" s="116" t="s">
        <v>1861</v>
      </c>
      <c r="B2912" s="1" t="s">
        <v>1608</v>
      </c>
      <c r="C2912" s="116" t="s">
        <v>20</v>
      </c>
      <c r="D2912" s="116" t="s">
        <v>1613</v>
      </c>
      <c r="E2912" s="137">
        <v>18</v>
      </c>
      <c r="F2912" s="137"/>
      <c r="G2912" s="2" t="s">
        <v>22</v>
      </c>
      <c r="H2912" s="115">
        <v>1</v>
      </c>
      <c r="I2912" s="61">
        <v>947.9</v>
      </c>
      <c r="J2912" s="61">
        <v>947.9</v>
      </c>
    </row>
    <row r="2913" spans="1:10" ht="24" customHeight="1" x14ac:dyDescent="0.2">
      <c r="A2913" s="113" t="s">
        <v>1859</v>
      </c>
      <c r="B2913" s="114" t="s">
        <v>1899</v>
      </c>
      <c r="C2913" s="113" t="s">
        <v>20</v>
      </c>
      <c r="D2913" s="113" t="s">
        <v>1898</v>
      </c>
      <c r="E2913" s="139" t="s">
        <v>1369</v>
      </c>
      <c r="F2913" s="139"/>
      <c r="G2913" s="112" t="s">
        <v>49</v>
      </c>
      <c r="H2913" s="111">
        <v>1.0800000000000001E-2</v>
      </c>
      <c r="I2913" s="110">
        <v>162.78</v>
      </c>
      <c r="J2913" s="110">
        <v>1.76</v>
      </c>
    </row>
    <row r="2914" spans="1:10" ht="24" customHeight="1" x14ac:dyDescent="0.2">
      <c r="A2914" s="113" t="s">
        <v>1859</v>
      </c>
      <c r="B2914" s="114" t="s">
        <v>1897</v>
      </c>
      <c r="C2914" s="113" t="s">
        <v>20</v>
      </c>
      <c r="D2914" s="113" t="s">
        <v>1896</v>
      </c>
      <c r="E2914" s="139" t="s">
        <v>1369</v>
      </c>
      <c r="F2914" s="139"/>
      <c r="G2914" s="112" t="s">
        <v>96</v>
      </c>
      <c r="H2914" s="111">
        <v>3.7955999999999999</v>
      </c>
      <c r="I2914" s="110">
        <v>0.6</v>
      </c>
      <c r="J2914" s="110">
        <v>2.2799999999999998</v>
      </c>
    </row>
    <row r="2915" spans="1:10" ht="24" customHeight="1" x14ac:dyDescent="0.2">
      <c r="A2915" s="113" t="s">
        <v>1859</v>
      </c>
      <c r="B2915" s="114" t="s">
        <v>2088</v>
      </c>
      <c r="C2915" s="113" t="s">
        <v>20</v>
      </c>
      <c r="D2915" s="113" t="s">
        <v>2087</v>
      </c>
      <c r="E2915" s="139" t="s">
        <v>1369</v>
      </c>
      <c r="F2915" s="139"/>
      <c r="G2915" s="112" t="s">
        <v>22</v>
      </c>
      <c r="H2915" s="111">
        <v>1</v>
      </c>
      <c r="I2915" s="110">
        <v>910.41</v>
      </c>
      <c r="J2915" s="110">
        <v>910.41</v>
      </c>
    </row>
    <row r="2916" spans="1:10" ht="24" customHeight="1" x14ac:dyDescent="0.2">
      <c r="A2916" s="113" t="s">
        <v>1859</v>
      </c>
      <c r="B2916" s="114" t="s">
        <v>1866</v>
      </c>
      <c r="C2916" s="113" t="s">
        <v>20</v>
      </c>
      <c r="D2916" s="113" t="s">
        <v>1865</v>
      </c>
      <c r="E2916" s="139" t="s">
        <v>1860</v>
      </c>
      <c r="F2916" s="139"/>
      <c r="G2916" s="112" t="s">
        <v>1864</v>
      </c>
      <c r="H2916" s="111">
        <v>1.3727</v>
      </c>
      <c r="I2916" s="110">
        <v>15.97</v>
      </c>
      <c r="J2916" s="110">
        <v>21.92</v>
      </c>
    </row>
    <row r="2917" spans="1:10" ht="24" customHeight="1" x14ac:dyDescent="0.2">
      <c r="A2917" s="113" t="s">
        <v>1859</v>
      </c>
      <c r="B2917" s="114" t="s">
        <v>1872</v>
      </c>
      <c r="C2917" s="113" t="s">
        <v>20</v>
      </c>
      <c r="D2917" s="113" t="s">
        <v>1871</v>
      </c>
      <c r="E2917" s="139" t="s">
        <v>1860</v>
      </c>
      <c r="F2917" s="139"/>
      <c r="G2917" s="112" t="s">
        <v>1864</v>
      </c>
      <c r="H2917" s="111">
        <v>1.0860000000000001</v>
      </c>
      <c r="I2917" s="110">
        <v>10.62</v>
      </c>
      <c r="J2917" s="110">
        <v>11.53</v>
      </c>
    </row>
    <row r="2918" spans="1:10" x14ac:dyDescent="0.2">
      <c r="A2918" s="109"/>
      <c r="B2918" s="109"/>
      <c r="C2918" s="109"/>
      <c r="D2918" s="109"/>
      <c r="E2918" s="109" t="s">
        <v>1858</v>
      </c>
      <c r="F2918" s="108">
        <v>33.450000000000003</v>
      </c>
      <c r="G2918" s="109" t="s">
        <v>1857</v>
      </c>
      <c r="H2918" s="108">
        <v>0</v>
      </c>
      <c r="I2918" s="109" t="s">
        <v>1856</v>
      </c>
      <c r="J2918" s="108">
        <v>33.450000000000003</v>
      </c>
    </row>
    <row r="2919" spans="1:10" ht="13.9" customHeight="1" x14ac:dyDescent="0.2">
      <c r="A2919" s="109"/>
      <c r="B2919" s="109"/>
      <c r="C2919" s="109"/>
      <c r="D2919" s="109"/>
      <c r="E2919" s="109" t="s">
        <v>1855</v>
      </c>
      <c r="F2919" s="108">
        <v>251.66745</v>
      </c>
      <c r="G2919" s="109"/>
      <c r="H2919" s="140" t="s">
        <v>1854</v>
      </c>
      <c r="I2919" s="140"/>
      <c r="J2919" s="108">
        <v>1199.57</v>
      </c>
    </row>
    <row r="2920" spans="1:10" ht="30" customHeight="1" thickBot="1" x14ac:dyDescent="0.25">
      <c r="A2920" s="100"/>
      <c r="B2920" s="100"/>
      <c r="C2920" s="100"/>
      <c r="D2920" s="100"/>
      <c r="E2920" s="100"/>
      <c r="F2920" s="100"/>
      <c r="G2920" s="100" t="s">
        <v>1853</v>
      </c>
      <c r="H2920" s="107">
        <v>6.38</v>
      </c>
      <c r="I2920" s="100" t="s">
        <v>1852</v>
      </c>
      <c r="J2920" s="102">
        <v>7653.26</v>
      </c>
    </row>
    <row r="2921" spans="1:10" ht="1.1499999999999999" customHeight="1" thickTop="1" x14ac:dyDescent="0.2">
      <c r="A2921" s="106"/>
      <c r="B2921" s="106"/>
      <c r="C2921" s="106"/>
      <c r="D2921" s="106"/>
      <c r="E2921" s="106"/>
      <c r="F2921" s="106"/>
      <c r="G2921" s="106"/>
      <c r="H2921" s="106"/>
      <c r="I2921" s="106"/>
      <c r="J2921" s="106"/>
    </row>
    <row r="2922" spans="1:10" ht="18" customHeight="1" x14ac:dyDescent="0.2">
      <c r="A2922" s="117" t="s">
        <v>698</v>
      </c>
      <c r="B2922" s="126" t="s">
        <v>5</v>
      </c>
      <c r="C2922" s="117" t="s">
        <v>6</v>
      </c>
      <c r="D2922" s="117" t="s">
        <v>7</v>
      </c>
      <c r="E2922" s="136" t="s">
        <v>1113</v>
      </c>
      <c r="F2922" s="136"/>
      <c r="G2922" s="7" t="s">
        <v>8</v>
      </c>
      <c r="H2922" s="126" t="s">
        <v>9</v>
      </c>
      <c r="I2922" s="126" t="s">
        <v>10</v>
      </c>
      <c r="J2922" s="126" t="s">
        <v>12</v>
      </c>
    </row>
    <row r="2923" spans="1:10" ht="24" customHeight="1" x14ac:dyDescent="0.2">
      <c r="A2923" s="116" t="s">
        <v>1861</v>
      </c>
      <c r="B2923" s="1" t="s">
        <v>1608</v>
      </c>
      <c r="C2923" s="116" t="s">
        <v>20</v>
      </c>
      <c r="D2923" s="116" t="s">
        <v>1612</v>
      </c>
      <c r="E2923" s="137">
        <v>18</v>
      </c>
      <c r="F2923" s="137"/>
      <c r="G2923" s="2" t="s">
        <v>22</v>
      </c>
      <c r="H2923" s="115">
        <v>1</v>
      </c>
      <c r="I2923" s="61">
        <v>947.9</v>
      </c>
      <c r="J2923" s="61">
        <v>947.9</v>
      </c>
    </row>
    <row r="2924" spans="1:10" ht="24" customHeight="1" x14ac:dyDescent="0.2">
      <c r="A2924" s="113" t="s">
        <v>1859</v>
      </c>
      <c r="B2924" s="114" t="s">
        <v>1899</v>
      </c>
      <c r="C2924" s="113" t="s">
        <v>20</v>
      </c>
      <c r="D2924" s="113" t="s">
        <v>1898</v>
      </c>
      <c r="E2924" s="139" t="s">
        <v>1369</v>
      </c>
      <c r="F2924" s="139"/>
      <c r="G2924" s="112" t="s">
        <v>49</v>
      </c>
      <c r="H2924" s="111">
        <v>1.0800000000000001E-2</v>
      </c>
      <c r="I2924" s="110">
        <v>162.78</v>
      </c>
      <c r="J2924" s="110">
        <v>1.76</v>
      </c>
    </row>
    <row r="2925" spans="1:10" ht="24" customHeight="1" x14ac:dyDescent="0.2">
      <c r="A2925" s="113" t="s">
        <v>1859</v>
      </c>
      <c r="B2925" s="114" t="s">
        <v>1897</v>
      </c>
      <c r="C2925" s="113" t="s">
        <v>20</v>
      </c>
      <c r="D2925" s="113" t="s">
        <v>1896</v>
      </c>
      <c r="E2925" s="139" t="s">
        <v>1369</v>
      </c>
      <c r="F2925" s="139"/>
      <c r="G2925" s="112" t="s">
        <v>96</v>
      </c>
      <c r="H2925" s="111">
        <v>3.7955999999999999</v>
      </c>
      <c r="I2925" s="110">
        <v>0.6</v>
      </c>
      <c r="J2925" s="110">
        <v>2.2799999999999998</v>
      </c>
    </row>
    <row r="2926" spans="1:10" ht="24" customHeight="1" x14ac:dyDescent="0.2">
      <c r="A2926" s="113" t="s">
        <v>1859</v>
      </c>
      <c r="B2926" s="114" t="s">
        <v>2088</v>
      </c>
      <c r="C2926" s="113" t="s">
        <v>20</v>
      </c>
      <c r="D2926" s="113" t="s">
        <v>2087</v>
      </c>
      <c r="E2926" s="139" t="s">
        <v>1369</v>
      </c>
      <c r="F2926" s="139"/>
      <c r="G2926" s="112" t="s">
        <v>22</v>
      </c>
      <c r="H2926" s="111">
        <v>1</v>
      </c>
      <c r="I2926" s="110">
        <v>910.41</v>
      </c>
      <c r="J2926" s="110">
        <v>910.41</v>
      </c>
    </row>
    <row r="2927" spans="1:10" ht="24" customHeight="1" x14ac:dyDescent="0.2">
      <c r="A2927" s="113" t="s">
        <v>1859</v>
      </c>
      <c r="B2927" s="114" t="s">
        <v>1866</v>
      </c>
      <c r="C2927" s="113" t="s">
        <v>20</v>
      </c>
      <c r="D2927" s="113" t="s">
        <v>1865</v>
      </c>
      <c r="E2927" s="139" t="s">
        <v>1860</v>
      </c>
      <c r="F2927" s="139"/>
      <c r="G2927" s="112" t="s">
        <v>1864</v>
      </c>
      <c r="H2927" s="111">
        <v>1.3727</v>
      </c>
      <c r="I2927" s="110">
        <v>15.97</v>
      </c>
      <c r="J2927" s="110">
        <v>21.92</v>
      </c>
    </row>
    <row r="2928" spans="1:10" ht="24" customHeight="1" x14ac:dyDescent="0.2">
      <c r="A2928" s="113" t="s">
        <v>1859</v>
      </c>
      <c r="B2928" s="114" t="s">
        <v>1872</v>
      </c>
      <c r="C2928" s="113" t="s">
        <v>20</v>
      </c>
      <c r="D2928" s="113" t="s">
        <v>1871</v>
      </c>
      <c r="E2928" s="139" t="s">
        <v>1860</v>
      </c>
      <c r="F2928" s="139"/>
      <c r="G2928" s="112" t="s">
        <v>1864</v>
      </c>
      <c r="H2928" s="111">
        <v>1.0860000000000001</v>
      </c>
      <c r="I2928" s="110">
        <v>10.62</v>
      </c>
      <c r="J2928" s="110">
        <v>11.53</v>
      </c>
    </row>
    <row r="2929" spans="1:10" x14ac:dyDescent="0.2">
      <c r="A2929" s="109"/>
      <c r="B2929" s="109"/>
      <c r="C2929" s="109"/>
      <c r="D2929" s="109"/>
      <c r="E2929" s="109" t="s">
        <v>1858</v>
      </c>
      <c r="F2929" s="108">
        <v>33.450000000000003</v>
      </c>
      <c r="G2929" s="109" t="s">
        <v>1857</v>
      </c>
      <c r="H2929" s="108">
        <v>0</v>
      </c>
      <c r="I2929" s="109" t="s">
        <v>1856</v>
      </c>
      <c r="J2929" s="108">
        <v>33.450000000000003</v>
      </c>
    </row>
    <row r="2930" spans="1:10" ht="13.9" customHeight="1" x14ac:dyDescent="0.2">
      <c r="A2930" s="109"/>
      <c r="B2930" s="109"/>
      <c r="C2930" s="109"/>
      <c r="D2930" s="109"/>
      <c r="E2930" s="109" t="s">
        <v>1855</v>
      </c>
      <c r="F2930" s="108">
        <v>251.66745</v>
      </c>
      <c r="G2930" s="109"/>
      <c r="H2930" s="140" t="s">
        <v>1854</v>
      </c>
      <c r="I2930" s="140"/>
      <c r="J2930" s="108">
        <v>1199.57</v>
      </c>
    </row>
    <row r="2931" spans="1:10" ht="30" customHeight="1" thickBot="1" x14ac:dyDescent="0.25">
      <c r="A2931" s="100"/>
      <c r="B2931" s="100"/>
      <c r="C2931" s="100"/>
      <c r="D2931" s="100"/>
      <c r="E2931" s="100"/>
      <c r="F2931" s="100"/>
      <c r="G2931" s="100" t="s">
        <v>1853</v>
      </c>
      <c r="H2931" s="107">
        <v>5.89</v>
      </c>
      <c r="I2931" s="100" t="s">
        <v>1852</v>
      </c>
      <c r="J2931" s="102">
        <v>7065.47</v>
      </c>
    </row>
    <row r="2932" spans="1:10" ht="1.1499999999999999" customHeight="1" thickTop="1" x14ac:dyDescent="0.2">
      <c r="A2932" s="106"/>
      <c r="B2932" s="106"/>
      <c r="C2932" s="106"/>
      <c r="D2932" s="106"/>
      <c r="E2932" s="106"/>
      <c r="F2932" s="106"/>
      <c r="G2932" s="106"/>
      <c r="H2932" s="106"/>
      <c r="I2932" s="106"/>
      <c r="J2932" s="106"/>
    </row>
    <row r="2933" spans="1:10" ht="18" customHeight="1" x14ac:dyDescent="0.2">
      <c r="A2933" s="117" t="s">
        <v>699</v>
      </c>
      <c r="B2933" s="126" t="s">
        <v>5</v>
      </c>
      <c r="C2933" s="117" t="s">
        <v>6</v>
      </c>
      <c r="D2933" s="117" t="s">
        <v>7</v>
      </c>
      <c r="E2933" s="136" t="s">
        <v>1113</v>
      </c>
      <c r="F2933" s="136"/>
      <c r="G2933" s="7" t="s">
        <v>8</v>
      </c>
      <c r="H2933" s="126" t="s">
        <v>9</v>
      </c>
      <c r="I2933" s="126" t="s">
        <v>10</v>
      </c>
      <c r="J2933" s="126" t="s">
        <v>12</v>
      </c>
    </row>
    <row r="2934" spans="1:10" ht="24" customHeight="1" x14ac:dyDescent="0.2">
      <c r="A2934" s="116" t="s">
        <v>1861</v>
      </c>
      <c r="B2934" s="1" t="s">
        <v>1608</v>
      </c>
      <c r="C2934" s="116" t="s">
        <v>20</v>
      </c>
      <c r="D2934" s="116" t="s">
        <v>1611</v>
      </c>
      <c r="E2934" s="137">
        <v>18</v>
      </c>
      <c r="F2934" s="137"/>
      <c r="G2934" s="2" t="s">
        <v>22</v>
      </c>
      <c r="H2934" s="115">
        <v>1</v>
      </c>
      <c r="I2934" s="61">
        <v>947.9</v>
      </c>
      <c r="J2934" s="61">
        <v>947.9</v>
      </c>
    </row>
    <row r="2935" spans="1:10" ht="24" customHeight="1" x14ac:dyDescent="0.2">
      <c r="A2935" s="113" t="s">
        <v>1859</v>
      </c>
      <c r="B2935" s="114" t="s">
        <v>1899</v>
      </c>
      <c r="C2935" s="113" t="s">
        <v>20</v>
      </c>
      <c r="D2935" s="113" t="s">
        <v>1898</v>
      </c>
      <c r="E2935" s="139" t="s">
        <v>1369</v>
      </c>
      <c r="F2935" s="139"/>
      <c r="G2935" s="112" t="s">
        <v>49</v>
      </c>
      <c r="H2935" s="111">
        <v>1.0800000000000001E-2</v>
      </c>
      <c r="I2935" s="110">
        <v>162.78</v>
      </c>
      <c r="J2935" s="110">
        <v>1.76</v>
      </c>
    </row>
    <row r="2936" spans="1:10" ht="24" customHeight="1" x14ac:dyDescent="0.2">
      <c r="A2936" s="113" t="s">
        <v>1859</v>
      </c>
      <c r="B2936" s="114" t="s">
        <v>1897</v>
      </c>
      <c r="C2936" s="113" t="s">
        <v>20</v>
      </c>
      <c r="D2936" s="113" t="s">
        <v>1896</v>
      </c>
      <c r="E2936" s="139" t="s">
        <v>1369</v>
      </c>
      <c r="F2936" s="139"/>
      <c r="G2936" s="112" t="s">
        <v>96</v>
      </c>
      <c r="H2936" s="111">
        <v>3.7955999999999999</v>
      </c>
      <c r="I2936" s="110">
        <v>0.6</v>
      </c>
      <c r="J2936" s="110">
        <v>2.2799999999999998</v>
      </c>
    </row>
    <row r="2937" spans="1:10" ht="24" customHeight="1" x14ac:dyDescent="0.2">
      <c r="A2937" s="113" t="s">
        <v>1859</v>
      </c>
      <c r="B2937" s="114" t="s">
        <v>2088</v>
      </c>
      <c r="C2937" s="113" t="s">
        <v>20</v>
      </c>
      <c r="D2937" s="113" t="s">
        <v>2087</v>
      </c>
      <c r="E2937" s="139" t="s">
        <v>1369</v>
      </c>
      <c r="F2937" s="139"/>
      <c r="G2937" s="112" t="s">
        <v>22</v>
      </c>
      <c r="H2937" s="111">
        <v>1</v>
      </c>
      <c r="I2937" s="110">
        <v>910.41</v>
      </c>
      <c r="J2937" s="110">
        <v>910.41</v>
      </c>
    </row>
    <row r="2938" spans="1:10" ht="24" customHeight="1" x14ac:dyDescent="0.2">
      <c r="A2938" s="113" t="s">
        <v>1859</v>
      </c>
      <c r="B2938" s="114" t="s">
        <v>1866</v>
      </c>
      <c r="C2938" s="113" t="s">
        <v>20</v>
      </c>
      <c r="D2938" s="113" t="s">
        <v>1865</v>
      </c>
      <c r="E2938" s="139" t="s">
        <v>1860</v>
      </c>
      <c r="F2938" s="139"/>
      <c r="G2938" s="112" t="s">
        <v>1864</v>
      </c>
      <c r="H2938" s="111">
        <v>1.3727</v>
      </c>
      <c r="I2938" s="110">
        <v>15.97</v>
      </c>
      <c r="J2938" s="110">
        <v>21.92</v>
      </c>
    </row>
    <row r="2939" spans="1:10" ht="24" customHeight="1" x14ac:dyDescent="0.2">
      <c r="A2939" s="113" t="s">
        <v>1859</v>
      </c>
      <c r="B2939" s="114" t="s">
        <v>1872</v>
      </c>
      <c r="C2939" s="113" t="s">
        <v>20</v>
      </c>
      <c r="D2939" s="113" t="s">
        <v>1871</v>
      </c>
      <c r="E2939" s="139" t="s">
        <v>1860</v>
      </c>
      <c r="F2939" s="139"/>
      <c r="G2939" s="112" t="s">
        <v>1864</v>
      </c>
      <c r="H2939" s="111">
        <v>1.0860000000000001</v>
      </c>
      <c r="I2939" s="110">
        <v>10.62</v>
      </c>
      <c r="J2939" s="110">
        <v>11.53</v>
      </c>
    </row>
    <row r="2940" spans="1:10" x14ac:dyDescent="0.2">
      <c r="A2940" s="109"/>
      <c r="B2940" s="109"/>
      <c r="C2940" s="109"/>
      <c r="D2940" s="109"/>
      <c r="E2940" s="109" t="s">
        <v>1858</v>
      </c>
      <c r="F2940" s="108">
        <v>33.450000000000003</v>
      </c>
      <c r="G2940" s="109" t="s">
        <v>1857</v>
      </c>
      <c r="H2940" s="108">
        <v>0</v>
      </c>
      <c r="I2940" s="109" t="s">
        <v>1856</v>
      </c>
      <c r="J2940" s="108">
        <v>33.450000000000003</v>
      </c>
    </row>
    <row r="2941" spans="1:10" ht="13.9" customHeight="1" x14ac:dyDescent="0.2">
      <c r="A2941" s="109"/>
      <c r="B2941" s="109"/>
      <c r="C2941" s="109"/>
      <c r="D2941" s="109"/>
      <c r="E2941" s="109" t="s">
        <v>1855</v>
      </c>
      <c r="F2941" s="108">
        <v>251.66745</v>
      </c>
      <c r="G2941" s="109"/>
      <c r="H2941" s="140" t="s">
        <v>1854</v>
      </c>
      <c r="I2941" s="140"/>
      <c r="J2941" s="108">
        <v>1199.57</v>
      </c>
    </row>
    <row r="2942" spans="1:10" ht="30" customHeight="1" thickBot="1" x14ac:dyDescent="0.25">
      <c r="A2942" s="100"/>
      <c r="B2942" s="100"/>
      <c r="C2942" s="100"/>
      <c r="D2942" s="100"/>
      <c r="E2942" s="100"/>
      <c r="F2942" s="100"/>
      <c r="G2942" s="100" t="s">
        <v>1853</v>
      </c>
      <c r="H2942" s="107">
        <v>5.42</v>
      </c>
      <c r="I2942" s="100" t="s">
        <v>1852</v>
      </c>
      <c r="J2942" s="102">
        <v>6501.67</v>
      </c>
    </row>
    <row r="2943" spans="1:10" ht="1.1499999999999999" customHeight="1" thickTop="1" x14ac:dyDescent="0.2">
      <c r="A2943" s="106"/>
      <c r="B2943" s="106"/>
      <c r="C2943" s="106"/>
      <c r="D2943" s="106"/>
      <c r="E2943" s="106"/>
      <c r="F2943" s="106"/>
      <c r="G2943" s="106"/>
      <c r="H2943" s="106"/>
      <c r="I2943" s="106"/>
      <c r="J2943" s="106"/>
    </row>
    <row r="2944" spans="1:10" ht="18" customHeight="1" x14ac:dyDescent="0.2">
      <c r="A2944" s="117" t="s">
        <v>700</v>
      </c>
      <c r="B2944" s="126" t="s">
        <v>5</v>
      </c>
      <c r="C2944" s="117" t="s">
        <v>6</v>
      </c>
      <c r="D2944" s="117" t="s">
        <v>7</v>
      </c>
      <c r="E2944" s="136" t="s">
        <v>1113</v>
      </c>
      <c r="F2944" s="136"/>
      <c r="G2944" s="7" t="s">
        <v>8</v>
      </c>
      <c r="H2944" s="126" t="s">
        <v>9</v>
      </c>
      <c r="I2944" s="126" t="s">
        <v>10</v>
      </c>
      <c r="J2944" s="126" t="s">
        <v>12</v>
      </c>
    </row>
    <row r="2945" spans="1:10" ht="24" customHeight="1" x14ac:dyDescent="0.2">
      <c r="A2945" s="116" t="s">
        <v>1861</v>
      </c>
      <c r="B2945" s="1" t="s">
        <v>1608</v>
      </c>
      <c r="C2945" s="116" t="s">
        <v>20</v>
      </c>
      <c r="D2945" s="116" t="s">
        <v>1610</v>
      </c>
      <c r="E2945" s="137">
        <v>18</v>
      </c>
      <c r="F2945" s="137"/>
      <c r="G2945" s="2" t="s">
        <v>22</v>
      </c>
      <c r="H2945" s="115">
        <v>1</v>
      </c>
      <c r="I2945" s="61">
        <v>947.9</v>
      </c>
      <c r="J2945" s="61">
        <v>947.9</v>
      </c>
    </row>
    <row r="2946" spans="1:10" ht="24" customHeight="1" x14ac:dyDescent="0.2">
      <c r="A2946" s="113" t="s">
        <v>1859</v>
      </c>
      <c r="B2946" s="114" t="s">
        <v>1899</v>
      </c>
      <c r="C2946" s="113" t="s">
        <v>20</v>
      </c>
      <c r="D2946" s="113" t="s">
        <v>1898</v>
      </c>
      <c r="E2946" s="139" t="s">
        <v>1369</v>
      </c>
      <c r="F2946" s="139"/>
      <c r="G2946" s="112" t="s">
        <v>49</v>
      </c>
      <c r="H2946" s="111">
        <v>1.0800000000000001E-2</v>
      </c>
      <c r="I2946" s="110">
        <v>162.78</v>
      </c>
      <c r="J2946" s="110">
        <v>1.76</v>
      </c>
    </row>
    <row r="2947" spans="1:10" ht="24" customHeight="1" x14ac:dyDescent="0.2">
      <c r="A2947" s="113" t="s">
        <v>1859</v>
      </c>
      <c r="B2947" s="114" t="s">
        <v>1897</v>
      </c>
      <c r="C2947" s="113" t="s">
        <v>20</v>
      </c>
      <c r="D2947" s="113" t="s">
        <v>1896</v>
      </c>
      <c r="E2947" s="139" t="s">
        <v>1369</v>
      </c>
      <c r="F2947" s="139"/>
      <c r="G2947" s="112" t="s">
        <v>96</v>
      </c>
      <c r="H2947" s="111">
        <v>3.7955999999999999</v>
      </c>
      <c r="I2947" s="110">
        <v>0.6</v>
      </c>
      <c r="J2947" s="110">
        <v>2.2799999999999998</v>
      </c>
    </row>
    <row r="2948" spans="1:10" ht="24" customHeight="1" x14ac:dyDescent="0.2">
      <c r="A2948" s="113" t="s">
        <v>1859</v>
      </c>
      <c r="B2948" s="114" t="s">
        <v>2088</v>
      </c>
      <c r="C2948" s="113" t="s">
        <v>20</v>
      </c>
      <c r="D2948" s="113" t="s">
        <v>2087</v>
      </c>
      <c r="E2948" s="139" t="s">
        <v>1369</v>
      </c>
      <c r="F2948" s="139"/>
      <c r="G2948" s="112" t="s">
        <v>22</v>
      </c>
      <c r="H2948" s="111">
        <v>1</v>
      </c>
      <c r="I2948" s="110">
        <v>910.41</v>
      </c>
      <c r="J2948" s="110">
        <v>910.41</v>
      </c>
    </row>
    <row r="2949" spans="1:10" ht="24" customHeight="1" x14ac:dyDescent="0.2">
      <c r="A2949" s="113" t="s">
        <v>1859</v>
      </c>
      <c r="B2949" s="114" t="s">
        <v>1866</v>
      </c>
      <c r="C2949" s="113" t="s">
        <v>20</v>
      </c>
      <c r="D2949" s="113" t="s">
        <v>1865</v>
      </c>
      <c r="E2949" s="139" t="s">
        <v>1860</v>
      </c>
      <c r="F2949" s="139"/>
      <c r="G2949" s="112" t="s">
        <v>1864</v>
      </c>
      <c r="H2949" s="111">
        <v>1.3727</v>
      </c>
      <c r="I2949" s="110">
        <v>15.97</v>
      </c>
      <c r="J2949" s="110">
        <v>21.92</v>
      </c>
    </row>
    <row r="2950" spans="1:10" ht="24" customHeight="1" x14ac:dyDescent="0.2">
      <c r="A2950" s="113" t="s">
        <v>1859</v>
      </c>
      <c r="B2950" s="114" t="s">
        <v>1872</v>
      </c>
      <c r="C2950" s="113" t="s">
        <v>20</v>
      </c>
      <c r="D2950" s="113" t="s">
        <v>1871</v>
      </c>
      <c r="E2950" s="139" t="s">
        <v>1860</v>
      </c>
      <c r="F2950" s="139"/>
      <c r="G2950" s="112" t="s">
        <v>1864</v>
      </c>
      <c r="H2950" s="111">
        <v>1.0860000000000001</v>
      </c>
      <c r="I2950" s="110">
        <v>10.62</v>
      </c>
      <c r="J2950" s="110">
        <v>11.53</v>
      </c>
    </row>
    <row r="2951" spans="1:10" x14ac:dyDescent="0.2">
      <c r="A2951" s="109"/>
      <c r="B2951" s="109"/>
      <c r="C2951" s="109"/>
      <c r="D2951" s="109"/>
      <c r="E2951" s="109" t="s">
        <v>1858</v>
      </c>
      <c r="F2951" s="108">
        <v>33.450000000000003</v>
      </c>
      <c r="G2951" s="109" t="s">
        <v>1857</v>
      </c>
      <c r="H2951" s="108">
        <v>0</v>
      </c>
      <c r="I2951" s="109" t="s">
        <v>1856</v>
      </c>
      <c r="J2951" s="108">
        <v>33.450000000000003</v>
      </c>
    </row>
    <row r="2952" spans="1:10" ht="13.9" customHeight="1" x14ac:dyDescent="0.2">
      <c r="A2952" s="109"/>
      <c r="B2952" s="109"/>
      <c r="C2952" s="109"/>
      <c r="D2952" s="109"/>
      <c r="E2952" s="109" t="s">
        <v>1855</v>
      </c>
      <c r="F2952" s="108">
        <v>251.66745</v>
      </c>
      <c r="G2952" s="109"/>
      <c r="H2952" s="140" t="s">
        <v>1854</v>
      </c>
      <c r="I2952" s="140"/>
      <c r="J2952" s="108">
        <v>1199.57</v>
      </c>
    </row>
    <row r="2953" spans="1:10" ht="30" customHeight="1" thickBot="1" x14ac:dyDescent="0.25">
      <c r="A2953" s="100"/>
      <c r="B2953" s="100"/>
      <c r="C2953" s="100"/>
      <c r="D2953" s="100"/>
      <c r="E2953" s="100"/>
      <c r="F2953" s="100"/>
      <c r="G2953" s="100" t="s">
        <v>1853</v>
      </c>
      <c r="H2953" s="107">
        <v>11.4</v>
      </c>
      <c r="I2953" s="100" t="s">
        <v>1852</v>
      </c>
      <c r="J2953" s="102">
        <v>13675.1</v>
      </c>
    </row>
    <row r="2954" spans="1:10" ht="1.1499999999999999" customHeight="1" thickTop="1" x14ac:dyDescent="0.2">
      <c r="A2954" s="106"/>
      <c r="B2954" s="106"/>
      <c r="C2954" s="106"/>
      <c r="D2954" s="106"/>
      <c r="E2954" s="106"/>
      <c r="F2954" s="106"/>
      <c r="G2954" s="106"/>
      <c r="H2954" s="106"/>
      <c r="I2954" s="106"/>
      <c r="J2954" s="106"/>
    </row>
    <row r="2955" spans="1:10" ht="18" customHeight="1" x14ac:dyDescent="0.2">
      <c r="A2955" s="117" t="s">
        <v>701</v>
      </c>
      <c r="B2955" s="126" t="s">
        <v>5</v>
      </c>
      <c r="C2955" s="117" t="s">
        <v>6</v>
      </c>
      <c r="D2955" s="117" t="s">
        <v>7</v>
      </c>
      <c r="E2955" s="136" t="s">
        <v>1113</v>
      </c>
      <c r="F2955" s="136"/>
      <c r="G2955" s="7" t="s">
        <v>8</v>
      </c>
      <c r="H2955" s="126" t="s">
        <v>9</v>
      </c>
      <c r="I2955" s="126" t="s">
        <v>10</v>
      </c>
      <c r="J2955" s="126" t="s">
        <v>12</v>
      </c>
    </row>
    <row r="2956" spans="1:10" ht="24" customHeight="1" x14ac:dyDescent="0.2">
      <c r="A2956" s="116" t="s">
        <v>1861</v>
      </c>
      <c r="B2956" s="1" t="s">
        <v>1608</v>
      </c>
      <c r="C2956" s="116" t="s">
        <v>20</v>
      </c>
      <c r="D2956" s="116" t="s">
        <v>1609</v>
      </c>
      <c r="E2956" s="137">
        <v>18</v>
      </c>
      <c r="F2956" s="137"/>
      <c r="G2956" s="2" t="s">
        <v>22</v>
      </c>
      <c r="H2956" s="115">
        <v>1</v>
      </c>
      <c r="I2956" s="61">
        <v>947.9</v>
      </c>
      <c r="J2956" s="61">
        <v>947.9</v>
      </c>
    </row>
    <row r="2957" spans="1:10" ht="24" customHeight="1" x14ac:dyDescent="0.2">
      <c r="A2957" s="113" t="s">
        <v>1859</v>
      </c>
      <c r="B2957" s="114" t="s">
        <v>1899</v>
      </c>
      <c r="C2957" s="113" t="s">
        <v>20</v>
      </c>
      <c r="D2957" s="113" t="s">
        <v>1898</v>
      </c>
      <c r="E2957" s="139" t="s">
        <v>1369</v>
      </c>
      <c r="F2957" s="139"/>
      <c r="G2957" s="112" t="s">
        <v>49</v>
      </c>
      <c r="H2957" s="111">
        <v>1.0800000000000001E-2</v>
      </c>
      <c r="I2957" s="110">
        <v>162.78</v>
      </c>
      <c r="J2957" s="110">
        <v>1.76</v>
      </c>
    </row>
    <row r="2958" spans="1:10" ht="24" customHeight="1" x14ac:dyDescent="0.2">
      <c r="A2958" s="113" t="s">
        <v>1859</v>
      </c>
      <c r="B2958" s="114" t="s">
        <v>1897</v>
      </c>
      <c r="C2958" s="113" t="s">
        <v>20</v>
      </c>
      <c r="D2958" s="113" t="s">
        <v>1896</v>
      </c>
      <c r="E2958" s="139" t="s">
        <v>1369</v>
      </c>
      <c r="F2958" s="139"/>
      <c r="G2958" s="112" t="s">
        <v>96</v>
      </c>
      <c r="H2958" s="111">
        <v>3.7955999999999999</v>
      </c>
      <c r="I2958" s="110">
        <v>0.6</v>
      </c>
      <c r="J2958" s="110">
        <v>2.2799999999999998</v>
      </c>
    </row>
    <row r="2959" spans="1:10" ht="24" customHeight="1" x14ac:dyDescent="0.2">
      <c r="A2959" s="113" t="s">
        <v>1859</v>
      </c>
      <c r="B2959" s="114" t="s">
        <v>2088</v>
      </c>
      <c r="C2959" s="113" t="s">
        <v>20</v>
      </c>
      <c r="D2959" s="113" t="s">
        <v>2087</v>
      </c>
      <c r="E2959" s="139" t="s">
        <v>1369</v>
      </c>
      <c r="F2959" s="139"/>
      <c r="G2959" s="112" t="s">
        <v>22</v>
      </c>
      <c r="H2959" s="111">
        <v>1</v>
      </c>
      <c r="I2959" s="110">
        <v>910.41</v>
      </c>
      <c r="J2959" s="110">
        <v>910.41</v>
      </c>
    </row>
    <row r="2960" spans="1:10" ht="24" customHeight="1" x14ac:dyDescent="0.2">
      <c r="A2960" s="113" t="s">
        <v>1859</v>
      </c>
      <c r="B2960" s="114" t="s">
        <v>1866</v>
      </c>
      <c r="C2960" s="113" t="s">
        <v>20</v>
      </c>
      <c r="D2960" s="113" t="s">
        <v>1865</v>
      </c>
      <c r="E2960" s="139" t="s">
        <v>1860</v>
      </c>
      <c r="F2960" s="139"/>
      <c r="G2960" s="112" t="s">
        <v>1864</v>
      </c>
      <c r="H2960" s="111">
        <v>1.3727</v>
      </c>
      <c r="I2960" s="110">
        <v>15.97</v>
      </c>
      <c r="J2960" s="110">
        <v>21.92</v>
      </c>
    </row>
    <row r="2961" spans="1:10" ht="24" customHeight="1" x14ac:dyDescent="0.2">
      <c r="A2961" s="113" t="s">
        <v>1859</v>
      </c>
      <c r="B2961" s="114" t="s">
        <v>1872</v>
      </c>
      <c r="C2961" s="113" t="s">
        <v>20</v>
      </c>
      <c r="D2961" s="113" t="s">
        <v>1871</v>
      </c>
      <c r="E2961" s="139" t="s">
        <v>1860</v>
      </c>
      <c r="F2961" s="139"/>
      <c r="G2961" s="112" t="s">
        <v>1864</v>
      </c>
      <c r="H2961" s="111">
        <v>1.0860000000000001</v>
      </c>
      <c r="I2961" s="110">
        <v>10.62</v>
      </c>
      <c r="J2961" s="110">
        <v>11.53</v>
      </c>
    </row>
    <row r="2962" spans="1:10" x14ac:dyDescent="0.2">
      <c r="A2962" s="109"/>
      <c r="B2962" s="109"/>
      <c r="C2962" s="109"/>
      <c r="D2962" s="109"/>
      <c r="E2962" s="109" t="s">
        <v>1858</v>
      </c>
      <c r="F2962" s="108">
        <v>33.450000000000003</v>
      </c>
      <c r="G2962" s="109" t="s">
        <v>1857</v>
      </c>
      <c r="H2962" s="108">
        <v>0</v>
      </c>
      <c r="I2962" s="109" t="s">
        <v>1856</v>
      </c>
      <c r="J2962" s="108">
        <v>33.450000000000003</v>
      </c>
    </row>
    <row r="2963" spans="1:10" ht="13.9" customHeight="1" x14ac:dyDescent="0.2">
      <c r="A2963" s="109"/>
      <c r="B2963" s="109"/>
      <c r="C2963" s="109"/>
      <c r="D2963" s="109"/>
      <c r="E2963" s="109" t="s">
        <v>1855</v>
      </c>
      <c r="F2963" s="108">
        <v>251.66745</v>
      </c>
      <c r="G2963" s="109"/>
      <c r="H2963" s="140" t="s">
        <v>1854</v>
      </c>
      <c r="I2963" s="140"/>
      <c r="J2963" s="108">
        <v>1199.57</v>
      </c>
    </row>
    <row r="2964" spans="1:10" ht="30" customHeight="1" thickBot="1" x14ac:dyDescent="0.25">
      <c r="A2964" s="100"/>
      <c r="B2964" s="100"/>
      <c r="C2964" s="100"/>
      <c r="D2964" s="100"/>
      <c r="E2964" s="100"/>
      <c r="F2964" s="100"/>
      <c r="G2964" s="100" t="s">
        <v>1853</v>
      </c>
      <c r="H2964" s="107">
        <v>5.39</v>
      </c>
      <c r="I2964" s="100" t="s">
        <v>1852</v>
      </c>
      <c r="J2964" s="102">
        <v>6465.68</v>
      </c>
    </row>
    <row r="2965" spans="1:10" ht="1.1499999999999999" customHeight="1" thickTop="1" x14ac:dyDescent="0.2">
      <c r="A2965" s="106"/>
      <c r="B2965" s="106"/>
      <c r="C2965" s="106"/>
      <c r="D2965" s="106"/>
      <c r="E2965" s="106"/>
      <c r="F2965" s="106"/>
      <c r="G2965" s="106"/>
      <c r="H2965" s="106"/>
      <c r="I2965" s="106"/>
      <c r="J2965" s="106"/>
    </row>
    <row r="2966" spans="1:10" ht="18" customHeight="1" x14ac:dyDescent="0.2">
      <c r="A2966" s="117" t="s">
        <v>702</v>
      </c>
      <c r="B2966" s="126" t="s">
        <v>5</v>
      </c>
      <c r="C2966" s="117" t="s">
        <v>6</v>
      </c>
      <c r="D2966" s="117" t="s">
        <v>7</v>
      </c>
      <c r="E2966" s="136" t="s">
        <v>1113</v>
      </c>
      <c r="F2966" s="136"/>
      <c r="G2966" s="7" t="s">
        <v>8</v>
      </c>
      <c r="H2966" s="126" t="s">
        <v>9</v>
      </c>
      <c r="I2966" s="126" t="s">
        <v>10</v>
      </c>
      <c r="J2966" s="126" t="s">
        <v>12</v>
      </c>
    </row>
    <row r="2967" spans="1:10" ht="24" customHeight="1" x14ac:dyDescent="0.2">
      <c r="A2967" s="116" t="s">
        <v>1861</v>
      </c>
      <c r="B2967" s="1" t="s">
        <v>1608</v>
      </c>
      <c r="C2967" s="116" t="s">
        <v>20</v>
      </c>
      <c r="D2967" s="116" t="s">
        <v>1607</v>
      </c>
      <c r="E2967" s="137">
        <v>18</v>
      </c>
      <c r="F2967" s="137"/>
      <c r="G2967" s="2" t="s">
        <v>22</v>
      </c>
      <c r="H2967" s="115">
        <v>1</v>
      </c>
      <c r="I2967" s="61">
        <v>947.9</v>
      </c>
      <c r="J2967" s="61">
        <v>947.9</v>
      </c>
    </row>
    <row r="2968" spans="1:10" ht="24" customHeight="1" x14ac:dyDescent="0.2">
      <c r="A2968" s="113" t="s">
        <v>1859</v>
      </c>
      <c r="B2968" s="114" t="s">
        <v>1899</v>
      </c>
      <c r="C2968" s="113" t="s">
        <v>20</v>
      </c>
      <c r="D2968" s="113" t="s">
        <v>1898</v>
      </c>
      <c r="E2968" s="139" t="s">
        <v>1369</v>
      </c>
      <c r="F2968" s="139"/>
      <c r="G2968" s="112" t="s">
        <v>49</v>
      </c>
      <c r="H2968" s="111">
        <v>1.0800000000000001E-2</v>
      </c>
      <c r="I2968" s="110">
        <v>162.78</v>
      </c>
      <c r="J2968" s="110">
        <v>1.76</v>
      </c>
    </row>
    <row r="2969" spans="1:10" ht="24" customHeight="1" x14ac:dyDescent="0.2">
      <c r="A2969" s="113" t="s">
        <v>1859</v>
      </c>
      <c r="B2969" s="114" t="s">
        <v>1897</v>
      </c>
      <c r="C2969" s="113" t="s">
        <v>20</v>
      </c>
      <c r="D2969" s="113" t="s">
        <v>1896</v>
      </c>
      <c r="E2969" s="139" t="s">
        <v>1369</v>
      </c>
      <c r="F2969" s="139"/>
      <c r="G2969" s="112" t="s">
        <v>96</v>
      </c>
      <c r="H2969" s="111">
        <v>3.7955999999999999</v>
      </c>
      <c r="I2969" s="110">
        <v>0.6</v>
      </c>
      <c r="J2969" s="110">
        <v>2.2799999999999998</v>
      </c>
    </row>
    <row r="2970" spans="1:10" ht="24" customHeight="1" x14ac:dyDescent="0.2">
      <c r="A2970" s="113" t="s">
        <v>1859</v>
      </c>
      <c r="B2970" s="114" t="s">
        <v>2088</v>
      </c>
      <c r="C2970" s="113" t="s">
        <v>20</v>
      </c>
      <c r="D2970" s="113" t="s">
        <v>2087</v>
      </c>
      <c r="E2970" s="139" t="s">
        <v>1369</v>
      </c>
      <c r="F2970" s="139"/>
      <c r="G2970" s="112" t="s">
        <v>22</v>
      </c>
      <c r="H2970" s="111">
        <v>1</v>
      </c>
      <c r="I2970" s="110">
        <v>910.41</v>
      </c>
      <c r="J2970" s="110">
        <v>910.41</v>
      </c>
    </row>
    <row r="2971" spans="1:10" ht="24" customHeight="1" x14ac:dyDescent="0.2">
      <c r="A2971" s="113" t="s">
        <v>1859</v>
      </c>
      <c r="B2971" s="114" t="s">
        <v>1866</v>
      </c>
      <c r="C2971" s="113" t="s">
        <v>20</v>
      </c>
      <c r="D2971" s="113" t="s">
        <v>1865</v>
      </c>
      <c r="E2971" s="139" t="s">
        <v>1860</v>
      </c>
      <c r="F2971" s="139"/>
      <c r="G2971" s="112" t="s">
        <v>1864</v>
      </c>
      <c r="H2971" s="111">
        <v>1.3727</v>
      </c>
      <c r="I2971" s="110">
        <v>15.97</v>
      </c>
      <c r="J2971" s="110">
        <v>21.92</v>
      </c>
    </row>
    <row r="2972" spans="1:10" ht="24" customHeight="1" x14ac:dyDescent="0.2">
      <c r="A2972" s="113" t="s">
        <v>1859</v>
      </c>
      <c r="B2972" s="114" t="s">
        <v>1872</v>
      </c>
      <c r="C2972" s="113" t="s">
        <v>20</v>
      </c>
      <c r="D2972" s="113" t="s">
        <v>1871</v>
      </c>
      <c r="E2972" s="139" t="s">
        <v>1860</v>
      </c>
      <c r="F2972" s="139"/>
      <c r="G2972" s="112" t="s">
        <v>1864</v>
      </c>
      <c r="H2972" s="111">
        <v>1.0860000000000001</v>
      </c>
      <c r="I2972" s="110">
        <v>10.62</v>
      </c>
      <c r="J2972" s="110">
        <v>11.53</v>
      </c>
    </row>
    <row r="2973" spans="1:10" x14ac:dyDescent="0.2">
      <c r="A2973" s="109"/>
      <c r="B2973" s="109"/>
      <c r="C2973" s="109"/>
      <c r="D2973" s="109"/>
      <c r="E2973" s="109" t="s">
        <v>1858</v>
      </c>
      <c r="F2973" s="108">
        <v>33.450000000000003</v>
      </c>
      <c r="G2973" s="109" t="s">
        <v>1857</v>
      </c>
      <c r="H2973" s="108">
        <v>0</v>
      </c>
      <c r="I2973" s="109" t="s">
        <v>1856</v>
      </c>
      <c r="J2973" s="108">
        <v>33.450000000000003</v>
      </c>
    </row>
    <row r="2974" spans="1:10" ht="13.9" customHeight="1" x14ac:dyDescent="0.2">
      <c r="A2974" s="109"/>
      <c r="B2974" s="109"/>
      <c r="C2974" s="109"/>
      <c r="D2974" s="109"/>
      <c r="E2974" s="109" t="s">
        <v>1855</v>
      </c>
      <c r="F2974" s="108">
        <v>251.66745</v>
      </c>
      <c r="G2974" s="109"/>
      <c r="H2974" s="140" t="s">
        <v>1854</v>
      </c>
      <c r="I2974" s="140"/>
      <c r="J2974" s="108">
        <v>1199.57</v>
      </c>
    </row>
    <row r="2975" spans="1:10" ht="30" customHeight="1" thickBot="1" x14ac:dyDescent="0.25">
      <c r="A2975" s="100"/>
      <c r="B2975" s="100"/>
      <c r="C2975" s="100"/>
      <c r="D2975" s="100"/>
      <c r="E2975" s="100"/>
      <c r="F2975" s="100"/>
      <c r="G2975" s="100" t="s">
        <v>1853</v>
      </c>
      <c r="H2975" s="107">
        <v>4.09</v>
      </c>
      <c r="I2975" s="100" t="s">
        <v>1852</v>
      </c>
      <c r="J2975" s="102">
        <v>4906.24</v>
      </c>
    </row>
    <row r="2976" spans="1:10" ht="1.1499999999999999" customHeight="1" thickTop="1" x14ac:dyDescent="0.2">
      <c r="A2976" s="106"/>
      <c r="B2976" s="106"/>
      <c r="C2976" s="106"/>
      <c r="D2976" s="106"/>
      <c r="E2976" s="106"/>
      <c r="F2976" s="106"/>
      <c r="G2976" s="106"/>
      <c r="H2976" s="106"/>
      <c r="I2976" s="106"/>
      <c r="J2976" s="106"/>
    </row>
    <row r="2977" spans="1:10" ht="18" customHeight="1" x14ac:dyDescent="0.2">
      <c r="A2977" s="117" t="s">
        <v>703</v>
      </c>
      <c r="B2977" s="126" t="s">
        <v>5</v>
      </c>
      <c r="C2977" s="117" t="s">
        <v>6</v>
      </c>
      <c r="D2977" s="117" t="s">
        <v>7</v>
      </c>
      <c r="E2977" s="136" t="s">
        <v>1113</v>
      </c>
      <c r="F2977" s="136"/>
      <c r="G2977" s="7" t="s">
        <v>8</v>
      </c>
      <c r="H2977" s="126" t="s">
        <v>9</v>
      </c>
      <c r="I2977" s="126" t="s">
        <v>10</v>
      </c>
      <c r="J2977" s="126" t="s">
        <v>12</v>
      </c>
    </row>
    <row r="2978" spans="1:10" ht="24" customHeight="1" x14ac:dyDescent="0.2">
      <c r="A2978" s="116" t="s">
        <v>1861</v>
      </c>
      <c r="B2978" s="1" t="s">
        <v>704</v>
      </c>
      <c r="C2978" s="116" t="s">
        <v>25</v>
      </c>
      <c r="D2978" s="116" t="s">
        <v>705</v>
      </c>
      <c r="E2978" s="137" t="s">
        <v>1398</v>
      </c>
      <c r="F2978" s="137"/>
      <c r="G2978" s="2" t="s">
        <v>22</v>
      </c>
      <c r="H2978" s="115">
        <v>1</v>
      </c>
      <c r="I2978" s="61">
        <v>650.78</v>
      </c>
      <c r="J2978" s="61">
        <v>650.78</v>
      </c>
    </row>
    <row r="2979" spans="1:10" ht="36" customHeight="1" x14ac:dyDescent="0.2">
      <c r="A2979" s="121" t="s">
        <v>1888</v>
      </c>
      <c r="B2979" s="122" t="s">
        <v>2048</v>
      </c>
      <c r="C2979" s="121" t="s">
        <v>25</v>
      </c>
      <c r="D2979" s="121" t="s">
        <v>2047</v>
      </c>
      <c r="E2979" s="138" t="s">
        <v>1902</v>
      </c>
      <c r="F2979" s="138"/>
      <c r="G2979" s="120" t="s">
        <v>49</v>
      </c>
      <c r="H2979" s="119">
        <v>6.0000000000000001E-3</v>
      </c>
      <c r="I2979" s="118">
        <v>577.89</v>
      </c>
      <c r="J2979" s="118">
        <v>3.47</v>
      </c>
    </row>
    <row r="2980" spans="1:10" ht="24" customHeight="1" x14ac:dyDescent="0.2">
      <c r="A2980" s="121" t="s">
        <v>1888</v>
      </c>
      <c r="B2980" s="122" t="s">
        <v>2046</v>
      </c>
      <c r="C2980" s="121" t="s">
        <v>25</v>
      </c>
      <c r="D2980" s="121" t="s">
        <v>2045</v>
      </c>
      <c r="E2980" s="138" t="s">
        <v>1902</v>
      </c>
      <c r="F2980" s="138"/>
      <c r="G2980" s="120" t="s">
        <v>61</v>
      </c>
      <c r="H2980" s="119">
        <v>0.3</v>
      </c>
      <c r="I2980" s="118">
        <v>21.54</v>
      </c>
      <c r="J2980" s="118">
        <v>6.46</v>
      </c>
    </row>
    <row r="2981" spans="1:10" ht="24" customHeight="1" x14ac:dyDescent="0.2">
      <c r="A2981" s="121" t="s">
        <v>1888</v>
      </c>
      <c r="B2981" s="122" t="s">
        <v>1935</v>
      </c>
      <c r="C2981" s="121" t="s">
        <v>25</v>
      </c>
      <c r="D2981" s="121" t="s">
        <v>1934</v>
      </c>
      <c r="E2981" s="138" t="s">
        <v>1902</v>
      </c>
      <c r="F2981" s="138"/>
      <c r="G2981" s="120" t="s">
        <v>61</v>
      </c>
      <c r="H2981" s="119">
        <v>0.8</v>
      </c>
      <c r="I2981" s="118">
        <v>21.42</v>
      </c>
      <c r="J2981" s="118">
        <v>17.14</v>
      </c>
    </row>
    <row r="2982" spans="1:10" ht="24" customHeight="1" x14ac:dyDescent="0.2">
      <c r="A2982" s="121" t="s">
        <v>1888</v>
      </c>
      <c r="B2982" s="122" t="s">
        <v>1906</v>
      </c>
      <c r="C2982" s="121" t="s">
        <v>25</v>
      </c>
      <c r="D2982" s="121" t="s">
        <v>1905</v>
      </c>
      <c r="E2982" s="138" t="s">
        <v>1902</v>
      </c>
      <c r="F2982" s="138"/>
      <c r="G2982" s="120" t="s">
        <v>61</v>
      </c>
      <c r="H2982" s="119">
        <v>1.2</v>
      </c>
      <c r="I2982" s="118">
        <v>16.059999999999999</v>
      </c>
      <c r="J2982" s="118">
        <v>19.27</v>
      </c>
    </row>
    <row r="2983" spans="1:10" ht="48" customHeight="1" x14ac:dyDescent="0.2">
      <c r="A2983" s="113" t="s">
        <v>1859</v>
      </c>
      <c r="B2983" s="114" t="s">
        <v>2044</v>
      </c>
      <c r="C2983" s="113" t="s">
        <v>25</v>
      </c>
      <c r="D2983" s="113" t="s">
        <v>2043</v>
      </c>
      <c r="E2983" s="139" t="s">
        <v>1369</v>
      </c>
      <c r="F2983" s="139"/>
      <c r="G2983" s="112" t="s">
        <v>22</v>
      </c>
      <c r="H2983" s="111">
        <v>1</v>
      </c>
      <c r="I2983" s="110">
        <v>604.44000000000005</v>
      </c>
      <c r="J2983" s="110">
        <v>604.44000000000005</v>
      </c>
    </row>
    <row r="2984" spans="1:10" x14ac:dyDescent="0.2">
      <c r="A2984" s="109"/>
      <c r="B2984" s="109"/>
      <c r="C2984" s="109"/>
      <c r="D2984" s="109"/>
      <c r="E2984" s="109" t="s">
        <v>1858</v>
      </c>
      <c r="F2984" s="108">
        <v>30.78</v>
      </c>
      <c r="G2984" s="109" t="s">
        <v>1857</v>
      </c>
      <c r="H2984" s="108">
        <v>0</v>
      </c>
      <c r="I2984" s="109" t="s">
        <v>1856</v>
      </c>
      <c r="J2984" s="108">
        <v>30.78</v>
      </c>
    </row>
    <row r="2985" spans="1:10" ht="13.9" customHeight="1" x14ac:dyDescent="0.2">
      <c r="A2985" s="109"/>
      <c r="B2985" s="109"/>
      <c r="C2985" s="109"/>
      <c r="D2985" s="109"/>
      <c r="E2985" s="109" t="s">
        <v>1855</v>
      </c>
      <c r="F2985" s="108">
        <v>172.78209000000001</v>
      </c>
      <c r="G2985" s="109"/>
      <c r="H2985" s="140" t="s">
        <v>1854</v>
      </c>
      <c r="I2985" s="140"/>
      <c r="J2985" s="108">
        <v>823.56</v>
      </c>
    </row>
    <row r="2986" spans="1:10" ht="30" customHeight="1" thickBot="1" x14ac:dyDescent="0.25">
      <c r="A2986" s="100"/>
      <c r="B2986" s="100"/>
      <c r="C2986" s="100"/>
      <c r="D2986" s="100"/>
      <c r="E2986" s="100"/>
      <c r="F2986" s="100"/>
      <c r="G2986" s="100" t="s">
        <v>1853</v>
      </c>
      <c r="H2986" s="107">
        <v>4.96</v>
      </c>
      <c r="I2986" s="100" t="s">
        <v>1852</v>
      </c>
      <c r="J2986" s="102">
        <v>4084.86</v>
      </c>
    </row>
    <row r="2987" spans="1:10" ht="1.1499999999999999" customHeight="1" thickTop="1" x14ac:dyDescent="0.2">
      <c r="A2987" s="106"/>
      <c r="B2987" s="106"/>
      <c r="C2987" s="106"/>
      <c r="D2987" s="106"/>
      <c r="E2987" s="106"/>
      <c r="F2987" s="106"/>
      <c r="G2987" s="106"/>
      <c r="H2987" s="106"/>
      <c r="I2987" s="106"/>
      <c r="J2987" s="106"/>
    </row>
    <row r="2988" spans="1:10" ht="18" customHeight="1" x14ac:dyDescent="0.2">
      <c r="A2988" s="117" t="s">
        <v>706</v>
      </c>
      <c r="B2988" s="126" t="s">
        <v>5</v>
      </c>
      <c r="C2988" s="117" t="s">
        <v>6</v>
      </c>
      <c r="D2988" s="117" t="s">
        <v>7</v>
      </c>
      <c r="E2988" s="136" t="s">
        <v>1113</v>
      </c>
      <c r="F2988" s="136"/>
      <c r="G2988" s="7" t="s">
        <v>8</v>
      </c>
      <c r="H2988" s="126" t="s">
        <v>9</v>
      </c>
      <c r="I2988" s="126" t="s">
        <v>10</v>
      </c>
      <c r="J2988" s="126" t="s">
        <v>12</v>
      </c>
    </row>
    <row r="2989" spans="1:10" ht="24" customHeight="1" x14ac:dyDescent="0.2">
      <c r="A2989" s="116" t="s">
        <v>1861</v>
      </c>
      <c r="B2989" s="1" t="s">
        <v>704</v>
      </c>
      <c r="C2989" s="116" t="s">
        <v>25</v>
      </c>
      <c r="D2989" s="116" t="s">
        <v>707</v>
      </c>
      <c r="E2989" s="137" t="s">
        <v>1398</v>
      </c>
      <c r="F2989" s="137"/>
      <c r="G2989" s="2" t="s">
        <v>22</v>
      </c>
      <c r="H2989" s="115">
        <v>1</v>
      </c>
      <c r="I2989" s="61">
        <v>650.78</v>
      </c>
      <c r="J2989" s="61">
        <v>650.78</v>
      </c>
    </row>
    <row r="2990" spans="1:10" ht="36" customHeight="1" x14ac:dyDescent="0.2">
      <c r="A2990" s="121" t="s">
        <v>1888</v>
      </c>
      <c r="B2990" s="122" t="s">
        <v>2048</v>
      </c>
      <c r="C2990" s="121" t="s">
        <v>25</v>
      </c>
      <c r="D2990" s="121" t="s">
        <v>2047</v>
      </c>
      <c r="E2990" s="138" t="s">
        <v>1902</v>
      </c>
      <c r="F2990" s="138"/>
      <c r="G2990" s="120" t="s">
        <v>49</v>
      </c>
      <c r="H2990" s="119">
        <v>6.0000000000000001E-3</v>
      </c>
      <c r="I2990" s="118">
        <v>577.89</v>
      </c>
      <c r="J2990" s="118">
        <v>3.47</v>
      </c>
    </row>
    <row r="2991" spans="1:10" ht="24" customHeight="1" x14ac:dyDescent="0.2">
      <c r="A2991" s="121" t="s">
        <v>1888</v>
      </c>
      <c r="B2991" s="122" t="s">
        <v>2046</v>
      </c>
      <c r="C2991" s="121" t="s">
        <v>25</v>
      </c>
      <c r="D2991" s="121" t="s">
        <v>2045</v>
      </c>
      <c r="E2991" s="138" t="s">
        <v>1902</v>
      </c>
      <c r="F2991" s="138"/>
      <c r="G2991" s="120" t="s">
        <v>61</v>
      </c>
      <c r="H2991" s="119">
        <v>0.3</v>
      </c>
      <c r="I2991" s="118">
        <v>21.54</v>
      </c>
      <c r="J2991" s="118">
        <v>6.46</v>
      </c>
    </row>
    <row r="2992" spans="1:10" ht="24" customHeight="1" x14ac:dyDescent="0.2">
      <c r="A2992" s="121" t="s">
        <v>1888</v>
      </c>
      <c r="B2992" s="122" t="s">
        <v>1935</v>
      </c>
      <c r="C2992" s="121" t="s">
        <v>25</v>
      </c>
      <c r="D2992" s="121" t="s">
        <v>1934</v>
      </c>
      <c r="E2992" s="138" t="s">
        <v>1902</v>
      </c>
      <c r="F2992" s="138"/>
      <c r="G2992" s="120" t="s">
        <v>61</v>
      </c>
      <c r="H2992" s="119">
        <v>0.8</v>
      </c>
      <c r="I2992" s="118">
        <v>21.42</v>
      </c>
      <c r="J2992" s="118">
        <v>17.14</v>
      </c>
    </row>
    <row r="2993" spans="1:10" ht="24" customHeight="1" x14ac:dyDescent="0.2">
      <c r="A2993" s="121" t="s">
        <v>1888</v>
      </c>
      <c r="B2993" s="122" t="s">
        <v>1906</v>
      </c>
      <c r="C2993" s="121" t="s">
        <v>25</v>
      </c>
      <c r="D2993" s="121" t="s">
        <v>1905</v>
      </c>
      <c r="E2993" s="138" t="s">
        <v>1902</v>
      </c>
      <c r="F2993" s="138"/>
      <c r="G2993" s="120" t="s">
        <v>61</v>
      </c>
      <c r="H2993" s="119">
        <v>1.2</v>
      </c>
      <c r="I2993" s="118">
        <v>16.059999999999999</v>
      </c>
      <c r="J2993" s="118">
        <v>19.27</v>
      </c>
    </row>
    <row r="2994" spans="1:10" ht="48" customHeight="1" x14ac:dyDescent="0.2">
      <c r="A2994" s="113" t="s">
        <v>1859</v>
      </c>
      <c r="B2994" s="114" t="s">
        <v>2044</v>
      </c>
      <c r="C2994" s="113" t="s">
        <v>25</v>
      </c>
      <c r="D2994" s="113" t="s">
        <v>2043</v>
      </c>
      <c r="E2994" s="139" t="s">
        <v>1369</v>
      </c>
      <c r="F2994" s="139"/>
      <c r="G2994" s="112" t="s">
        <v>22</v>
      </c>
      <c r="H2994" s="111">
        <v>1</v>
      </c>
      <c r="I2994" s="110">
        <v>604.44000000000005</v>
      </c>
      <c r="J2994" s="110">
        <v>604.44000000000005</v>
      </c>
    </row>
    <row r="2995" spans="1:10" x14ac:dyDescent="0.2">
      <c r="A2995" s="109"/>
      <c r="B2995" s="109"/>
      <c r="C2995" s="109"/>
      <c r="D2995" s="109"/>
      <c r="E2995" s="109" t="s">
        <v>1858</v>
      </c>
      <c r="F2995" s="108">
        <v>30.78</v>
      </c>
      <c r="G2995" s="109" t="s">
        <v>1857</v>
      </c>
      <c r="H2995" s="108">
        <v>0</v>
      </c>
      <c r="I2995" s="109" t="s">
        <v>1856</v>
      </c>
      <c r="J2995" s="108">
        <v>30.78</v>
      </c>
    </row>
    <row r="2996" spans="1:10" ht="13.9" customHeight="1" x14ac:dyDescent="0.2">
      <c r="A2996" s="109"/>
      <c r="B2996" s="109"/>
      <c r="C2996" s="109"/>
      <c r="D2996" s="109"/>
      <c r="E2996" s="109" t="s">
        <v>1855</v>
      </c>
      <c r="F2996" s="108">
        <v>172.78209000000001</v>
      </c>
      <c r="G2996" s="109"/>
      <c r="H2996" s="140" t="s">
        <v>1854</v>
      </c>
      <c r="I2996" s="140"/>
      <c r="J2996" s="108">
        <v>823.56</v>
      </c>
    </row>
    <row r="2997" spans="1:10" ht="30" customHeight="1" thickBot="1" x14ac:dyDescent="0.25">
      <c r="A2997" s="100"/>
      <c r="B2997" s="100"/>
      <c r="C2997" s="100"/>
      <c r="D2997" s="100"/>
      <c r="E2997" s="100"/>
      <c r="F2997" s="100"/>
      <c r="G2997" s="100" t="s">
        <v>1853</v>
      </c>
      <c r="H2997" s="107">
        <v>6.24</v>
      </c>
      <c r="I2997" s="100" t="s">
        <v>1852</v>
      </c>
      <c r="J2997" s="102">
        <v>5139.01</v>
      </c>
    </row>
    <row r="2998" spans="1:10" ht="1.1499999999999999" customHeight="1" thickTop="1" x14ac:dyDescent="0.2">
      <c r="A2998" s="106"/>
      <c r="B2998" s="106"/>
      <c r="C2998" s="106"/>
      <c r="D2998" s="106"/>
      <c r="E2998" s="106"/>
      <c r="F2998" s="106"/>
      <c r="G2998" s="106"/>
      <c r="H2998" s="106"/>
      <c r="I2998" s="106"/>
      <c r="J2998" s="106"/>
    </row>
    <row r="2999" spans="1:10" ht="18" customHeight="1" x14ac:dyDescent="0.2">
      <c r="A2999" s="117" t="s">
        <v>708</v>
      </c>
      <c r="B2999" s="126" t="s">
        <v>5</v>
      </c>
      <c r="C2999" s="117" t="s">
        <v>6</v>
      </c>
      <c r="D2999" s="117" t="s">
        <v>7</v>
      </c>
      <c r="E2999" s="136" t="s">
        <v>1113</v>
      </c>
      <c r="F2999" s="136"/>
      <c r="G2999" s="7" t="s">
        <v>8</v>
      </c>
      <c r="H2999" s="126" t="s">
        <v>9</v>
      </c>
      <c r="I2999" s="126" t="s">
        <v>10</v>
      </c>
      <c r="J2999" s="126" t="s">
        <v>12</v>
      </c>
    </row>
    <row r="3000" spans="1:10" ht="24" customHeight="1" x14ac:dyDescent="0.2">
      <c r="A3000" s="116" t="s">
        <v>1861</v>
      </c>
      <c r="B3000" s="1" t="s">
        <v>704</v>
      </c>
      <c r="C3000" s="116" t="s">
        <v>25</v>
      </c>
      <c r="D3000" s="116" t="s">
        <v>709</v>
      </c>
      <c r="E3000" s="137" t="s">
        <v>1398</v>
      </c>
      <c r="F3000" s="137"/>
      <c r="G3000" s="2" t="s">
        <v>22</v>
      </c>
      <c r="H3000" s="115">
        <v>1</v>
      </c>
      <c r="I3000" s="61">
        <v>650.78</v>
      </c>
      <c r="J3000" s="61">
        <v>650.78</v>
      </c>
    </row>
    <row r="3001" spans="1:10" ht="36" customHeight="1" x14ac:dyDescent="0.2">
      <c r="A3001" s="121" t="s">
        <v>1888</v>
      </c>
      <c r="B3001" s="122" t="s">
        <v>2048</v>
      </c>
      <c r="C3001" s="121" t="s">
        <v>25</v>
      </c>
      <c r="D3001" s="121" t="s">
        <v>2047</v>
      </c>
      <c r="E3001" s="138" t="s">
        <v>1902</v>
      </c>
      <c r="F3001" s="138"/>
      <c r="G3001" s="120" t="s">
        <v>49</v>
      </c>
      <c r="H3001" s="119">
        <v>6.0000000000000001E-3</v>
      </c>
      <c r="I3001" s="118">
        <v>577.89</v>
      </c>
      <c r="J3001" s="118">
        <v>3.47</v>
      </c>
    </row>
    <row r="3002" spans="1:10" ht="24" customHeight="1" x14ac:dyDescent="0.2">
      <c r="A3002" s="121" t="s">
        <v>1888</v>
      </c>
      <c r="B3002" s="122" t="s">
        <v>2046</v>
      </c>
      <c r="C3002" s="121" t="s">
        <v>25</v>
      </c>
      <c r="D3002" s="121" t="s">
        <v>2045</v>
      </c>
      <c r="E3002" s="138" t="s">
        <v>1902</v>
      </c>
      <c r="F3002" s="138"/>
      <c r="G3002" s="120" t="s">
        <v>61</v>
      </c>
      <c r="H3002" s="119">
        <v>0.3</v>
      </c>
      <c r="I3002" s="118">
        <v>21.54</v>
      </c>
      <c r="J3002" s="118">
        <v>6.46</v>
      </c>
    </row>
    <row r="3003" spans="1:10" ht="24" customHeight="1" x14ac:dyDescent="0.2">
      <c r="A3003" s="121" t="s">
        <v>1888</v>
      </c>
      <c r="B3003" s="122" t="s">
        <v>1935</v>
      </c>
      <c r="C3003" s="121" t="s">
        <v>25</v>
      </c>
      <c r="D3003" s="121" t="s">
        <v>1934</v>
      </c>
      <c r="E3003" s="138" t="s">
        <v>1902</v>
      </c>
      <c r="F3003" s="138"/>
      <c r="G3003" s="120" t="s">
        <v>61</v>
      </c>
      <c r="H3003" s="119">
        <v>0.8</v>
      </c>
      <c r="I3003" s="118">
        <v>21.42</v>
      </c>
      <c r="J3003" s="118">
        <v>17.14</v>
      </c>
    </row>
    <row r="3004" spans="1:10" ht="24" customHeight="1" x14ac:dyDescent="0.2">
      <c r="A3004" s="121" t="s">
        <v>1888</v>
      </c>
      <c r="B3004" s="122" t="s">
        <v>1906</v>
      </c>
      <c r="C3004" s="121" t="s">
        <v>25</v>
      </c>
      <c r="D3004" s="121" t="s">
        <v>1905</v>
      </c>
      <c r="E3004" s="138" t="s">
        <v>1902</v>
      </c>
      <c r="F3004" s="138"/>
      <c r="G3004" s="120" t="s">
        <v>61</v>
      </c>
      <c r="H3004" s="119">
        <v>1.2</v>
      </c>
      <c r="I3004" s="118">
        <v>16.059999999999999</v>
      </c>
      <c r="J3004" s="118">
        <v>19.27</v>
      </c>
    </row>
    <row r="3005" spans="1:10" ht="48" customHeight="1" x14ac:dyDescent="0.2">
      <c r="A3005" s="113" t="s">
        <v>1859</v>
      </c>
      <c r="B3005" s="114" t="s">
        <v>2044</v>
      </c>
      <c r="C3005" s="113" t="s">
        <v>25</v>
      </c>
      <c r="D3005" s="113" t="s">
        <v>2043</v>
      </c>
      <c r="E3005" s="139" t="s">
        <v>1369</v>
      </c>
      <c r="F3005" s="139"/>
      <c r="G3005" s="112" t="s">
        <v>22</v>
      </c>
      <c r="H3005" s="111">
        <v>1</v>
      </c>
      <c r="I3005" s="110">
        <v>604.44000000000005</v>
      </c>
      <c r="J3005" s="110">
        <v>604.44000000000005</v>
      </c>
    </row>
    <row r="3006" spans="1:10" x14ac:dyDescent="0.2">
      <c r="A3006" s="109"/>
      <c r="B3006" s="109"/>
      <c r="C3006" s="109"/>
      <c r="D3006" s="109"/>
      <c r="E3006" s="109" t="s">
        <v>1858</v>
      </c>
      <c r="F3006" s="108">
        <v>30.78</v>
      </c>
      <c r="G3006" s="109" t="s">
        <v>1857</v>
      </c>
      <c r="H3006" s="108">
        <v>0</v>
      </c>
      <c r="I3006" s="109" t="s">
        <v>1856</v>
      </c>
      <c r="J3006" s="108">
        <v>30.78</v>
      </c>
    </row>
    <row r="3007" spans="1:10" ht="13.9" customHeight="1" x14ac:dyDescent="0.2">
      <c r="A3007" s="109"/>
      <c r="B3007" s="109"/>
      <c r="C3007" s="109"/>
      <c r="D3007" s="109"/>
      <c r="E3007" s="109" t="s">
        <v>1855</v>
      </c>
      <c r="F3007" s="108">
        <v>172.78209000000001</v>
      </c>
      <c r="G3007" s="109"/>
      <c r="H3007" s="140" t="s">
        <v>1854</v>
      </c>
      <c r="I3007" s="140"/>
      <c r="J3007" s="108">
        <v>823.56</v>
      </c>
    </row>
    <row r="3008" spans="1:10" ht="30" customHeight="1" thickBot="1" x14ac:dyDescent="0.25">
      <c r="A3008" s="100"/>
      <c r="B3008" s="100"/>
      <c r="C3008" s="100"/>
      <c r="D3008" s="100"/>
      <c r="E3008" s="100"/>
      <c r="F3008" s="100"/>
      <c r="G3008" s="100" t="s">
        <v>1853</v>
      </c>
      <c r="H3008" s="107">
        <v>7.98</v>
      </c>
      <c r="I3008" s="100" t="s">
        <v>1852</v>
      </c>
      <c r="J3008" s="102">
        <v>6572.01</v>
      </c>
    </row>
    <row r="3009" spans="1:10" ht="1.1499999999999999" customHeight="1" thickTop="1" x14ac:dyDescent="0.2">
      <c r="A3009" s="106"/>
      <c r="B3009" s="106"/>
      <c r="C3009" s="106"/>
      <c r="D3009" s="106"/>
      <c r="E3009" s="106"/>
      <c r="F3009" s="106"/>
      <c r="G3009" s="106"/>
      <c r="H3009" s="106"/>
      <c r="I3009" s="106"/>
      <c r="J3009" s="106"/>
    </row>
    <row r="3010" spans="1:10" ht="18" customHeight="1" x14ac:dyDescent="0.2">
      <c r="A3010" s="117" t="s">
        <v>710</v>
      </c>
      <c r="B3010" s="126" t="s">
        <v>5</v>
      </c>
      <c r="C3010" s="117" t="s">
        <v>6</v>
      </c>
      <c r="D3010" s="117" t="s">
        <v>7</v>
      </c>
      <c r="E3010" s="136" t="s">
        <v>1113</v>
      </c>
      <c r="F3010" s="136"/>
      <c r="G3010" s="7" t="s">
        <v>8</v>
      </c>
      <c r="H3010" s="126" t="s">
        <v>9</v>
      </c>
      <c r="I3010" s="126" t="s">
        <v>10</v>
      </c>
      <c r="J3010" s="126" t="s">
        <v>12</v>
      </c>
    </row>
    <row r="3011" spans="1:10" ht="24" customHeight="1" x14ac:dyDescent="0.2">
      <c r="A3011" s="116" t="s">
        <v>1861</v>
      </c>
      <c r="B3011" s="1" t="s">
        <v>1243</v>
      </c>
      <c r="C3011" s="116" t="s">
        <v>25</v>
      </c>
      <c r="D3011" s="116" t="s">
        <v>1242</v>
      </c>
      <c r="E3011" s="137" t="s">
        <v>1398</v>
      </c>
      <c r="F3011" s="137"/>
      <c r="G3011" s="2" t="s">
        <v>22</v>
      </c>
      <c r="H3011" s="115">
        <v>1</v>
      </c>
      <c r="I3011" s="61">
        <v>196.58</v>
      </c>
      <c r="J3011" s="61">
        <v>196.58</v>
      </c>
    </row>
    <row r="3012" spans="1:10" ht="24" customHeight="1" x14ac:dyDescent="0.2">
      <c r="A3012" s="121" t="s">
        <v>1888</v>
      </c>
      <c r="B3012" s="122" t="s">
        <v>1906</v>
      </c>
      <c r="C3012" s="121" t="s">
        <v>25</v>
      </c>
      <c r="D3012" s="121" t="s">
        <v>1905</v>
      </c>
      <c r="E3012" s="138" t="s">
        <v>1902</v>
      </c>
      <c r="F3012" s="138"/>
      <c r="G3012" s="120" t="s">
        <v>61</v>
      </c>
      <c r="H3012" s="119">
        <v>0.5</v>
      </c>
      <c r="I3012" s="118">
        <v>16.059999999999999</v>
      </c>
      <c r="J3012" s="118">
        <v>8.0299999999999994</v>
      </c>
    </row>
    <row r="3013" spans="1:10" ht="24" customHeight="1" x14ac:dyDescent="0.2">
      <c r="A3013" s="121" t="s">
        <v>1888</v>
      </c>
      <c r="B3013" s="122" t="s">
        <v>1993</v>
      </c>
      <c r="C3013" s="121" t="s">
        <v>25</v>
      </c>
      <c r="D3013" s="121" t="s">
        <v>1992</v>
      </c>
      <c r="E3013" s="138" t="s">
        <v>1902</v>
      </c>
      <c r="F3013" s="138"/>
      <c r="G3013" s="120" t="s">
        <v>61</v>
      </c>
      <c r="H3013" s="119">
        <v>0.5</v>
      </c>
      <c r="I3013" s="118">
        <v>19.25</v>
      </c>
      <c r="J3013" s="118">
        <v>9.6300000000000008</v>
      </c>
    </row>
    <row r="3014" spans="1:10" ht="24" customHeight="1" x14ac:dyDescent="0.2">
      <c r="A3014" s="113" t="s">
        <v>1859</v>
      </c>
      <c r="B3014" s="114" t="s">
        <v>2086</v>
      </c>
      <c r="C3014" s="113" t="s">
        <v>25</v>
      </c>
      <c r="D3014" s="113" t="s">
        <v>2085</v>
      </c>
      <c r="E3014" s="139" t="s">
        <v>1369</v>
      </c>
      <c r="F3014" s="139"/>
      <c r="G3014" s="112" t="s">
        <v>1303</v>
      </c>
      <c r="H3014" s="111">
        <v>1.5</v>
      </c>
      <c r="I3014" s="110">
        <v>10.17</v>
      </c>
      <c r="J3014" s="110">
        <v>15.26</v>
      </c>
    </row>
    <row r="3015" spans="1:10" ht="24" customHeight="1" x14ac:dyDescent="0.2">
      <c r="A3015" s="113" t="s">
        <v>1859</v>
      </c>
      <c r="B3015" s="114" t="s">
        <v>2084</v>
      </c>
      <c r="C3015" s="113" t="s">
        <v>25</v>
      </c>
      <c r="D3015" s="113" t="s">
        <v>2083</v>
      </c>
      <c r="E3015" s="139" t="s">
        <v>1369</v>
      </c>
      <c r="F3015" s="139"/>
      <c r="G3015" s="112" t="s">
        <v>22</v>
      </c>
      <c r="H3015" s="111">
        <v>1</v>
      </c>
      <c r="I3015" s="110">
        <v>163.66</v>
      </c>
      <c r="J3015" s="110">
        <v>163.66</v>
      </c>
    </row>
    <row r="3016" spans="1:10" x14ac:dyDescent="0.2">
      <c r="A3016" s="109"/>
      <c r="B3016" s="109"/>
      <c r="C3016" s="109"/>
      <c r="D3016" s="109"/>
      <c r="E3016" s="109" t="s">
        <v>1858</v>
      </c>
      <c r="F3016" s="108">
        <v>12.16</v>
      </c>
      <c r="G3016" s="109" t="s">
        <v>1857</v>
      </c>
      <c r="H3016" s="108">
        <v>0</v>
      </c>
      <c r="I3016" s="109" t="s">
        <v>1856</v>
      </c>
      <c r="J3016" s="108">
        <v>12.16</v>
      </c>
    </row>
    <row r="3017" spans="1:10" ht="13.9" customHeight="1" x14ac:dyDescent="0.2">
      <c r="A3017" s="109"/>
      <c r="B3017" s="109"/>
      <c r="C3017" s="109"/>
      <c r="D3017" s="109"/>
      <c r="E3017" s="109" t="s">
        <v>1855</v>
      </c>
      <c r="F3017" s="108">
        <v>52.191989999999997</v>
      </c>
      <c r="G3017" s="109"/>
      <c r="H3017" s="140" t="s">
        <v>1854</v>
      </c>
      <c r="I3017" s="140"/>
      <c r="J3017" s="108">
        <v>248.77</v>
      </c>
    </row>
    <row r="3018" spans="1:10" ht="30" customHeight="1" thickBot="1" x14ac:dyDescent="0.25">
      <c r="A3018" s="100"/>
      <c r="B3018" s="100"/>
      <c r="C3018" s="100"/>
      <c r="D3018" s="100"/>
      <c r="E3018" s="100"/>
      <c r="F3018" s="100"/>
      <c r="G3018" s="100" t="s">
        <v>1853</v>
      </c>
      <c r="H3018" s="107">
        <v>95.16</v>
      </c>
      <c r="I3018" s="100" t="s">
        <v>1852</v>
      </c>
      <c r="J3018" s="102">
        <v>23672.95</v>
      </c>
    </row>
    <row r="3019" spans="1:10" ht="1.1499999999999999" customHeight="1" thickTop="1" x14ac:dyDescent="0.2">
      <c r="A3019" s="106"/>
      <c r="B3019" s="106"/>
      <c r="C3019" s="106"/>
      <c r="D3019" s="106"/>
      <c r="E3019" s="106"/>
      <c r="F3019" s="106"/>
      <c r="G3019" s="106"/>
      <c r="H3019" s="106"/>
      <c r="I3019" s="106"/>
      <c r="J3019" s="106"/>
    </row>
    <row r="3020" spans="1:10" ht="18" customHeight="1" x14ac:dyDescent="0.2">
      <c r="A3020" s="117" t="s">
        <v>711</v>
      </c>
      <c r="B3020" s="126" t="s">
        <v>5</v>
      </c>
      <c r="C3020" s="117" t="s">
        <v>6</v>
      </c>
      <c r="D3020" s="117" t="s">
        <v>7</v>
      </c>
      <c r="E3020" s="136" t="s">
        <v>1113</v>
      </c>
      <c r="F3020" s="136"/>
      <c r="G3020" s="7" t="s">
        <v>8</v>
      </c>
      <c r="H3020" s="126" t="s">
        <v>9</v>
      </c>
      <c r="I3020" s="126" t="s">
        <v>10</v>
      </c>
      <c r="J3020" s="126" t="s">
        <v>12</v>
      </c>
    </row>
    <row r="3021" spans="1:10" ht="24" customHeight="1" x14ac:dyDescent="0.2">
      <c r="A3021" s="116" t="s">
        <v>1861</v>
      </c>
      <c r="B3021" s="1" t="s">
        <v>684</v>
      </c>
      <c r="C3021" s="116" t="s">
        <v>20</v>
      </c>
      <c r="D3021" s="116" t="s">
        <v>685</v>
      </c>
      <c r="E3021" s="137">
        <v>6</v>
      </c>
      <c r="F3021" s="137"/>
      <c r="G3021" s="2" t="s">
        <v>49</v>
      </c>
      <c r="H3021" s="115">
        <v>1</v>
      </c>
      <c r="I3021" s="61">
        <v>2652.27</v>
      </c>
      <c r="J3021" s="61">
        <v>2652.27</v>
      </c>
    </row>
    <row r="3022" spans="1:10" ht="24" customHeight="1" x14ac:dyDescent="0.2">
      <c r="A3022" s="113" t="s">
        <v>1859</v>
      </c>
      <c r="B3022" s="114" t="s">
        <v>2082</v>
      </c>
      <c r="C3022" s="113" t="s">
        <v>20</v>
      </c>
      <c r="D3022" s="113" t="s">
        <v>2081</v>
      </c>
      <c r="E3022" s="139" t="s">
        <v>1369</v>
      </c>
      <c r="F3022" s="139"/>
      <c r="G3022" s="112" t="s">
        <v>96</v>
      </c>
      <c r="H3022" s="111">
        <v>25.813700000000001</v>
      </c>
      <c r="I3022" s="110">
        <v>9.2200000000000006</v>
      </c>
      <c r="J3022" s="110">
        <v>238</v>
      </c>
    </row>
    <row r="3023" spans="1:10" ht="24" customHeight="1" x14ac:dyDescent="0.2">
      <c r="A3023" s="113" t="s">
        <v>1859</v>
      </c>
      <c r="B3023" s="114" t="s">
        <v>2080</v>
      </c>
      <c r="C3023" s="113" t="s">
        <v>20</v>
      </c>
      <c r="D3023" s="113" t="s">
        <v>2079</v>
      </c>
      <c r="E3023" s="139" t="s">
        <v>1369</v>
      </c>
      <c r="F3023" s="139"/>
      <c r="G3023" s="112" t="s">
        <v>96</v>
      </c>
      <c r="H3023" s="111">
        <v>0.49</v>
      </c>
      <c r="I3023" s="110">
        <v>22.63</v>
      </c>
      <c r="J3023" s="110">
        <v>11.09</v>
      </c>
    </row>
    <row r="3024" spans="1:10" ht="24" customHeight="1" x14ac:dyDescent="0.2">
      <c r="A3024" s="113" t="s">
        <v>1859</v>
      </c>
      <c r="B3024" s="114" t="s">
        <v>2078</v>
      </c>
      <c r="C3024" s="113" t="s">
        <v>20</v>
      </c>
      <c r="D3024" s="113" t="s">
        <v>2077</v>
      </c>
      <c r="E3024" s="139" t="s">
        <v>1369</v>
      </c>
      <c r="F3024" s="139"/>
      <c r="G3024" s="112" t="s">
        <v>96</v>
      </c>
      <c r="H3024" s="111">
        <v>121</v>
      </c>
      <c r="I3024" s="110">
        <v>8.41</v>
      </c>
      <c r="J3024" s="110">
        <v>1017.61</v>
      </c>
    </row>
    <row r="3025" spans="1:10" ht="24" customHeight="1" x14ac:dyDescent="0.2">
      <c r="A3025" s="113" t="s">
        <v>1859</v>
      </c>
      <c r="B3025" s="114" t="s">
        <v>2076</v>
      </c>
      <c r="C3025" s="113" t="s">
        <v>20</v>
      </c>
      <c r="D3025" s="113" t="s">
        <v>2075</v>
      </c>
      <c r="E3025" s="139" t="s">
        <v>1369</v>
      </c>
      <c r="F3025" s="139"/>
      <c r="G3025" s="112" t="s">
        <v>49</v>
      </c>
      <c r="H3025" s="111">
        <v>0.627</v>
      </c>
      <c r="I3025" s="110">
        <v>100.76</v>
      </c>
      <c r="J3025" s="110">
        <v>63.18</v>
      </c>
    </row>
    <row r="3026" spans="1:10" ht="24" customHeight="1" x14ac:dyDescent="0.2">
      <c r="A3026" s="113" t="s">
        <v>1859</v>
      </c>
      <c r="B3026" s="114" t="s">
        <v>2074</v>
      </c>
      <c r="C3026" s="113" t="s">
        <v>20</v>
      </c>
      <c r="D3026" s="113" t="s">
        <v>2073</v>
      </c>
      <c r="E3026" s="139" t="s">
        <v>1369</v>
      </c>
      <c r="F3026" s="139"/>
      <c r="G3026" s="112" t="s">
        <v>96</v>
      </c>
      <c r="H3026" s="111">
        <v>2.6692999999999998</v>
      </c>
      <c r="I3026" s="110">
        <v>22.63</v>
      </c>
      <c r="J3026" s="110">
        <v>60.41</v>
      </c>
    </row>
    <row r="3027" spans="1:10" ht="24" customHeight="1" x14ac:dyDescent="0.2">
      <c r="A3027" s="113" t="s">
        <v>1859</v>
      </c>
      <c r="B3027" s="114" t="s">
        <v>2072</v>
      </c>
      <c r="C3027" s="113" t="s">
        <v>20</v>
      </c>
      <c r="D3027" s="113" t="s">
        <v>2071</v>
      </c>
      <c r="E3027" s="139" t="s">
        <v>1369</v>
      </c>
      <c r="F3027" s="139"/>
      <c r="G3027" s="112" t="s">
        <v>49</v>
      </c>
      <c r="H3027" s="111">
        <v>0.20899999999999999</v>
      </c>
      <c r="I3027" s="110">
        <v>100.76</v>
      </c>
      <c r="J3027" s="110">
        <v>21.06</v>
      </c>
    </row>
    <row r="3028" spans="1:10" ht="24" customHeight="1" x14ac:dyDescent="0.2">
      <c r="A3028" s="113" t="s">
        <v>1859</v>
      </c>
      <c r="B3028" s="114" t="s">
        <v>2070</v>
      </c>
      <c r="C3028" s="113" t="s">
        <v>20</v>
      </c>
      <c r="D3028" s="113" t="s">
        <v>2069</v>
      </c>
      <c r="E3028" s="139" t="s">
        <v>1369</v>
      </c>
      <c r="F3028" s="139"/>
      <c r="G3028" s="112" t="s">
        <v>49</v>
      </c>
      <c r="H3028" s="111">
        <v>0.80900000000000005</v>
      </c>
      <c r="I3028" s="110">
        <v>169.44</v>
      </c>
      <c r="J3028" s="110">
        <v>137.08000000000001</v>
      </c>
    </row>
    <row r="3029" spans="1:10" ht="24" customHeight="1" x14ac:dyDescent="0.2">
      <c r="A3029" s="113" t="s">
        <v>1859</v>
      </c>
      <c r="B3029" s="114" t="s">
        <v>1897</v>
      </c>
      <c r="C3029" s="113" t="s">
        <v>20</v>
      </c>
      <c r="D3029" s="113" t="s">
        <v>1896</v>
      </c>
      <c r="E3029" s="139" t="s">
        <v>1369</v>
      </c>
      <c r="F3029" s="139"/>
      <c r="G3029" s="112" t="s">
        <v>96</v>
      </c>
      <c r="H3029" s="111">
        <v>320</v>
      </c>
      <c r="I3029" s="110">
        <v>0.6</v>
      </c>
      <c r="J3029" s="110">
        <v>192</v>
      </c>
    </row>
    <row r="3030" spans="1:10" ht="24" customHeight="1" x14ac:dyDescent="0.2">
      <c r="A3030" s="113" t="s">
        <v>1859</v>
      </c>
      <c r="B3030" s="114" t="s">
        <v>2068</v>
      </c>
      <c r="C3030" s="113" t="s">
        <v>20</v>
      </c>
      <c r="D3030" s="113" t="s">
        <v>2067</v>
      </c>
      <c r="E3030" s="139" t="s">
        <v>1369</v>
      </c>
      <c r="F3030" s="139"/>
      <c r="G3030" s="112" t="s">
        <v>213</v>
      </c>
      <c r="H3030" s="111">
        <v>22.821999999999999</v>
      </c>
      <c r="I3030" s="110">
        <v>15.39</v>
      </c>
      <c r="J3030" s="110">
        <v>351.23</v>
      </c>
    </row>
    <row r="3031" spans="1:10" ht="24" customHeight="1" x14ac:dyDescent="0.2">
      <c r="A3031" s="113" t="s">
        <v>1859</v>
      </c>
      <c r="B3031" s="114" t="s">
        <v>2066</v>
      </c>
      <c r="C3031" s="113" t="s">
        <v>20</v>
      </c>
      <c r="D3031" s="113" t="s">
        <v>2065</v>
      </c>
      <c r="E3031" s="139" t="s">
        <v>1369</v>
      </c>
      <c r="F3031" s="139"/>
      <c r="G3031" s="112" t="s">
        <v>96</v>
      </c>
      <c r="H3031" s="111">
        <v>1.1140000000000001</v>
      </c>
      <c r="I3031" s="110">
        <v>18.170000000000002</v>
      </c>
      <c r="J3031" s="110">
        <v>20.239999999999998</v>
      </c>
    </row>
    <row r="3032" spans="1:10" ht="24" customHeight="1" x14ac:dyDescent="0.2">
      <c r="A3032" s="113" t="s">
        <v>1859</v>
      </c>
      <c r="B3032" s="114" t="s">
        <v>2064</v>
      </c>
      <c r="C3032" s="113" t="s">
        <v>20</v>
      </c>
      <c r="D3032" s="113" t="s">
        <v>2063</v>
      </c>
      <c r="E3032" s="139" t="s">
        <v>1860</v>
      </c>
      <c r="F3032" s="139"/>
      <c r="G3032" s="112" t="s">
        <v>1864</v>
      </c>
      <c r="H3032" s="111">
        <v>10.4427</v>
      </c>
      <c r="I3032" s="110">
        <v>15.97</v>
      </c>
      <c r="J3032" s="110">
        <v>166.77</v>
      </c>
    </row>
    <row r="3033" spans="1:10" ht="24" customHeight="1" x14ac:dyDescent="0.2">
      <c r="A3033" s="113" t="s">
        <v>1859</v>
      </c>
      <c r="B3033" s="114" t="s">
        <v>2062</v>
      </c>
      <c r="C3033" s="113" t="s">
        <v>20</v>
      </c>
      <c r="D3033" s="113" t="s">
        <v>2061</v>
      </c>
      <c r="E3033" s="139" t="s">
        <v>1860</v>
      </c>
      <c r="F3033" s="139"/>
      <c r="G3033" s="112" t="s">
        <v>1864</v>
      </c>
      <c r="H3033" s="111">
        <v>0.64480000000000004</v>
      </c>
      <c r="I3033" s="110">
        <v>12.74</v>
      </c>
      <c r="J3033" s="110">
        <v>8.2100000000000009</v>
      </c>
    </row>
    <row r="3034" spans="1:10" ht="24" customHeight="1" x14ac:dyDescent="0.2">
      <c r="A3034" s="113" t="s">
        <v>1859</v>
      </c>
      <c r="B3034" s="114" t="s">
        <v>1872</v>
      </c>
      <c r="C3034" s="113" t="s">
        <v>20</v>
      </c>
      <c r="D3034" s="113" t="s">
        <v>1871</v>
      </c>
      <c r="E3034" s="139" t="s">
        <v>1860</v>
      </c>
      <c r="F3034" s="139"/>
      <c r="G3034" s="112" t="s">
        <v>1864</v>
      </c>
      <c r="H3034" s="111">
        <v>5.8032000000000004</v>
      </c>
      <c r="I3034" s="110">
        <v>10.62</v>
      </c>
      <c r="J3034" s="110">
        <v>61.63</v>
      </c>
    </row>
    <row r="3035" spans="1:10" ht="24" customHeight="1" x14ac:dyDescent="0.2">
      <c r="A3035" s="113" t="s">
        <v>1859</v>
      </c>
      <c r="B3035" s="114" t="s">
        <v>1951</v>
      </c>
      <c r="C3035" s="113" t="s">
        <v>20</v>
      </c>
      <c r="D3035" s="113" t="s">
        <v>1950</v>
      </c>
      <c r="E3035" s="139" t="s">
        <v>1860</v>
      </c>
      <c r="F3035" s="139"/>
      <c r="G3035" s="112" t="s">
        <v>1864</v>
      </c>
      <c r="H3035" s="111">
        <v>16.6907</v>
      </c>
      <c r="I3035" s="110">
        <v>10.62</v>
      </c>
      <c r="J3035" s="110">
        <v>177.26</v>
      </c>
    </row>
    <row r="3036" spans="1:10" ht="24" customHeight="1" x14ac:dyDescent="0.2">
      <c r="A3036" s="113" t="s">
        <v>1859</v>
      </c>
      <c r="B3036" s="114" t="s">
        <v>1949</v>
      </c>
      <c r="C3036" s="113" t="s">
        <v>20</v>
      </c>
      <c r="D3036" s="113" t="s">
        <v>1948</v>
      </c>
      <c r="E3036" s="139" t="s">
        <v>1860</v>
      </c>
      <c r="F3036" s="139"/>
      <c r="G3036" s="112" t="s">
        <v>1864</v>
      </c>
      <c r="H3036" s="111">
        <v>1.9348000000000001</v>
      </c>
      <c r="I3036" s="110">
        <v>15.97</v>
      </c>
      <c r="J3036" s="110">
        <v>30.9</v>
      </c>
    </row>
    <row r="3037" spans="1:10" ht="24" customHeight="1" x14ac:dyDescent="0.2">
      <c r="A3037" s="113" t="s">
        <v>1859</v>
      </c>
      <c r="B3037" s="114" t="s">
        <v>2060</v>
      </c>
      <c r="C3037" s="113" t="s">
        <v>20</v>
      </c>
      <c r="D3037" s="113" t="s">
        <v>2059</v>
      </c>
      <c r="E3037" s="139" t="s">
        <v>1860</v>
      </c>
      <c r="F3037" s="139"/>
      <c r="G3037" s="112" t="s">
        <v>1864</v>
      </c>
      <c r="H3037" s="111">
        <v>5.9859999999999998</v>
      </c>
      <c r="I3037" s="110">
        <v>15.97</v>
      </c>
      <c r="J3037" s="110">
        <v>95.6</v>
      </c>
    </row>
    <row r="3038" spans="1:10" x14ac:dyDescent="0.2">
      <c r="A3038" s="109"/>
      <c r="B3038" s="109"/>
      <c r="C3038" s="109"/>
      <c r="D3038" s="109"/>
      <c r="E3038" s="109" t="s">
        <v>1858</v>
      </c>
      <c r="F3038" s="108">
        <v>540.37</v>
      </c>
      <c r="G3038" s="109" t="s">
        <v>1857</v>
      </c>
      <c r="H3038" s="108">
        <v>0</v>
      </c>
      <c r="I3038" s="109" t="s">
        <v>1856</v>
      </c>
      <c r="J3038" s="108">
        <v>540.37</v>
      </c>
    </row>
    <row r="3039" spans="1:10" ht="13.9" customHeight="1" x14ac:dyDescent="0.2">
      <c r="A3039" s="109"/>
      <c r="B3039" s="109"/>
      <c r="C3039" s="109"/>
      <c r="D3039" s="109"/>
      <c r="E3039" s="109" t="s">
        <v>1855</v>
      </c>
      <c r="F3039" s="108">
        <v>704.177685</v>
      </c>
      <c r="G3039" s="109"/>
      <c r="H3039" s="140" t="s">
        <v>1854</v>
      </c>
      <c r="I3039" s="140"/>
      <c r="J3039" s="108">
        <v>3356.45</v>
      </c>
    </row>
    <row r="3040" spans="1:10" ht="30" customHeight="1" thickBot="1" x14ac:dyDescent="0.25">
      <c r="A3040" s="100"/>
      <c r="B3040" s="100"/>
      <c r="C3040" s="100"/>
      <c r="D3040" s="100"/>
      <c r="E3040" s="100"/>
      <c r="F3040" s="100"/>
      <c r="G3040" s="100" t="s">
        <v>1853</v>
      </c>
      <c r="H3040" s="107">
        <v>3.46</v>
      </c>
      <c r="I3040" s="100" t="s">
        <v>1852</v>
      </c>
      <c r="J3040" s="102">
        <v>11613.32</v>
      </c>
    </row>
    <row r="3041" spans="1:10" ht="1.1499999999999999" customHeight="1" thickTop="1" x14ac:dyDescent="0.2">
      <c r="A3041" s="106"/>
      <c r="B3041" s="106"/>
      <c r="C3041" s="106"/>
      <c r="D3041" s="106"/>
      <c r="E3041" s="106"/>
      <c r="F3041" s="106"/>
      <c r="G3041" s="106"/>
      <c r="H3041" s="106"/>
      <c r="I3041" s="106"/>
      <c r="J3041" s="106"/>
    </row>
    <row r="3042" spans="1:10" ht="18" customHeight="1" x14ac:dyDescent="0.2">
      <c r="A3042" s="117" t="s">
        <v>712</v>
      </c>
      <c r="B3042" s="126" t="s">
        <v>5</v>
      </c>
      <c r="C3042" s="117" t="s">
        <v>6</v>
      </c>
      <c r="D3042" s="117" t="s">
        <v>7</v>
      </c>
      <c r="E3042" s="136" t="s">
        <v>1113</v>
      </c>
      <c r="F3042" s="136"/>
      <c r="G3042" s="7" t="s">
        <v>8</v>
      </c>
      <c r="H3042" s="126" t="s">
        <v>9</v>
      </c>
      <c r="I3042" s="126" t="s">
        <v>10</v>
      </c>
      <c r="J3042" s="126" t="s">
        <v>12</v>
      </c>
    </row>
    <row r="3043" spans="1:10" ht="36" customHeight="1" x14ac:dyDescent="0.2">
      <c r="A3043" s="116" t="s">
        <v>1861</v>
      </c>
      <c r="B3043" s="1" t="s">
        <v>713</v>
      </c>
      <c r="C3043" s="116" t="s">
        <v>25</v>
      </c>
      <c r="D3043" s="116" t="s">
        <v>714</v>
      </c>
      <c r="E3043" s="137" t="s">
        <v>1474</v>
      </c>
      <c r="F3043" s="137"/>
      <c r="G3043" s="2" t="s">
        <v>92</v>
      </c>
      <c r="H3043" s="115">
        <v>1</v>
      </c>
      <c r="I3043" s="61">
        <v>134.99</v>
      </c>
      <c r="J3043" s="61">
        <v>134.99</v>
      </c>
    </row>
    <row r="3044" spans="1:10" ht="36" customHeight="1" x14ac:dyDescent="0.2">
      <c r="A3044" s="121" t="s">
        <v>1888</v>
      </c>
      <c r="B3044" s="122" t="s">
        <v>2058</v>
      </c>
      <c r="C3044" s="121" t="s">
        <v>25</v>
      </c>
      <c r="D3044" s="121" t="s">
        <v>2057</v>
      </c>
      <c r="E3044" s="138" t="s">
        <v>1908</v>
      </c>
      <c r="F3044" s="138"/>
      <c r="G3044" s="120" t="s">
        <v>1911</v>
      </c>
      <c r="H3044" s="119">
        <v>2.1000000000000001E-2</v>
      </c>
      <c r="I3044" s="118">
        <v>25.52</v>
      </c>
      <c r="J3044" s="118">
        <v>0.54</v>
      </c>
    </row>
    <row r="3045" spans="1:10" ht="36" customHeight="1" x14ac:dyDescent="0.2">
      <c r="A3045" s="121" t="s">
        <v>1888</v>
      </c>
      <c r="B3045" s="122" t="s">
        <v>2056</v>
      </c>
      <c r="C3045" s="121" t="s">
        <v>25</v>
      </c>
      <c r="D3045" s="121" t="s">
        <v>2055</v>
      </c>
      <c r="E3045" s="138" t="s">
        <v>1908</v>
      </c>
      <c r="F3045" s="138"/>
      <c r="G3045" s="120" t="s">
        <v>1907</v>
      </c>
      <c r="H3045" s="119">
        <v>0.39800000000000002</v>
      </c>
      <c r="I3045" s="118">
        <v>23.83</v>
      </c>
      <c r="J3045" s="118">
        <v>9.48</v>
      </c>
    </row>
    <row r="3046" spans="1:10" ht="60" customHeight="1" x14ac:dyDescent="0.2">
      <c r="A3046" s="121" t="s">
        <v>1888</v>
      </c>
      <c r="B3046" s="122" t="s">
        <v>2054</v>
      </c>
      <c r="C3046" s="121" t="s">
        <v>25</v>
      </c>
      <c r="D3046" s="121" t="s">
        <v>2053</v>
      </c>
      <c r="E3046" s="138" t="s">
        <v>1902</v>
      </c>
      <c r="F3046" s="138"/>
      <c r="G3046" s="120" t="s">
        <v>49</v>
      </c>
      <c r="H3046" s="119">
        <v>6.0000000000000001E-3</v>
      </c>
      <c r="I3046" s="118">
        <v>450.97</v>
      </c>
      <c r="J3046" s="118">
        <v>2.71</v>
      </c>
    </row>
    <row r="3047" spans="1:10" ht="24" customHeight="1" x14ac:dyDescent="0.2">
      <c r="A3047" s="121" t="s">
        <v>1888</v>
      </c>
      <c r="B3047" s="122" t="s">
        <v>2052</v>
      </c>
      <c r="C3047" s="121" t="s">
        <v>25</v>
      </c>
      <c r="D3047" s="121" t="s">
        <v>2051</v>
      </c>
      <c r="E3047" s="138" t="s">
        <v>1902</v>
      </c>
      <c r="F3047" s="138"/>
      <c r="G3047" s="120" t="s">
        <v>61</v>
      </c>
      <c r="H3047" s="119">
        <v>0.41899999999999998</v>
      </c>
      <c r="I3047" s="118">
        <v>21.46</v>
      </c>
      <c r="J3047" s="118">
        <v>8.99</v>
      </c>
    </row>
    <row r="3048" spans="1:10" ht="24" customHeight="1" x14ac:dyDescent="0.2">
      <c r="A3048" s="121" t="s">
        <v>1888</v>
      </c>
      <c r="B3048" s="122" t="s">
        <v>1906</v>
      </c>
      <c r="C3048" s="121" t="s">
        <v>25</v>
      </c>
      <c r="D3048" s="121" t="s">
        <v>1905</v>
      </c>
      <c r="E3048" s="138" t="s">
        <v>1902</v>
      </c>
      <c r="F3048" s="138"/>
      <c r="G3048" s="120" t="s">
        <v>61</v>
      </c>
      <c r="H3048" s="119">
        <v>0.20899999999999999</v>
      </c>
      <c r="I3048" s="118">
        <v>16.059999999999999</v>
      </c>
      <c r="J3048" s="118">
        <v>3.36</v>
      </c>
    </row>
    <row r="3049" spans="1:10" ht="24" customHeight="1" x14ac:dyDescent="0.2">
      <c r="A3049" s="113" t="s">
        <v>1859</v>
      </c>
      <c r="B3049" s="114" t="s">
        <v>2050</v>
      </c>
      <c r="C3049" s="113" t="s">
        <v>25</v>
      </c>
      <c r="D3049" s="113" t="s">
        <v>2049</v>
      </c>
      <c r="E3049" s="139" t="s">
        <v>1369</v>
      </c>
      <c r="F3049" s="139"/>
      <c r="G3049" s="112" t="s">
        <v>92</v>
      </c>
      <c r="H3049" s="111">
        <v>1.04</v>
      </c>
      <c r="I3049" s="110">
        <v>105.68</v>
      </c>
      <c r="J3049" s="110">
        <v>109.91</v>
      </c>
    </row>
    <row r="3050" spans="1:10" x14ac:dyDescent="0.2">
      <c r="A3050" s="109"/>
      <c r="B3050" s="109"/>
      <c r="C3050" s="109"/>
      <c r="D3050" s="109"/>
      <c r="E3050" s="109" t="s">
        <v>1858</v>
      </c>
      <c r="F3050" s="108">
        <v>17.39</v>
      </c>
      <c r="G3050" s="109" t="s">
        <v>1857</v>
      </c>
      <c r="H3050" s="108">
        <v>0</v>
      </c>
      <c r="I3050" s="109" t="s">
        <v>1856</v>
      </c>
      <c r="J3050" s="108">
        <v>17.39</v>
      </c>
    </row>
    <row r="3051" spans="1:10" ht="13.9" customHeight="1" x14ac:dyDescent="0.2">
      <c r="A3051" s="109"/>
      <c r="B3051" s="109"/>
      <c r="C3051" s="109"/>
      <c r="D3051" s="109"/>
      <c r="E3051" s="109" t="s">
        <v>1855</v>
      </c>
      <c r="F3051" s="108">
        <v>35.839844999999997</v>
      </c>
      <c r="G3051" s="109"/>
      <c r="H3051" s="140" t="s">
        <v>1854</v>
      </c>
      <c r="I3051" s="140"/>
      <c r="J3051" s="108">
        <v>170.83</v>
      </c>
    </row>
    <row r="3052" spans="1:10" ht="30" customHeight="1" thickBot="1" x14ac:dyDescent="0.25">
      <c r="A3052" s="100"/>
      <c r="B3052" s="100"/>
      <c r="C3052" s="100"/>
      <c r="D3052" s="100"/>
      <c r="E3052" s="100"/>
      <c r="F3052" s="100"/>
      <c r="G3052" s="100" t="s">
        <v>1853</v>
      </c>
      <c r="H3052" s="107">
        <v>61.85</v>
      </c>
      <c r="I3052" s="100" t="s">
        <v>1852</v>
      </c>
      <c r="J3052" s="102">
        <v>10565.84</v>
      </c>
    </row>
    <row r="3053" spans="1:10" ht="1.1499999999999999" customHeight="1" thickTop="1" x14ac:dyDescent="0.2">
      <c r="A3053" s="106"/>
      <c r="B3053" s="106"/>
      <c r="C3053" s="106"/>
      <c r="D3053" s="106"/>
      <c r="E3053" s="106"/>
      <c r="F3053" s="106"/>
      <c r="G3053" s="106"/>
      <c r="H3053" s="106"/>
      <c r="I3053" s="106"/>
      <c r="J3053" s="106"/>
    </row>
    <row r="3054" spans="1:10" ht="24" customHeight="1" x14ac:dyDescent="0.2">
      <c r="A3054" s="123" t="s">
        <v>715</v>
      </c>
      <c r="B3054" s="123"/>
      <c r="C3054" s="123"/>
      <c r="D3054" s="123" t="s">
        <v>716</v>
      </c>
      <c r="E3054" s="123"/>
      <c r="F3054" s="142"/>
      <c r="G3054" s="142"/>
      <c r="H3054" s="3"/>
      <c r="I3054" s="123"/>
      <c r="J3054" s="63">
        <v>40963.160000000003</v>
      </c>
    </row>
    <row r="3055" spans="1:10" ht="18" customHeight="1" x14ac:dyDescent="0.2">
      <c r="A3055" s="117" t="s">
        <v>717</v>
      </c>
      <c r="B3055" s="126" t="s">
        <v>5</v>
      </c>
      <c r="C3055" s="117" t="s">
        <v>6</v>
      </c>
      <c r="D3055" s="117" t="s">
        <v>7</v>
      </c>
      <c r="E3055" s="136" t="s">
        <v>1113</v>
      </c>
      <c r="F3055" s="136"/>
      <c r="G3055" s="7" t="s">
        <v>8</v>
      </c>
      <c r="H3055" s="126" t="s">
        <v>9</v>
      </c>
      <c r="I3055" s="126" t="s">
        <v>10</v>
      </c>
      <c r="J3055" s="126" t="s">
        <v>12</v>
      </c>
    </row>
    <row r="3056" spans="1:10" ht="24" customHeight="1" x14ac:dyDescent="0.2">
      <c r="A3056" s="116" t="s">
        <v>1861</v>
      </c>
      <c r="B3056" s="1" t="s">
        <v>704</v>
      </c>
      <c r="C3056" s="116" t="s">
        <v>25</v>
      </c>
      <c r="D3056" s="116" t="s">
        <v>718</v>
      </c>
      <c r="E3056" s="137" t="s">
        <v>1398</v>
      </c>
      <c r="F3056" s="137"/>
      <c r="G3056" s="2" t="s">
        <v>22</v>
      </c>
      <c r="H3056" s="115">
        <v>1</v>
      </c>
      <c r="I3056" s="61">
        <v>650.78</v>
      </c>
      <c r="J3056" s="61">
        <v>650.78</v>
      </c>
    </row>
    <row r="3057" spans="1:10" ht="36" customHeight="1" x14ac:dyDescent="0.2">
      <c r="A3057" s="121" t="s">
        <v>1888</v>
      </c>
      <c r="B3057" s="122" t="s">
        <v>2048</v>
      </c>
      <c r="C3057" s="121" t="s">
        <v>25</v>
      </c>
      <c r="D3057" s="121" t="s">
        <v>2047</v>
      </c>
      <c r="E3057" s="138" t="s">
        <v>1902</v>
      </c>
      <c r="F3057" s="138"/>
      <c r="G3057" s="120" t="s">
        <v>49</v>
      </c>
      <c r="H3057" s="119">
        <v>6.0000000000000001E-3</v>
      </c>
      <c r="I3057" s="118">
        <v>577.89</v>
      </c>
      <c r="J3057" s="118">
        <v>3.47</v>
      </c>
    </row>
    <row r="3058" spans="1:10" ht="24" customHeight="1" x14ac:dyDescent="0.2">
      <c r="A3058" s="121" t="s">
        <v>1888</v>
      </c>
      <c r="B3058" s="122" t="s">
        <v>2046</v>
      </c>
      <c r="C3058" s="121" t="s">
        <v>25</v>
      </c>
      <c r="D3058" s="121" t="s">
        <v>2045</v>
      </c>
      <c r="E3058" s="138" t="s">
        <v>1902</v>
      </c>
      <c r="F3058" s="138"/>
      <c r="G3058" s="120" t="s">
        <v>61</v>
      </c>
      <c r="H3058" s="119">
        <v>0.3</v>
      </c>
      <c r="I3058" s="118">
        <v>21.54</v>
      </c>
      <c r="J3058" s="118">
        <v>6.46</v>
      </c>
    </row>
    <row r="3059" spans="1:10" ht="24" customHeight="1" x14ac:dyDescent="0.2">
      <c r="A3059" s="121" t="s">
        <v>1888</v>
      </c>
      <c r="B3059" s="122" t="s">
        <v>1935</v>
      </c>
      <c r="C3059" s="121" t="s">
        <v>25</v>
      </c>
      <c r="D3059" s="121" t="s">
        <v>1934</v>
      </c>
      <c r="E3059" s="138" t="s">
        <v>1902</v>
      </c>
      <c r="F3059" s="138"/>
      <c r="G3059" s="120" t="s">
        <v>61</v>
      </c>
      <c r="H3059" s="119">
        <v>0.8</v>
      </c>
      <c r="I3059" s="118">
        <v>21.42</v>
      </c>
      <c r="J3059" s="118">
        <v>17.14</v>
      </c>
    </row>
    <row r="3060" spans="1:10" ht="24" customHeight="1" x14ac:dyDescent="0.2">
      <c r="A3060" s="121" t="s">
        <v>1888</v>
      </c>
      <c r="B3060" s="122" t="s">
        <v>1906</v>
      </c>
      <c r="C3060" s="121" t="s">
        <v>25</v>
      </c>
      <c r="D3060" s="121" t="s">
        <v>1905</v>
      </c>
      <c r="E3060" s="138" t="s">
        <v>1902</v>
      </c>
      <c r="F3060" s="138"/>
      <c r="G3060" s="120" t="s">
        <v>61</v>
      </c>
      <c r="H3060" s="119">
        <v>1.2</v>
      </c>
      <c r="I3060" s="118">
        <v>16.059999999999999</v>
      </c>
      <c r="J3060" s="118">
        <v>19.27</v>
      </c>
    </row>
    <row r="3061" spans="1:10" ht="48" customHeight="1" x14ac:dyDescent="0.2">
      <c r="A3061" s="113" t="s">
        <v>1859</v>
      </c>
      <c r="B3061" s="114" t="s">
        <v>2044</v>
      </c>
      <c r="C3061" s="113" t="s">
        <v>25</v>
      </c>
      <c r="D3061" s="113" t="s">
        <v>2043</v>
      </c>
      <c r="E3061" s="139" t="s">
        <v>1369</v>
      </c>
      <c r="F3061" s="139"/>
      <c r="G3061" s="112" t="s">
        <v>22</v>
      </c>
      <c r="H3061" s="111">
        <v>1</v>
      </c>
      <c r="I3061" s="110">
        <v>604.44000000000005</v>
      </c>
      <c r="J3061" s="110">
        <v>604.44000000000005</v>
      </c>
    </row>
    <row r="3062" spans="1:10" x14ac:dyDescent="0.2">
      <c r="A3062" s="109"/>
      <c r="B3062" s="109"/>
      <c r="C3062" s="109"/>
      <c r="D3062" s="109"/>
      <c r="E3062" s="109" t="s">
        <v>1858</v>
      </c>
      <c r="F3062" s="108">
        <v>30.78</v>
      </c>
      <c r="G3062" s="109" t="s">
        <v>1857</v>
      </c>
      <c r="H3062" s="108">
        <v>0</v>
      </c>
      <c r="I3062" s="109" t="s">
        <v>1856</v>
      </c>
      <c r="J3062" s="108">
        <v>30.78</v>
      </c>
    </row>
    <row r="3063" spans="1:10" ht="13.9" customHeight="1" x14ac:dyDescent="0.2">
      <c r="A3063" s="109"/>
      <c r="B3063" s="109"/>
      <c r="C3063" s="109"/>
      <c r="D3063" s="109"/>
      <c r="E3063" s="109" t="s">
        <v>1855</v>
      </c>
      <c r="F3063" s="108">
        <v>172.78209000000001</v>
      </c>
      <c r="G3063" s="109"/>
      <c r="H3063" s="140" t="s">
        <v>1854</v>
      </c>
      <c r="I3063" s="140"/>
      <c r="J3063" s="108">
        <v>823.56</v>
      </c>
    </row>
    <row r="3064" spans="1:10" ht="30" customHeight="1" thickBot="1" x14ac:dyDescent="0.25">
      <c r="A3064" s="100"/>
      <c r="B3064" s="100"/>
      <c r="C3064" s="100"/>
      <c r="D3064" s="100"/>
      <c r="E3064" s="100"/>
      <c r="F3064" s="100"/>
      <c r="G3064" s="100" t="s">
        <v>1853</v>
      </c>
      <c r="H3064" s="107">
        <v>35.04</v>
      </c>
      <c r="I3064" s="100" t="s">
        <v>1852</v>
      </c>
      <c r="J3064" s="102">
        <v>28857.54</v>
      </c>
    </row>
    <row r="3065" spans="1:10" ht="1.1499999999999999" customHeight="1" thickTop="1" x14ac:dyDescent="0.2">
      <c r="A3065" s="106"/>
      <c r="B3065" s="106"/>
      <c r="C3065" s="106"/>
      <c r="D3065" s="106"/>
      <c r="E3065" s="106"/>
      <c r="F3065" s="106"/>
      <c r="G3065" s="106"/>
      <c r="H3065" s="106"/>
      <c r="I3065" s="106"/>
      <c r="J3065" s="106"/>
    </row>
    <row r="3066" spans="1:10" ht="18" customHeight="1" x14ac:dyDescent="0.2">
      <c r="A3066" s="117" t="s">
        <v>719</v>
      </c>
      <c r="B3066" s="126" t="s">
        <v>5</v>
      </c>
      <c r="C3066" s="117" t="s">
        <v>6</v>
      </c>
      <c r="D3066" s="117" t="s">
        <v>7</v>
      </c>
      <c r="E3066" s="136" t="s">
        <v>1113</v>
      </c>
      <c r="F3066" s="136"/>
      <c r="G3066" s="7" t="s">
        <v>8</v>
      </c>
      <c r="H3066" s="126" t="s">
        <v>9</v>
      </c>
      <c r="I3066" s="126" t="s">
        <v>10</v>
      </c>
      <c r="J3066" s="126" t="s">
        <v>12</v>
      </c>
    </row>
    <row r="3067" spans="1:10" ht="24" customHeight="1" x14ac:dyDescent="0.2">
      <c r="A3067" s="116" t="s">
        <v>1861</v>
      </c>
      <c r="B3067" s="1" t="s">
        <v>534</v>
      </c>
      <c r="C3067" s="116" t="s">
        <v>20</v>
      </c>
      <c r="D3067" s="116" t="s">
        <v>535</v>
      </c>
      <c r="E3067" s="137">
        <v>19</v>
      </c>
      <c r="F3067" s="137"/>
      <c r="G3067" s="2" t="s">
        <v>22</v>
      </c>
      <c r="H3067" s="115">
        <v>1</v>
      </c>
      <c r="I3067" s="61">
        <v>273</v>
      </c>
      <c r="J3067" s="61">
        <v>273</v>
      </c>
    </row>
    <row r="3068" spans="1:10" ht="24" customHeight="1" x14ac:dyDescent="0.2">
      <c r="A3068" s="113" t="s">
        <v>1859</v>
      </c>
      <c r="B3068" s="114" t="s">
        <v>2042</v>
      </c>
      <c r="C3068" s="113" t="s">
        <v>20</v>
      </c>
      <c r="D3068" s="113" t="s">
        <v>2041</v>
      </c>
      <c r="E3068" s="139" t="s">
        <v>1369</v>
      </c>
      <c r="F3068" s="139"/>
      <c r="G3068" s="112" t="s">
        <v>22</v>
      </c>
      <c r="H3068" s="111">
        <v>1</v>
      </c>
      <c r="I3068" s="110">
        <v>273</v>
      </c>
      <c r="J3068" s="110">
        <v>273</v>
      </c>
    </row>
    <row r="3069" spans="1:10" x14ac:dyDescent="0.2">
      <c r="A3069" s="109"/>
      <c r="B3069" s="109"/>
      <c r="C3069" s="109"/>
      <c r="D3069" s="109"/>
      <c r="E3069" s="109" t="s">
        <v>1858</v>
      </c>
      <c r="F3069" s="108">
        <v>0</v>
      </c>
      <c r="G3069" s="109" t="s">
        <v>1857</v>
      </c>
      <c r="H3069" s="108">
        <v>0</v>
      </c>
      <c r="I3069" s="109" t="s">
        <v>1856</v>
      </c>
      <c r="J3069" s="108">
        <v>0</v>
      </c>
    </row>
    <row r="3070" spans="1:10" ht="13.9" customHeight="1" x14ac:dyDescent="0.2">
      <c r="A3070" s="109"/>
      <c r="B3070" s="109"/>
      <c r="C3070" s="109"/>
      <c r="D3070" s="109"/>
      <c r="E3070" s="109" t="s">
        <v>1855</v>
      </c>
      <c r="F3070" s="108">
        <v>72.481499999999997</v>
      </c>
      <c r="G3070" s="109"/>
      <c r="H3070" s="140" t="s">
        <v>1854</v>
      </c>
      <c r="I3070" s="140"/>
      <c r="J3070" s="108">
        <v>345.48</v>
      </c>
    </row>
    <row r="3071" spans="1:10" ht="30" customHeight="1" thickBot="1" x14ac:dyDescent="0.25">
      <c r="A3071" s="100"/>
      <c r="B3071" s="100"/>
      <c r="C3071" s="100"/>
      <c r="D3071" s="100"/>
      <c r="E3071" s="100"/>
      <c r="F3071" s="100"/>
      <c r="G3071" s="100" t="s">
        <v>1853</v>
      </c>
      <c r="H3071" s="107">
        <v>35.04</v>
      </c>
      <c r="I3071" s="100" t="s">
        <v>1852</v>
      </c>
      <c r="J3071" s="102">
        <v>12105.62</v>
      </c>
    </row>
    <row r="3072" spans="1:10" ht="1.1499999999999999" customHeight="1" thickTop="1" x14ac:dyDescent="0.2">
      <c r="A3072" s="106"/>
      <c r="B3072" s="106"/>
      <c r="C3072" s="106"/>
      <c r="D3072" s="106"/>
      <c r="E3072" s="106"/>
      <c r="F3072" s="106"/>
      <c r="G3072" s="106"/>
      <c r="H3072" s="106"/>
      <c r="I3072" s="106"/>
      <c r="J3072" s="106"/>
    </row>
    <row r="3073" spans="1:10" ht="24" customHeight="1" x14ac:dyDescent="0.2">
      <c r="A3073" s="123" t="s">
        <v>720</v>
      </c>
      <c r="B3073" s="123"/>
      <c r="C3073" s="123"/>
      <c r="D3073" s="123" t="s">
        <v>721</v>
      </c>
      <c r="E3073" s="123"/>
      <c r="F3073" s="142"/>
      <c r="G3073" s="142"/>
      <c r="H3073" s="3"/>
      <c r="I3073" s="123"/>
      <c r="J3073" s="63">
        <v>41864.589999999997</v>
      </c>
    </row>
    <row r="3074" spans="1:10" ht="18" customHeight="1" x14ac:dyDescent="0.2">
      <c r="A3074" s="117" t="s">
        <v>722</v>
      </c>
      <c r="B3074" s="126" t="s">
        <v>5</v>
      </c>
      <c r="C3074" s="117" t="s">
        <v>6</v>
      </c>
      <c r="D3074" s="117" t="s">
        <v>7</v>
      </c>
      <c r="E3074" s="136" t="s">
        <v>1113</v>
      </c>
      <c r="F3074" s="136"/>
      <c r="G3074" s="7" t="s">
        <v>8</v>
      </c>
      <c r="H3074" s="126" t="s">
        <v>9</v>
      </c>
      <c r="I3074" s="126" t="s">
        <v>10</v>
      </c>
      <c r="J3074" s="126" t="s">
        <v>12</v>
      </c>
    </row>
    <row r="3075" spans="1:10" ht="24" customHeight="1" x14ac:dyDescent="0.2">
      <c r="A3075" s="116" t="s">
        <v>1861</v>
      </c>
      <c r="B3075" s="1" t="s">
        <v>723</v>
      </c>
      <c r="C3075" s="116" t="s">
        <v>25</v>
      </c>
      <c r="D3075" s="116" t="s">
        <v>724</v>
      </c>
      <c r="E3075" s="137" t="s">
        <v>1398</v>
      </c>
      <c r="F3075" s="137"/>
      <c r="G3075" s="2" t="s">
        <v>22</v>
      </c>
      <c r="H3075" s="115">
        <v>1</v>
      </c>
      <c r="I3075" s="61">
        <v>606.41</v>
      </c>
      <c r="J3075" s="61">
        <v>606.41</v>
      </c>
    </row>
    <row r="3076" spans="1:10" ht="24" customHeight="1" x14ac:dyDescent="0.2">
      <c r="A3076" s="121" t="s">
        <v>1888</v>
      </c>
      <c r="B3076" s="122" t="s">
        <v>2040</v>
      </c>
      <c r="C3076" s="121" t="s">
        <v>25</v>
      </c>
      <c r="D3076" s="121" t="s">
        <v>2039</v>
      </c>
      <c r="E3076" s="138" t="s">
        <v>1902</v>
      </c>
      <c r="F3076" s="138"/>
      <c r="G3076" s="120" t="s">
        <v>49</v>
      </c>
      <c r="H3076" s="119">
        <v>8.0000000000000002E-3</v>
      </c>
      <c r="I3076" s="118">
        <v>576.67999999999995</v>
      </c>
      <c r="J3076" s="118">
        <v>4.6100000000000003</v>
      </c>
    </row>
    <row r="3077" spans="1:10" ht="24" customHeight="1" x14ac:dyDescent="0.2">
      <c r="A3077" s="121" t="s">
        <v>1888</v>
      </c>
      <c r="B3077" s="122" t="s">
        <v>1937</v>
      </c>
      <c r="C3077" s="121" t="s">
        <v>25</v>
      </c>
      <c r="D3077" s="121" t="s">
        <v>1936</v>
      </c>
      <c r="E3077" s="138" t="s">
        <v>1902</v>
      </c>
      <c r="F3077" s="138"/>
      <c r="G3077" s="120" t="s">
        <v>61</v>
      </c>
      <c r="H3077" s="119">
        <v>6.9649999999999999</v>
      </c>
      <c r="I3077" s="118">
        <v>15.88</v>
      </c>
      <c r="J3077" s="118">
        <v>110.6</v>
      </c>
    </row>
    <row r="3078" spans="1:10" ht="24" customHeight="1" x14ac:dyDescent="0.2">
      <c r="A3078" s="121" t="s">
        <v>1888</v>
      </c>
      <c r="B3078" s="122" t="s">
        <v>1935</v>
      </c>
      <c r="C3078" s="121" t="s">
        <v>25</v>
      </c>
      <c r="D3078" s="121" t="s">
        <v>1934</v>
      </c>
      <c r="E3078" s="138" t="s">
        <v>1902</v>
      </c>
      <c r="F3078" s="138"/>
      <c r="G3078" s="120" t="s">
        <v>61</v>
      </c>
      <c r="H3078" s="119">
        <v>8.4789999999999992</v>
      </c>
      <c r="I3078" s="118">
        <v>21.42</v>
      </c>
      <c r="J3078" s="118">
        <v>181.62</v>
      </c>
    </row>
    <row r="3079" spans="1:10" ht="24" customHeight="1" x14ac:dyDescent="0.2">
      <c r="A3079" s="113" t="s">
        <v>1859</v>
      </c>
      <c r="B3079" s="114" t="s">
        <v>2038</v>
      </c>
      <c r="C3079" s="113" t="s">
        <v>25</v>
      </c>
      <c r="D3079" s="113" t="s">
        <v>2037</v>
      </c>
      <c r="E3079" s="139" t="s">
        <v>1369</v>
      </c>
      <c r="F3079" s="139"/>
      <c r="G3079" s="112" t="s">
        <v>92</v>
      </c>
      <c r="H3079" s="111">
        <v>9.17</v>
      </c>
      <c r="I3079" s="110">
        <v>25.01</v>
      </c>
      <c r="J3079" s="110">
        <v>229.34</v>
      </c>
    </row>
    <row r="3080" spans="1:10" ht="24" customHeight="1" x14ac:dyDescent="0.2">
      <c r="A3080" s="113" t="s">
        <v>1859</v>
      </c>
      <c r="B3080" s="114" t="s">
        <v>2036</v>
      </c>
      <c r="C3080" s="113" t="s">
        <v>25</v>
      </c>
      <c r="D3080" s="113" t="s">
        <v>2035</v>
      </c>
      <c r="E3080" s="139" t="s">
        <v>1369</v>
      </c>
      <c r="F3080" s="139"/>
      <c r="G3080" s="112" t="s">
        <v>1303</v>
      </c>
      <c r="H3080" s="111">
        <v>7.5439999999999996</v>
      </c>
      <c r="I3080" s="110">
        <v>10.27</v>
      </c>
      <c r="J3080" s="110">
        <v>77.48</v>
      </c>
    </row>
    <row r="3081" spans="1:10" ht="24" customHeight="1" x14ac:dyDescent="0.2">
      <c r="A3081" s="113" t="s">
        <v>1859</v>
      </c>
      <c r="B3081" s="114" t="s">
        <v>1931</v>
      </c>
      <c r="C3081" s="113" t="s">
        <v>25</v>
      </c>
      <c r="D3081" s="113" t="s">
        <v>1930</v>
      </c>
      <c r="E3081" s="139" t="s">
        <v>1369</v>
      </c>
      <c r="F3081" s="139"/>
      <c r="G3081" s="112" t="s">
        <v>1303</v>
      </c>
      <c r="H3081" s="111">
        <v>0.115</v>
      </c>
      <c r="I3081" s="110">
        <v>24</v>
      </c>
      <c r="J3081" s="110">
        <v>2.76</v>
      </c>
    </row>
    <row r="3082" spans="1:10" x14ac:dyDescent="0.2">
      <c r="A3082" s="109"/>
      <c r="B3082" s="109"/>
      <c r="C3082" s="109"/>
      <c r="D3082" s="109"/>
      <c r="E3082" s="109" t="s">
        <v>1858</v>
      </c>
      <c r="F3082" s="108">
        <v>207.08</v>
      </c>
      <c r="G3082" s="109" t="s">
        <v>1857</v>
      </c>
      <c r="H3082" s="108">
        <v>0.01</v>
      </c>
      <c r="I3082" s="109" t="s">
        <v>1856</v>
      </c>
      <c r="J3082" s="108">
        <v>207.09</v>
      </c>
    </row>
    <row r="3083" spans="1:10" ht="13.9" customHeight="1" x14ac:dyDescent="0.2">
      <c r="A3083" s="109"/>
      <c r="B3083" s="109"/>
      <c r="C3083" s="109"/>
      <c r="D3083" s="109"/>
      <c r="E3083" s="109" t="s">
        <v>1855</v>
      </c>
      <c r="F3083" s="108">
        <v>161.00185500000001</v>
      </c>
      <c r="G3083" s="109"/>
      <c r="H3083" s="140" t="s">
        <v>1854</v>
      </c>
      <c r="I3083" s="140"/>
      <c r="J3083" s="108">
        <v>767.41</v>
      </c>
    </row>
    <row r="3084" spans="1:10" ht="30" customHeight="1" thickBot="1" x14ac:dyDescent="0.25">
      <c r="A3084" s="100"/>
      <c r="B3084" s="100"/>
      <c r="C3084" s="100"/>
      <c r="D3084" s="100"/>
      <c r="E3084" s="100"/>
      <c r="F3084" s="100"/>
      <c r="G3084" s="100" t="s">
        <v>1853</v>
      </c>
      <c r="H3084" s="107">
        <v>51.25</v>
      </c>
      <c r="I3084" s="100" t="s">
        <v>1852</v>
      </c>
      <c r="J3084" s="102">
        <v>39329.760000000002</v>
      </c>
    </row>
    <row r="3085" spans="1:10" ht="1.1499999999999999" customHeight="1" thickTop="1" x14ac:dyDescent="0.2">
      <c r="A3085" s="106"/>
      <c r="B3085" s="106"/>
      <c r="C3085" s="106"/>
      <c r="D3085" s="106"/>
      <c r="E3085" s="106"/>
      <c r="F3085" s="106"/>
      <c r="G3085" s="106"/>
      <c r="H3085" s="106"/>
      <c r="I3085" s="106"/>
      <c r="J3085" s="106"/>
    </row>
    <row r="3086" spans="1:10" ht="18" customHeight="1" x14ac:dyDescent="0.2">
      <c r="A3086" s="117" t="s">
        <v>1241</v>
      </c>
      <c r="B3086" s="126" t="s">
        <v>5</v>
      </c>
      <c r="C3086" s="117" t="s">
        <v>6</v>
      </c>
      <c r="D3086" s="117" t="s">
        <v>7</v>
      </c>
      <c r="E3086" s="136" t="s">
        <v>1113</v>
      </c>
      <c r="F3086" s="136"/>
      <c r="G3086" s="7" t="s">
        <v>8</v>
      </c>
      <c r="H3086" s="126" t="s">
        <v>9</v>
      </c>
      <c r="I3086" s="126" t="s">
        <v>10</v>
      </c>
      <c r="J3086" s="126" t="s">
        <v>12</v>
      </c>
    </row>
    <row r="3087" spans="1:10" ht="48" customHeight="1" x14ac:dyDescent="0.2">
      <c r="A3087" s="116" t="s">
        <v>1861</v>
      </c>
      <c r="B3087" s="1" t="s">
        <v>1209</v>
      </c>
      <c r="C3087" s="116" t="s">
        <v>25</v>
      </c>
      <c r="D3087" s="116" t="s">
        <v>1208</v>
      </c>
      <c r="E3087" s="137" t="s">
        <v>1424</v>
      </c>
      <c r="F3087" s="137"/>
      <c r="G3087" s="2" t="s">
        <v>22</v>
      </c>
      <c r="H3087" s="115">
        <v>1</v>
      </c>
      <c r="I3087" s="61">
        <v>39.08</v>
      </c>
      <c r="J3087" s="61">
        <v>39.08</v>
      </c>
    </row>
    <row r="3088" spans="1:10" ht="24" customHeight="1" x14ac:dyDescent="0.2">
      <c r="A3088" s="121" t="s">
        <v>1888</v>
      </c>
      <c r="B3088" s="122" t="s">
        <v>1919</v>
      </c>
      <c r="C3088" s="121" t="s">
        <v>25</v>
      </c>
      <c r="D3088" s="121" t="s">
        <v>1918</v>
      </c>
      <c r="E3088" s="138" t="s">
        <v>1902</v>
      </c>
      <c r="F3088" s="138"/>
      <c r="G3088" s="120" t="s">
        <v>61</v>
      </c>
      <c r="H3088" s="119">
        <v>1.3559000000000001</v>
      </c>
      <c r="I3088" s="118">
        <v>22.61</v>
      </c>
      <c r="J3088" s="118">
        <v>30.66</v>
      </c>
    </row>
    <row r="3089" spans="1:10" ht="24" customHeight="1" x14ac:dyDescent="0.2">
      <c r="A3089" s="113" t="s">
        <v>1859</v>
      </c>
      <c r="B3089" s="114" t="s">
        <v>1917</v>
      </c>
      <c r="C3089" s="113" t="s">
        <v>25</v>
      </c>
      <c r="D3089" s="113" t="s">
        <v>1916</v>
      </c>
      <c r="E3089" s="139" t="s">
        <v>1369</v>
      </c>
      <c r="F3089" s="139"/>
      <c r="G3089" s="112" t="s">
        <v>1562</v>
      </c>
      <c r="H3089" s="111">
        <v>2.5499999999999998E-2</v>
      </c>
      <c r="I3089" s="110">
        <v>17</v>
      </c>
      <c r="J3089" s="110">
        <v>0.43</v>
      </c>
    </row>
    <row r="3090" spans="1:10" ht="24" customHeight="1" x14ac:dyDescent="0.2">
      <c r="A3090" s="113" t="s">
        <v>1859</v>
      </c>
      <c r="B3090" s="114" t="s">
        <v>1915</v>
      </c>
      <c r="C3090" s="113" t="s">
        <v>25</v>
      </c>
      <c r="D3090" s="113" t="s">
        <v>1914</v>
      </c>
      <c r="E3090" s="139" t="s">
        <v>1369</v>
      </c>
      <c r="F3090" s="139"/>
      <c r="G3090" s="112" t="s">
        <v>1562</v>
      </c>
      <c r="H3090" s="111">
        <v>0.25490000000000002</v>
      </c>
      <c r="I3090" s="110">
        <v>31.35</v>
      </c>
      <c r="J3090" s="110">
        <v>7.99</v>
      </c>
    </row>
    <row r="3091" spans="1:10" x14ac:dyDescent="0.2">
      <c r="A3091" s="109"/>
      <c r="B3091" s="109"/>
      <c r="C3091" s="109"/>
      <c r="D3091" s="109"/>
      <c r="E3091" s="109" t="s">
        <v>1858</v>
      </c>
      <c r="F3091" s="108">
        <v>21.56</v>
      </c>
      <c r="G3091" s="109" t="s">
        <v>1857</v>
      </c>
      <c r="H3091" s="108">
        <v>0</v>
      </c>
      <c r="I3091" s="109" t="s">
        <v>1856</v>
      </c>
      <c r="J3091" s="108">
        <v>21.56</v>
      </c>
    </row>
    <row r="3092" spans="1:10" ht="13.9" customHeight="1" x14ac:dyDescent="0.2">
      <c r="A3092" s="109"/>
      <c r="B3092" s="109"/>
      <c r="C3092" s="109"/>
      <c r="D3092" s="109"/>
      <c r="E3092" s="109" t="s">
        <v>1855</v>
      </c>
      <c r="F3092" s="108">
        <v>10.37574</v>
      </c>
      <c r="G3092" s="109"/>
      <c r="H3092" s="140" t="s">
        <v>1854</v>
      </c>
      <c r="I3092" s="140"/>
      <c r="J3092" s="108">
        <v>49.46</v>
      </c>
    </row>
    <row r="3093" spans="1:10" ht="30" customHeight="1" thickBot="1" x14ac:dyDescent="0.25">
      <c r="A3093" s="100"/>
      <c r="B3093" s="100"/>
      <c r="C3093" s="100"/>
      <c r="D3093" s="100"/>
      <c r="E3093" s="100"/>
      <c r="F3093" s="100"/>
      <c r="G3093" s="100" t="s">
        <v>1853</v>
      </c>
      <c r="H3093" s="107">
        <v>51.25</v>
      </c>
      <c r="I3093" s="100" t="s">
        <v>1852</v>
      </c>
      <c r="J3093" s="102">
        <v>2534.83</v>
      </c>
    </row>
    <row r="3094" spans="1:10" ht="1.1499999999999999" customHeight="1" thickTop="1" x14ac:dyDescent="0.2">
      <c r="A3094" s="106"/>
      <c r="B3094" s="106"/>
      <c r="C3094" s="106"/>
      <c r="D3094" s="106"/>
      <c r="E3094" s="106"/>
      <c r="F3094" s="106"/>
      <c r="G3094" s="106"/>
      <c r="H3094" s="106"/>
      <c r="I3094" s="106"/>
      <c r="J3094" s="106"/>
    </row>
    <row r="3095" spans="1:10" ht="24" customHeight="1" x14ac:dyDescent="0.2">
      <c r="A3095" s="123" t="s">
        <v>725</v>
      </c>
      <c r="B3095" s="123"/>
      <c r="C3095" s="123"/>
      <c r="D3095" s="123" t="s">
        <v>726</v>
      </c>
      <c r="E3095" s="123"/>
      <c r="F3095" s="142"/>
      <c r="G3095" s="142"/>
      <c r="H3095" s="3"/>
      <c r="I3095" s="123"/>
      <c r="J3095" s="63">
        <v>58302.35</v>
      </c>
    </row>
    <row r="3096" spans="1:10" ht="24" customHeight="1" x14ac:dyDescent="0.2">
      <c r="A3096" s="123" t="s">
        <v>727</v>
      </c>
      <c r="B3096" s="123"/>
      <c r="C3096" s="123"/>
      <c r="D3096" s="123" t="s">
        <v>728</v>
      </c>
      <c r="E3096" s="123"/>
      <c r="F3096" s="142"/>
      <c r="G3096" s="142"/>
      <c r="H3096" s="3"/>
      <c r="I3096" s="123"/>
      <c r="J3096" s="63">
        <v>58302.35</v>
      </c>
    </row>
    <row r="3097" spans="1:10" ht="18" customHeight="1" x14ac:dyDescent="0.2">
      <c r="A3097" s="117" t="s">
        <v>729</v>
      </c>
      <c r="B3097" s="126" t="s">
        <v>5</v>
      </c>
      <c r="C3097" s="117" t="s">
        <v>6</v>
      </c>
      <c r="D3097" s="117" t="s">
        <v>7</v>
      </c>
      <c r="E3097" s="136" t="s">
        <v>1113</v>
      </c>
      <c r="F3097" s="136"/>
      <c r="G3097" s="7" t="s">
        <v>8</v>
      </c>
      <c r="H3097" s="126" t="s">
        <v>9</v>
      </c>
      <c r="I3097" s="126" t="s">
        <v>10</v>
      </c>
      <c r="J3097" s="126" t="s">
        <v>12</v>
      </c>
    </row>
    <row r="3098" spans="1:10" ht="24" customHeight="1" x14ac:dyDescent="0.2">
      <c r="A3098" s="116" t="s">
        <v>1861</v>
      </c>
      <c r="B3098" s="1" t="s">
        <v>1240</v>
      </c>
      <c r="C3098" s="116" t="s">
        <v>20</v>
      </c>
      <c r="D3098" s="116" t="s">
        <v>1239</v>
      </c>
      <c r="E3098" s="137">
        <v>21</v>
      </c>
      <c r="F3098" s="137"/>
      <c r="G3098" s="2" t="s">
        <v>22</v>
      </c>
      <c r="H3098" s="115">
        <v>1</v>
      </c>
      <c r="I3098" s="61">
        <v>59.22</v>
      </c>
      <c r="J3098" s="61">
        <v>59.22</v>
      </c>
    </row>
    <row r="3099" spans="1:10" ht="24" customHeight="1" x14ac:dyDescent="0.2">
      <c r="A3099" s="113" t="s">
        <v>1859</v>
      </c>
      <c r="B3099" s="114" t="s">
        <v>2034</v>
      </c>
      <c r="C3099" s="113" t="s">
        <v>20</v>
      </c>
      <c r="D3099" s="113" t="s">
        <v>2033</v>
      </c>
      <c r="E3099" s="139" t="s">
        <v>1369</v>
      </c>
      <c r="F3099" s="139"/>
      <c r="G3099" s="112" t="s">
        <v>96</v>
      </c>
      <c r="H3099" s="111">
        <v>4.2599999999999999E-2</v>
      </c>
      <c r="I3099" s="110">
        <v>26.28</v>
      </c>
      <c r="J3099" s="110">
        <v>1.1200000000000001</v>
      </c>
    </row>
    <row r="3100" spans="1:10" ht="24" customHeight="1" x14ac:dyDescent="0.2">
      <c r="A3100" s="113" t="s">
        <v>1859</v>
      </c>
      <c r="B3100" s="114" t="s">
        <v>2032</v>
      </c>
      <c r="C3100" s="113" t="s">
        <v>20</v>
      </c>
      <c r="D3100" s="113" t="s">
        <v>2031</v>
      </c>
      <c r="E3100" s="139" t="s">
        <v>1369</v>
      </c>
      <c r="F3100" s="139"/>
      <c r="G3100" s="112" t="s">
        <v>22</v>
      </c>
      <c r="H3100" s="111">
        <v>1.1000000000000001</v>
      </c>
      <c r="I3100" s="110">
        <v>15.16</v>
      </c>
      <c r="J3100" s="110">
        <v>16.68</v>
      </c>
    </row>
    <row r="3101" spans="1:10" ht="24" customHeight="1" x14ac:dyDescent="0.2">
      <c r="A3101" s="113" t="s">
        <v>1859</v>
      </c>
      <c r="B3101" s="114" t="s">
        <v>2030</v>
      </c>
      <c r="C3101" s="113" t="s">
        <v>20</v>
      </c>
      <c r="D3101" s="113" t="s">
        <v>2029</v>
      </c>
      <c r="E3101" s="139" t="s">
        <v>1369</v>
      </c>
      <c r="F3101" s="139"/>
      <c r="G3101" s="112" t="s">
        <v>213</v>
      </c>
      <c r="H3101" s="111">
        <v>1.4395</v>
      </c>
      <c r="I3101" s="110">
        <v>2.2400000000000002</v>
      </c>
      <c r="J3101" s="110">
        <v>3.22</v>
      </c>
    </row>
    <row r="3102" spans="1:10" ht="24" customHeight="1" x14ac:dyDescent="0.2">
      <c r="A3102" s="113" t="s">
        <v>1859</v>
      </c>
      <c r="B3102" s="114" t="s">
        <v>2028</v>
      </c>
      <c r="C3102" s="113" t="s">
        <v>20</v>
      </c>
      <c r="D3102" s="113" t="s">
        <v>2027</v>
      </c>
      <c r="E3102" s="139" t="s">
        <v>1369</v>
      </c>
      <c r="F3102" s="139"/>
      <c r="G3102" s="112" t="s">
        <v>246</v>
      </c>
      <c r="H3102" s="111">
        <v>1.32</v>
      </c>
      <c r="I3102" s="110">
        <v>0.31</v>
      </c>
      <c r="J3102" s="110">
        <v>0.41</v>
      </c>
    </row>
    <row r="3103" spans="1:10" ht="24" customHeight="1" x14ac:dyDescent="0.2">
      <c r="A3103" s="113" t="s">
        <v>1859</v>
      </c>
      <c r="B3103" s="114" t="s">
        <v>2026</v>
      </c>
      <c r="C3103" s="113" t="s">
        <v>20</v>
      </c>
      <c r="D3103" s="113" t="s">
        <v>2025</v>
      </c>
      <c r="E3103" s="139" t="s">
        <v>1369</v>
      </c>
      <c r="F3103" s="139"/>
      <c r="G3103" s="112" t="s">
        <v>213</v>
      </c>
      <c r="H3103" s="111">
        <v>3.851</v>
      </c>
      <c r="I3103" s="110">
        <v>6</v>
      </c>
      <c r="J3103" s="110">
        <v>23.11</v>
      </c>
    </row>
    <row r="3104" spans="1:10" ht="24" customHeight="1" x14ac:dyDescent="0.2">
      <c r="A3104" s="113" t="s">
        <v>1859</v>
      </c>
      <c r="B3104" s="114" t="s">
        <v>2024</v>
      </c>
      <c r="C3104" s="113" t="s">
        <v>20</v>
      </c>
      <c r="D3104" s="113" t="s">
        <v>2023</v>
      </c>
      <c r="E3104" s="139" t="s">
        <v>1369</v>
      </c>
      <c r="F3104" s="139"/>
      <c r="G3104" s="112" t="s">
        <v>246</v>
      </c>
      <c r="H3104" s="111">
        <v>2.1911999999999998</v>
      </c>
      <c r="I3104" s="110">
        <v>0.18</v>
      </c>
      <c r="J3104" s="110">
        <v>0.39</v>
      </c>
    </row>
    <row r="3105" spans="1:10" ht="24" customHeight="1" x14ac:dyDescent="0.2">
      <c r="A3105" s="113" t="s">
        <v>1859</v>
      </c>
      <c r="B3105" s="114" t="s">
        <v>2022</v>
      </c>
      <c r="C3105" s="113" t="s">
        <v>20</v>
      </c>
      <c r="D3105" s="113" t="s">
        <v>2021</v>
      </c>
      <c r="E3105" s="139" t="s">
        <v>1369</v>
      </c>
      <c r="F3105" s="139"/>
      <c r="G3105" s="112" t="s">
        <v>246</v>
      </c>
      <c r="H3105" s="111">
        <v>1.3265</v>
      </c>
      <c r="I3105" s="110">
        <v>1.46</v>
      </c>
      <c r="J3105" s="110">
        <v>1.94</v>
      </c>
    </row>
    <row r="3106" spans="1:10" ht="24" customHeight="1" x14ac:dyDescent="0.2">
      <c r="A3106" s="113" t="s">
        <v>1859</v>
      </c>
      <c r="B3106" s="114" t="s">
        <v>2020</v>
      </c>
      <c r="C3106" s="113" t="s">
        <v>20</v>
      </c>
      <c r="D3106" s="113" t="s">
        <v>2019</v>
      </c>
      <c r="E3106" s="139" t="s">
        <v>1369</v>
      </c>
      <c r="F3106" s="139"/>
      <c r="G3106" s="112" t="s">
        <v>96</v>
      </c>
      <c r="H3106" s="111">
        <v>0.5202</v>
      </c>
      <c r="I3106" s="110">
        <v>3.98</v>
      </c>
      <c r="J3106" s="110">
        <v>2.0699999999999998</v>
      </c>
    </row>
    <row r="3107" spans="1:10" ht="24" customHeight="1" x14ac:dyDescent="0.2">
      <c r="A3107" s="113" t="s">
        <v>1859</v>
      </c>
      <c r="B3107" s="114" t="s">
        <v>2018</v>
      </c>
      <c r="C3107" s="113" t="s">
        <v>20</v>
      </c>
      <c r="D3107" s="113" t="s">
        <v>2017</v>
      </c>
      <c r="E3107" s="139" t="s">
        <v>1369</v>
      </c>
      <c r="F3107" s="139"/>
      <c r="G3107" s="112" t="s">
        <v>246</v>
      </c>
      <c r="H3107" s="111">
        <v>7.9740000000000002</v>
      </c>
      <c r="I3107" s="110">
        <v>0.08</v>
      </c>
      <c r="J3107" s="110">
        <v>0.64</v>
      </c>
    </row>
    <row r="3108" spans="1:10" ht="24" customHeight="1" x14ac:dyDescent="0.2">
      <c r="A3108" s="113" t="s">
        <v>1859</v>
      </c>
      <c r="B3108" s="114" t="s">
        <v>1872</v>
      </c>
      <c r="C3108" s="113" t="s">
        <v>20</v>
      </c>
      <c r="D3108" s="113" t="s">
        <v>1871</v>
      </c>
      <c r="E3108" s="139" t="s">
        <v>1860</v>
      </c>
      <c r="F3108" s="139"/>
      <c r="G3108" s="112" t="s">
        <v>1864</v>
      </c>
      <c r="H3108" s="111">
        <v>0.36280000000000001</v>
      </c>
      <c r="I3108" s="110">
        <v>10.62</v>
      </c>
      <c r="J3108" s="110">
        <v>3.85</v>
      </c>
    </row>
    <row r="3109" spans="1:10" ht="24" customHeight="1" x14ac:dyDescent="0.2">
      <c r="A3109" s="113" t="s">
        <v>1859</v>
      </c>
      <c r="B3109" s="114" t="s">
        <v>2016</v>
      </c>
      <c r="C3109" s="113" t="s">
        <v>20</v>
      </c>
      <c r="D3109" s="113" t="s">
        <v>2015</v>
      </c>
      <c r="E3109" s="139" t="s">
        <v>1860</v>
      </c>
      <c r="F3109" s="139"/>
      <c r="G3109" s="112" t="s">
        <v>1864</v>
      </c>
      <c r="H3109" s="111">
        <v>0.36280000000000001</v>
      </c>
      <c r="I3109" s="110">
        <v>15.97</v>
      </c>
      <c r="J3109" s="110">
        <v>5.79</v>
      </c>
    </row>
    <row r="3110" spans="1:10" x14ac:dyDescent="0.2">
      <c r="A3110" s="109"/>
      <c r="B3110" s="109"/>
      <c r="C3110" s="109"/>
      <c r="D3110" s="109"/>
      <c r="E3110" s="109" t="s">
        <v>1858</v>
      </c>
      <c r="F3110" s="108">
        <v>9.64</v>
      </c>
      <c r="G3110" s="109" t="s">
        <v>1857</v>
      </c>
      <c r="H3110" s="108">
        <v>0</v>
      </c>
      <c r="I3110" s="109" t="s">
        <v>1856</v>
      </c>
      <c r="J3110" s="108">
        <v>9.64</v>
      </c>
    </row>
    <row r="3111" spans="1:10" ht="13.9" customHeight="1" x14ac:dyDescent="0.2">
      <c r="A3111" s="109"/>
      <c r="B3111" s="109"/>
      <c r="C3111" s="109"/>
      <c r="D3111" s="109"/>
      <c r="E3111" s="109" t="s">
        <v>1855</v>
      </c>
      <c r="F3111" s="108">
        <v>15.722910000000001</v>
      </c>
      <c r="G3111" s="109"/>
      <c r="H3111" s="140" t="s">
        <v>1854</v>
      </c>
      <c r="I3111" s="140"/>
      <c r="J3111" s="108">
        <v>74.94</v>
      </c>
    </row>
    <row r="3112" spans="1:10" ht="30" customHeight="1" thickBot="1" x14ac:dyDescent="0.25">
      <c r="A3112" s="100"/>
      <c r="B3112" s="100"/>
      <c r="C3112" s="100"/>
      <c r="D3112" s="100"/>
      <c r="E3112" s="100"/>
      <c r="F3112" s="100"/>
      <c r="G3112" s="100" t="s">
        <v>1853</v>
      </c>
      <c r="H3112" s="107">
        <v>568.65</v>
      </c>
      <c r="I3112" s="100" t="s">
        <v>1852</v>
      </c>
      <c r="J3112" s="102">
        <v>42614.63</v>
      </c>
    </row>
    <row r="3113" spans="1:10" ht="1.1499999999999999" customHeight="1" thickTop="1" x14ac:dyDescent="0.2">
      <c r="A3113" s="106"/>
      <c r="B3113" s="106"/>
      <c r="C3113" s="106"/>
      <c r="D3113" s="106"/>
      <c r="E3113" s="106"/>
      <c r="F3113" s="106"/>
      <c r="G3113" s="106"/>
      <c r="H3113" s="106"/>
      <c r="I3113" s="106"/>
      <c r="J3113" s="106"/>
    </row>
    <row r="3114" spans="1:10" ht="18" customHeight="1" x14ac:dyDescent="0.2">
      <c r="A3114" s="117" t="s">
        <v>730</v>
      </c>
      <c r="B3114" s="126" t="s">
        <v>5</v>
      </c>
      <c r="C3114" s="117" t="s">
        <v>6</v>
      </c>
      <c r="D3114" s="117" t="s">
        <v>7</v>
      </c>
      <c r="E3114" s="136" t="s">
        <v>1113</v>
      </c>
      <c r="F3114" s="136"/>
      <c r="G3114" s="7" t="s">
        <v>8</v>
      </c>
      <c r="H3114" s="126" t="s">
        <v>9</v>
      </c>
      <c r="I3114" s="126" t="s">
        <v>10</v>
      </c>
      <c r="J3114" s="126" t="s">
        <v>12</v>
      </c>
    </row>
    <row r="3115" spans="1:10" ht="24" customHeight="1" x14ac:dyDescent="0.2">
      <c r="A3115" s="116" t="s">
        <v>1861</v>
      </c>
      <c r="B3115" s="1" t="s">
        <v>1238</v>
      </c>
      <c r="C3115" s="116" t="s">
        <v>20</v>
      </c>
      <c r="D3115" s="116" t="s">
        <v>1237</v>
      </c>
      <c r="E3115" s="137">
        <v>21</v>
      </c>
      <c r="F3115" s="137"/>
      <c r="G3115" s="2" t="s">
        <v>213</v>
      </c>
      <c r="H3115" s="115">
        <v>1</v>
      </c>
      <c r="I3115" s="61">
        <v>18.670000000000002</v>
      </c>
      <c r="J3115" s="61">
        <v>18.670000000000002</v>
      </c>
    </row>
    <row r="3116" spans="1:10" ht="24" customHeight="1" x14ac:dyDescent="0.2">
      <c r="A3116" s="113" t="s">
        <v>1859</v>
      </c>
      <c r="B3116" s="114" t="s">
        <v>2014</v>
      </c>
      <c r="C3116" s="113" t="s">
        <v>20</v>
      </c>
      <c r="D3116" s="113" t="s">
        <v>2013</v>
      </c>
      <c r="E3116" s="139" t="s">
        <v>1369</v>
      </c>
      <c r="F3116" s="139"/>
      <c r="G3116" s="112" t="s">
        <v>213</v>
      </c>
      <c r="H3116" s="111">
        <v>1</v>
      </c>
      <c r="I3116" s="110">
        <v>18.670000000000002</v>
      </c>
      <c r="J3116" s="110">
        <v>18.670000000000002</v>
      </c>
    </row>
    <row r="3117" spans="1:10" x14ac:dyDescent="0.2">
      <c r="A3117" s="109"/>
      <c r="B3117" s="109"/>
      <c r="C3117" s="109"/>
      <c r="D3117" s="109"/>
      <c r="E3117" s="109" t="s">
        <v>1858</v>
      </c>
      <c r="F3117" s="108">
        <v>0</v>
      </c>
      <c r="G3117" s="109" t="s">
        <v>1857</v>
      </c>
      <c r="H3117" s="108">
        <v>0</v>
      </c>
      <c r="I3117" s="109" t="s">
        <v>1856</v>
      </c>
      <c r="J3117" s="108">
        <v>0</v>
      </c>
    </row>
    <row r="3118" spans="1:10" ht="13.9" customHeight="1" x14ac:dyDescent="0.2">
      <c r="A3118" s="109"/>
      <c r="B3118" s="109"/>
      <c r="C3118" s="109"/>
      <c r="D3118" s="109"/>
      <c r="E3118" s="109" t="s">
        <v>1855</v>
      </c>
      <c r="F3118" s="108">
        <v>4.9568849999999998</v>
      </c>
      <c r="G3118" s="109"/>
      <c r="H3118" s="140" t="s">
        <v>1854</v>
      </c>
      <c r="I3118" s="140"/>
      <c r="J3118" s="108">
        <v>23.63</v>
      </c>
    </row>
    <row r="3119" spans="1:10" ht="30" customHeight="1" thickBot="1" x14ac:dyDescent="0.25">
      <c r="A3119" s="100"/>
      <c r="B3119" s="100"/>
      <c r="C3119" s="100"/>
      <c r="D3119" s="100"/>
      <c r="E3119" s="100"/>
      <c r="F3119" s="100"/>
      <c r="G3119" s="100" t="s">
        <v>1853</v>
      </c>
      <c r="H3119" s="107">
        <v>663.89</v>
      </c>
      <c r="I3119" s="100" t="s">
        <v>1852</v>
      </c>
      <c r="J3119" s="102">
        <v>15687.72</v>
      </c>
    </row>
    <row r="3120" spans="1:10" ht="1.1499999999999999" customHeight="1" thickTop="1" x14ac:dyDescent="0.2">
      <c r="A3120" s="106"/>
      <c r="B3120" s="106"/>
      <c r="C3120" s="106"/>
      <c r="D3120" s="106"/>
      <c r="E3120" s="106"/>
      <c r="F3120" s="106"/>
      <c r="G3120" s="106"/>
      <c r="H3120" s="106"/>
      <c r="I3120" s="106"/>
      <c r="J3120" s="106"/>
    </row>
    <row r="3121" spans="1:10" ht="24" customHeight="1" x14ac:dyDescent="0.2">
      <c r="A3121" s="123" t="s">
        <v>731</v>
      </c>
      <c r="B3121" s="123"/>
      <c r="C3121" s="123"/>
      <c r="D3121" s="123" t="s">
        <v>1236</v>
      </c>
      <c r="E3121" s="123"/>
      <c r="F3121" s="142"/>
      <c r="G3121" s="142"/>
      <c r="H3121" s="3"/>
      <c r="I3121" s="123"/>
      <c r="J3121" s="63">
        <v>1942.82</v>
      </c>
    </row>
    <row r="3122" spans="1:10" ht="18" customHeight="1" x14ac:dyDescent="0.2">
      <c r="A3122" s="117" t="s">
        <v>733</v>
      </c>
      <c r="B3122" s="126" t="s">
        <v>5</v>
      </c>
      <c r="C3122" s="117" t="s">
        <v>6</v>
      </c>
      <c r="D3122" s="117" t="s">
        <v>7</v>
      </c>
      <c r="E3122" s="136" t="s">
        <v>1113</v>
      </c>
      <c r="F3122" s="136"/>
      <c r="G3122" s="7" t="s">
        <v>8</v>
      </c>
      <c r="H3122" s="126" t="s">
        <v>9</v>
      </c>
      <c r="I3122" s="126" t="s">
        <v>10</v>
      </c>
      <c r="J3122" s="126" t="s">
        <v>12</v>
      </c>
    </row>
    <row r="3123" spans="1:10" ht="24" customHeight="1" x14ac:dyDescent="0.2">
      <c r="A3123" s="116" t="s">
        <v>1861</v>
      </c>
      <c r="B3123" s="1" t="s">
        <v>1235</v>
      </c>
      <c r="C3123" s="116" t="s">
        <v>20</v>
      </c>
      <c r="D3123" s="116" t="s">
        <v>1234</v>
      </c>
      <c r="E3123" s="137">
        <v>10</v>
      </c>
      <c r="F3123" s="137"/>
      <c r="G3123" s="2" t="s">
        <v>22</v>
      </c>
      <c r="H3123" s="115">
        <v>1</v>
      </c>
      <c r="I3123" s="61">
        <v>85.09</v>
      </c>
      <c r="J3123" s="61">
        <v>85.09</v>
      </c>
    </row>
    <row r="3124" spans="1:10" ht="24" customHeight="1" x14ac:dyDescent="0.2">
      <c r="A3124" s="113" t="s">
        <v>1859</v>
      </c>
      <c r="B3124" s="114" t="s">
        <v>1899</v>
      </c>
      <c r="C3124" s="113" t="s">
        <v>20</v>
      </c>
      <c r="D3124" s="113" t="s">
        <v>1898</v>
      </c>
      <c r="E3124" s="139" t="s">
        <v>1369</v>
      </c>
      <c r="F3124" s="139"/>
      <c r="G3124" s="112" t="s">
        <v>49</v>
      </c>
      <c r="H3124" s="111">
        <v>3.04E-2</v>
      </c>
      <c r="I3124" s="110">
        <v>162.78</v>
      </c>
      <c r="J3124" s="110">
        <v>4.95</v>
      </c>
    </row>
    <row r="3125" spans="1:10" ht="24" customHeight="1" x14ac:dyDescent="0.2">
      <c r="A3125" s="113" t="s">
        <v>1859</v>
      </c>
      <c r="B3125" s="114" t="s">
        <v>2008</v>
      </c>
      <c r="C3125" s="113" t="s">
        <v>20</v>
      </c>
      <c r="D3125" s="113" t="s">
        <v>2007</v>
      </c>
      <c r="E3125" s="139" t="s">
        <v>1369</v>
      </c>
      <c r="F3125" s="139"/>
      <c r="G3125" s="112" t="s">
        <v>96</v>
      </c>
      <c r="H3125" s="111">
        <v>4.55</v>
      </c>
      <c r="I3125" s="110">
        <v>0.75</v>
      </c>
      <c r="J3125" s="110">
        <v>3.41</v>
      </c>
    </row>
    <row r="3126" spans="1:10" ht="24" customHeight="1" x14ac:dyDescent="0.2">
      <c r="A3126" s="113" t="s">
        <v>1859</v>
      </c>
      <c r="B3126" s="114" t="s">
        <v>1897</v>
      </c>
      <c r="C3126" s="113" t="s">
        <v>20</v>
      </c>
      <c r="D3126" s="113" t="s">
        <v>1896</v>
      </c>
      <c r="E3126" s="139" t="s">
        <v>1369</v>
      </c>
      <c r="F3126" s="139"/>
      <c r="G3126" s="112" t="s">
        <v>96</v>
      </c>
      <c r="H3126" s="111">
        <v>4.55</v>
      </c>
      <c r="I3126" s="110">
        <v>0.6</v>
      </c>
      <c r="J3126" s="110">
        <v>2.73</v>
      </c>
    </row>
    <row r="3127" spans="1:10" ht="24" customHeight="1" x14ac:dyDescent="0.2">
      <c r="A3127" s="113" t="s">
        <v>1859</v>
      </c>
      <c r="B3127" s="114" t="s">
        <v>2012</v>
      </c>
      <c r="C3127" s="113" t="s">
        <v>20</v>
      </c>
      <c r="D3127" s="113" t="s">
        <v>2011</v>
      </c>
      <c r="E3127" s="139" t="s">
        <v>1369</v>
      </c>
      <c r="F3127" s="139"/>
      <c r="G3127" s="112" t="s">
        <v>246</v>
      </c>
      <c r="H3127" s="111">
        <v>84</v>
      </c>
      <c r="I3127" s="110">
        <v>0.52</v>
      </c>
      <c r="J3127" s="110">
        <v>43.68</v>
      </c>
    </row>
    <row r="3128" spans="1:10" ht="24" customHeight="1" x14ac:dyDescent="0.2">
      <c r="A3128" s="113" t="s">
        <v>1859</v>
      </c>
      <c r="B3128" s="114" t="s">
        <v>1866</v>
      </c>
      <c r="C3128" s="113" t="s">
        <v>20</v>
      </c>
      <c r="D3128" s="113" t="s">
        <v>1865</v>
      </c>
      <c r="E3128" s="139" t="s">
        <v>1860</v>
      </c>
      <c r="F3128" s="139"/>
      <c r="G3128" s="112" t="s">
        <v>1864</v>
      </c>
      <c r="H3128" s="111">
        <v>1.0951</v>
      </c>
      <c r="I3128" s="110">
        <v>15.97</v>
      </c>
      <c r="J3128" s="110">
        <v>17.489999999999998</v>
      </c>
    </row>
    <row r="3129" spans="1:10" ht="24" customHeight="1" x14ac:dyDescent="0.2">
      <c r="A3129" s="113" t="s">
        <v>1859</v>
      </c>
      <c r="B3129" s="114" t="s">
        <v>1872</v>
      </c>
      <c r="C3129" s="113" t="s">
        <v>20</v>
      </c>
      <c r="D3129" s="113" t="s">
        <v>1871</v>
      </c>
      <c r="E3129" s="139" t="s">
        <v>1860</v>
      </c>
      <c r="F3129" s="139"/>
      <c r="G3129" s="112" t="s">
        <v>1864</v>
      </c>
      <c r="H3129" s="111">
        <v>1.2084999999999999</v>
      </c>
      <c r="I3129" s="110">
        <v>10.62</v>
      </c>
      <c r="J3129" s="110">
        <v>12.83</v>
      </c>
    </row>
    <row r="3130" spans="1:10" x14ac:dyDescent="0.2">
      <c r="A3130" s="109"/>
      <c r="B3130" s="109"/>
      <c r="C3130" s="109"/>
      <c r="D3130" s="109"/>
      <c r="E3130" s="109" t="s">
        <v>1858</v>
      </c>
      <c r="F3130" s="108">
        <v>30.32</v>
      </c>
      <c r="G3130" s="109" t="s">
        <v>1857</v>
      </c>
      <c r="H3130" s="108">
        <v>0</v>
      </c>
      <c r="I3130" s="109" t="s">
        <v>1856</v>
      </c>
      <c r="J3130" s="108">
        <v>30.32</v>
      </c>
    </row>
    <row r="3131" spans="1:10" ht="13.9" customHeight="1" x14ac:dyDescent="0.2">
      <c r="A3131" s="109"/>
      <c r="B3131" s="109"/>
      <c r="C3131" s="109"/>
      <c r="D3131" s="109"/>
      <c r="E3131" s="109" t="s">
        <v>1855</v>
      </c>
      <c r="F3131" s="108">
        <v>22.591394999999999</v>
      </c>
      <c r="G3131" s="109"/>
      <c r="H3131" s="140" t="s">
        <v>1854</v>
      </c>
      <c r="I3131" s="140"/>
      <c r="J3131" s="108">
        <v>107.68</v>
      </c>
    </row>
    <row r="3132" spans="1:10" ht="30" customHeight="1" thickBot="1" x14ac:dyDescent="0.25">
      <c r="A3132" s="100"/>
      <c r="B3132" s="100"/>
      <c r="C3132" s="100"/>
      <c r="D3132" s="100"/>
      <c r="E3132" s="100"/>
      <c r="F3132" s="100"/>
      <c r="G3132" s="100" t="s">
        <v>1853</v>
      </c>
      <c r="H3132" s="107">
        <v>0.63</v>
      </c>
      <c r="I3132" s="100" t="s">
        <v>1852</v>
      </c>
      <c r="J3132" s="102">
        <v>67.84</v>
      </c>
    </row>
    <row r="3133" spans="1:10" ht="1.1499999999999999" customHeight="1" thickTop="1" x14ac:dyDescent="0.2">
      <c r="A3133" s="106"/>
      <c r="B3133" s="106"/>
      <c r="C3133" s="106"/>
      <c r="D3133" s="106"/>
      <c r="E3133" s="106"/>
      <c r="F3133" s="106"/>
      <c r="G3133" s="106"/>
      <c r="H3133" s="106"/>
      <c r="I3133" s="106"/>
      <c r="J3133" s="106"/>
    </row>
    <row r="3134" spans="1:10" ht="18" customHeight="1" x14ac:dyDescent="0.2">
      <c r="A3134" s="117" t="s">
        <v>736</v>
      </c>
      <c r="B3134" s="126" t="s">
        <v>5</v>
      </c>
      <c r="C3134" s="117" t="s">
        <v>6</v>
      </c>
      <c r="D3134" s="117" t="s">
        <v>7</v>
      </c>
      <c r="E3134" s="136" t="s">
        <v>1113</v>
      </c>
      <c r="F3134" s="136"/>
      <c r="G3134" s="7" t="s">
        <v>8</v>
      </c>
      <c r="H3134" s="126" t="s">
        <v>9</v>
      </c>
      <c r="I3134" s="126" t="s">
        <v>10</v>
      </c>
      <c r="J3134" s="126" t="s">
        <v>12</v>
      </c>
    </row>
    <row r="3135" spans="1:10" ht="24" customHeight="1" x14ac:dyDescent="0.2">
      <c r="A3135" s="116" t="s">
        <v>1861</v>
      </c>
      <c r="B3135" s="1" t="s">
        <v>539</v>
      </c>
      <c r="C3135" s="116" t="s">
        <v>20</v>
      </c>
      <c r="D3135" s="116" t="s">
        <v>540</v>
      </c>
      <c r="E3135" s="137">
        <v>20</v>
      </c>
      <c r="F3135" s="137"/>
      <c r="G3135" s="2" t="s">
        <v>22</v>
      </c>
      <c r="H3135" s="115">
        <v>1</v>
      </c>
      <c r="I3135" s="61">
        <v>4.8</v>
      </c>
      <c r="J3135" s="61">
        <v>4.8</v>
      </c>
    </row>
    <row r="3136" spans="1:10" ht="24" customHeight="1" x14ac:dyDescent="0.2">
      <c r="A3136" s="113" t="s">
        <v>1859</v>
      </c>
      <c r="B3136" s="114" t="s">
        <v>1899</v>
      </c>
      <c r="C3136" s="113" t="s">
        <v>20</v>
      </c>
      <c r="D3136" s="113" t="s">
        <v>1898</v>
      </c>
      <c r="E3136" s="139" t="s">
        <v>1369</v>
      </c>
      <c r="F3136" s="139"/>
      <c r="G3136" s="112" t="s">
        <v>49</v>
      </c>
      <c r="H3136" s="111">
        <v>5.1999999999999998E-3</v>
      </c>
      <c r="I3136" s="110">
        <v>162.78</v>
      </c>
      <c r="J3136" s="110">
        <v>0.85</v>
      </c>
    </row>
    <row r="3137" spans="1:10" ht="24" customHeight="1" x14ac:dyDescent="0.2">
      <c r="A3137" s="113" t="s">
        <v>1859</v>
      </c>
      <c r="B3137" s="114" t="s">
        <v>1897</v>
      </c>
      <c r="C3137" s="113" t="s">
        <v>20</v>
      </c>
      <c r="D3137" s="113" t="s">
        <v>1896</v>
      </c>
      <c r="E3137" s="139" t="s">
        <v>1369</v>
      </c>
      <c r="F3137" s="139"/>
      <c r="G3137" s="112" t="s">
        <v>96</v>
      </c>
      <c r="H3137" s="111">
        <v>2.27</v>
      </c>
      <c r="I3137" s="110">
        <v>0.6</v>
      </c>
      <c r="J3137" s="110">
        <v>1.36</v>
      </c>
    </row>
    <row r="3138" spans="1:10" ht="24" customHeight="1" x14ac:dyDescent="0.2">
      <c r="A3138" s="113" t="s">
        <v>1859</v>
      </c>
      <c r="B3138" s="114" t="s">
        <v>1866</v>
      </c>
      <c r="C3138" s="113" t="s">
        <v>20</v>
      </c>
      <c r="D3138" s="113" t="s">
        <v>1865</v>
      </c>
      <c r="E3138" s="139" t="s">
        <v>1860</v>
      </c>
      <c r="F3138" s="139"/>
      <c r="G3138" s="112" t="s">
        <v>1864</v>
      </c>
      <c r="H3138" s="111">
        <v>9.0700000000000003E-2</v>
      </c>
      <c r="I3138" s="110">
        <v>15.97</v>
      </c>
      <c r="J3138" s="110">
        <v>1.45</v>
      </c>
    </row>
    <row r="3139" spans="1:10" ht="24" customHeight="1" x14ac:dyDescent="0.2">
      <c r="A3139" s="113" t="s">
        <v>1859</v>
      </c>
      <c r="B3139" s="114" t="s">
        <v>1872</v>
      </c>
      <c r="C3139" s="113" t="s">
        <v>20</v>
      </c>
      <c r="D3139" s="113" t="s">
        <v>1871</v>
      </c>
      <c r="E3139" s="139" t="s">
        <v>1860</v>
      </c>
      <c r="F3139" s="139"/>
      <c r="G3139" s="112" t="s">
        <v>1864</v>
      </c>
      <c r="H3139" s="111">
        <v>0.1077</v>
      </c>
      <c r="I3139" s="110">
        <v>10.62</v>
      </c>
      <c r="J3139" s="110">
        <v>1.1399999999999999</v>
      </c>
    </row>
    <row r="3140" spans="1:10" x14ac:dyDescent="0.2">
      <c r="A3140" s="109"/>
      <c r="B3140" s="109"/>
      <c r="C3140" s="109"/>
      <c r="D3140" s="109"/>
      <c r="E3140" s="109" t="s">
        <v>1858</v>
      </c>
      <c r="F3140" s="108">
        <v>2.59</v>
      </c>
      <c r="G3140" s="109" t="s">
        <v>1857</v>
      </c>
      <c r="H3140" s="108">
        <v>0</v>
      </c>
      <c r="I3140" s="109" t="s">
        <v>1856</v>
      </c>
      <c r="J3140" s="108">
        <v>2.59</v>
      </c>
    </row>
    <row r="3141" spans="1:10" ht="13.9" customHeight="1" x14ac:dyDescent="0.2">
      <c r="A3141" s="109"/>
      <c r="B3141" s="109"/>
      <c r="C3141" s="109"/>
      <c r="D3141" s="109"/>
      <c r="E3141" s="109" t="s">
        <v>1855</v>
      </c>
      <c r="F3141" s="108">
        <v>1.2744</v>
      </c>
      <c r="G3141" s="109"/>
      <c r="H3141" s="140" t="s">
        <v>1854</v>
      </c>
      <c r="I3141" s="140"/>
      <c r="J3141" s="108">
        <v>6.07</v>
      </c>
    </row>
    <row r="3142" spans="1:10" ht="30" customHeight="1" thickBot="1" x14ac:dyDescent="0.25">
      <c r="A3142" s="100"/>
      <c r="B3142" s="100"/>
      <c r="C3142" s="100"/>
      <c r="D3142" s="100"/>
      <c r="E3142" s="100"/>
      <c r="F3142" s="100"/>
      <c r="G3142" s="100" t="s">
        <v>1853</v>
      </c>
      <c r="H3142" s="107">
        <v>1.26</v>
      </c>
      <c r="I3142" s="100" t="s">
        <v>1852</v>
      </c>
      <c r="J3142" s="102">
        <v>7.65</v>
      </c>
    </row>
    <row r="3143" spans="1:10" ht="1.1499999999999999" customHeight="1" thickTop="1" x14ac:dyDescent="0.2">
      <c r="A3143" s="106"/>
      <c r="B3143" s="106"/>
      <c r="C3143" s="106"/>
      <c r="D3143" s="106"/>
      <c r="E3143" s="106"/>
      <c r="F3143" s="106"/>
      <c r="G3143" s="106"/>
      <c r="H3143" s="106"/>
      <c r="I3143" s="106"/>
      <c r="J3143" s="106"/>
    </row>
    <row r="3144" spans="1:10" ht="18" customHeight="1" x14ac:dyDescent="0.2">
      <c r="A3144" s="117" t="s">
        <v>737</v>
      </c>
      <c r="B3144" s="126" t="s">
        <v>5</v>
      </c>
      <c r="C3144" s="117" t="s">
        <v>6</v>
      </c>
      <c r="D3144" s="117" t="s">
        <v>7</v>
      </c>
      <c r="E3144" s="136" t="s">
        <v>1113</v>
      </c>
      <c r="F3144" s="136"/>
      <c r="G3144" s="7" t="s">
        <v>8</v>
      </c>
      <c r="H3144" s="126" t="s">
        <v>9</v>
      </c>
      <c r="I3144" s="126" t="s">
        <v>10</v>
      </c>
      <c r="J3144" s="126" t="s">
        <v>12</v>
      </c>
    </row>
    <row r="3145" spans="1:10" ht="24" customHeight="1" x14ac:dyDescent="0.2">
      <c r="A3145" s="116" t="s">
        <v>1861</v>
      </c>
      <c r="B3145" s="1" t="s">
        <v>542</v>
      </c>
      <c r="C3145" s="116" t="s">
        <v>20</v>
      </c>
      <c r="D3145" s="116" t="s">
        <v>543</v>
      </c>
      <c r="E3145" s="137">
        <v>20</v>
      </c>
      <c r="F3145" s="137"/>
      <c r="G3145" s="2" t="s">
        <v>22</v>
      </c>
      <c r="H3145" s="115">
        <v>1</v>
      </c>
      <c r="I3145" s="61">
        <v>13.65</v>
      </c>
      <c r="J3145" s="61">
        <v>13.65</v>
      </c>
    </row>
    <row r="3146" spans="1:10" ht="24" customHeight="1" x14ac:dyDescent="0.2">
      <c r="A3146" s="113" t="s">
        <v>1859</v>
      </c>
      <c r="B3146" s="114" t="s">
        <v>2010</v>
      </c>
      <c r="C3146" s="113" t="s">
        <v>20</v>
      </c>
      <c r="D3146" s="113" t="s">
        <v>2009</v>
      </c>
      <c r="E3146" s="139" t="s">
        <v>1369</v>
      </c>
      <c r="F3146" s="139"/>
      <c r="G3146" s="112" t="s">
        <v>49</v>
      </c>
      <c r="H3146" s="111">
        <v>8.3000000000000001E-3</v>
      </c>
      <c r="I3146" s="110">
        <v>162.78</v>
      </c>
      <c r="J3146" s="110">
        <v>1.35</v>
      </c>
    </row>
    <row r="3147" spans="1:10" ht="24" customHeight="1" x14ac:dyDescent="0.2">
      <c r="A3147" s="113" t="s">
        <v>1859</v>
      </c>
      <c r="B3147" s="114" t="s">
        <v>2008</v>
      </c>
      <c r="C3147" s="113" t="s">
        <v>20</v>
      </c>
      <c r="D3147" s="113" t="s">
        <v>2007</v>
      </c>
      <c r="E3147" s="139" t="s">
        <v>1369</v>
      </c>
      <c r="F3147" s="139"/>
      <c r="G3147" s="112" t="s">
        <v>96</v>
      </c>
      <c r="H3147" s="111">
        <v>0.95550000000000002</v>
      </c>
      <c r="I3147" s="110">
        <v>0.75</v>
      </c>
      <c r="J3147" s="110">
        <v>0.72</v>
      </c>
    </row>
    <row r="3148" spans="1:10" ht="24" customHeight="1" x14ac:dyDescent="0.2">
      <c r="A3148" s="113" t="s">
        <v>1859</v>
      </c>
      <c r="B3148" s="114" t="s">
        <v>1897</v>
      </c>
      <c r="C3148" s="113" t="s">
        <v>20</v>
      </c>
      <c r="D3148" s="113" t="s">
        <v>1896</v>
      </c>
      <c r="E3148" s="139" t="s">
        <v>1369</v>
      </c>
      <c r="F3148" s="139"/>
      <c r="G3148" s="112" t="s">
        <v>96</v>
      </c>
      <c r="H3148" s="111">
        <v>0.52500000000000002</v>
      </c>
      <c r="I3148" s="110">
        <v>0.6</v>
      </c>
      <c r="J3148" s="110">
        <v>0.32</v>
      </c>
    </row>
    <row r="3149" spans="1:10" ht="24" customHeight="1" x14ac:dyDescent="0.2">
      <c r="A3149" s="113" t="s">
        <v>1859</v>
      </c>
      <c r="B3149" s="114" t="s">
        <v>1866</v>
      </c>
      <c r="C3149" s="113" t="s">
        <v>20</v>
      </c>
      <c r="D3149" s="113" t="s">
        <v>1865</v>
      </c>
      <c r="E3149" s="139" t="s">
        <v>1860</v>
      </c>
      <c r="F3149" s="139"/>
      <c r="G3149" s="112" t="s">
        <v>1864</v>
      </c>
      <c r="H3149" s="111">
        <v>0.43890000000000001</v>
      </c>
      <c r="I3149" s="110">
        <v>15.97</v>
      </c>
      <c r="J3149" s="110">
        <v>7.01</v>
      </c>
    </row>
    <row r="3150" spans="1:10" ht="24" customHeight="1" x14ac:dyDescent="0.2">
      <c r="A3150" s="113" t="s">
        <v>1859</v>
      </c>
      <c r="B3150" s="114" t="s">
        <v>1872</v>
      </c>
      <c r="C3150" s="113" t="s">
        <v>20</v>
      </c>
      <c r="D3150" s="113" t="s">
        <v>1871</v>
      </c>
      <c r="E3150" s="139" t="s">
        <v>1860</v>
      </c>
      <c r="F3150" s="139"/>
      <c r="G3150" s="112" t="s">
        <v>1864</v>
      </c>
      <c r="H3150" s="111">
        <v>0.4</v>
      </c>
      <c r="I3150" s="110">
        <v>10.62</v>
      </c>
      <c r="J3150" s="110">
        <v>4.25</v>
      </c>
    </row>
    <row r="3151" spans="1:10" x14ac:dyDescent="0.2">
      <c r="A3151" s="109"/>
      <c r="B3151" s="109"/>
      <c r="C3151" s="109"/>
      <c r="D3151" s="109"/>
      <c r="E3151" s="109" t="s">
        <v>1858</v>
      </c>
      <c r="F3151" s="108">
        <v>11.26</v>
      </c>
      <c r="G3151" s="109" t="s">
        <v>1857</v>
      </c>
      <c r="H3151" s="108">
        <v>0</v>
      </c>
      <c r="I3151" s="109" t="s">
        <v>1856</v>
      </c>
      <c r="J3151" s="108">
        <v>11.26</v>
      </c>
    </row>
    <row r="3152" spans="1:10" ht="13.9" customHeight="1" x14ac:dyDescent="0.2">
      <c r="A3152" s="109"/>
      <c r="B3152" s="109"/>
      <c r="C3152" s="109"/>
      <c r="D3152" s="109"/>
      <c r="E3152" s="109" t="s">
        <v>1855</v>
      </c>
      <c r="F3152" s="108">
        <v>3.6240749999999999</v>
      </c>
      <c r="G3152" s="109"/>
      <c r="H3152" s="140" t="s">
        <v>1854</v>
      </c>
      <c r="I3152" s="140"/>
      <c r="J3152" s="108">
        <v>17.27</v>
      </c>
    </row>
    <row r="3153" spans="1:10" ht="30" customHeight="1" thickBot="1" x14ac:dyDescent="0.25">
      <c r="A3153" s="100"/>
      <c r="B3153" s="100"/>
      <c r="C3153" s="100"/>
      <c r="D3153" s="100"/>
      <c r="E3153" s="100"/>
      <c r="F3153" s="100"/>
      <c r="G3153" s="100" t="s">
        <v>1853</v>
      </c>
      <c r="H3153" s="107">
        <v>1.26</v>
      </c>
      <c r="I3153" s="100" t="s">
        <v>1852</v>
      </c>
      <c r="J3153" s="102">
        <v>21.76</v>
      </c>
    </row>
    <row r="3154" spans="1:10" ht="1.1499999999999999" customHeight="1" thickTop="1" x14ac:dyDescent="0.2">
      <c r="A3154" s="106"/>
      <c r="B3154" s="106"/>
      <c r="C3154" s="106"/>
      <c r="D3154" s="106"/>
      <c r="E3154" s="106"/>
      <c r="F3154" s="106"/>
      <c r="G3154" s="106"/>
      <c r="H3154" s="106"/>
      <c r="I3154" s="106"/>
      <c r="J3154" s="106"/>
    </row>
    <row r="3155" spans="1:10" ht="18" customHeight="1" x14ac:dyDescent="0.2">
      <c r="A3155" s="117" t="s">
        <v>740</v>
      </c>
      <c r="B3155" s="126" t="s">
        <v>5</v>
      </c>
      <c r="C3155" s="117" t="s">
        <v>6</v>
      </c>
      <c r="D3155" s="117" t="s">
        <v>7</v>
      </c>
      <c r="E3155" s="136" t="s">
        <v>1113</v>
      </c>
      <c r="F3155" s="136"/>
      <c r="G3155" s="7" t="s">
        <v>8</v>
      </c>
      <c r="H3155" s="126" t="s">
        <v>9</v>
      </c>
      <c r="I3155" s="126" t="s">
        <v>10</v>
      </c>
      <c r="J3155" s="126" t="s">
        <v>12</v>
      </c>
    </row>
    <row r="3156" spans="1:10" ht="24" customHeight="1" x14ac:dyDescent="0.2">
      <c r="A3156" s="116" t="s">
        <v>1861</v>
      </c>
      <c r="B3156" s="1" t="s">
        <v>1233</v>
      </c>
      <c r="C3156" s="116" t="s">
        <v>20</v>
      </c>
      <c r="D3156" s="116" t="s">
        <v>1232</v>
      </c>
      <c r="E3156" s="137">
        <v>26</v>
      </c>
      <c r="F3156" s="137"/>
      <c r="G3156" s="2" t="s">
        <v>22</v>
      </c>
      <c r="H3156" s="115">
        <v>1</v>
      </c>
      <c r="I3156" s="61">
        <v>11.32</v>
      </c>
      <c r="J3156" s="61">
        <v>11.32</v>
      </c>
    </row>
    <row r="3157" spans="1:10" ht="24" customHeight="1" x14ac:dyDescent="0.2">
      <c r="A3157" s="113" t="s">
        <v>1859</v>
      </c>
      <c r="B3157" s="114" t="s">
        <v>2006</v>
      </c>
      <c r="C3157" s="113" t="s">
        <v>20</v>
      </c>
      <c r="D3157" s="113" t="s">
        <v>2005</v>
      </c>
      <c r="E3157" s="139" t="s">
        <v>1369</v>
      </c>
      <c r="F3157" s="139"/>
      <c r="G3157" s="112" t="s">
        <v>96</v>
      </c>
      <c r="H3157" s="111">
        <v>0.75</v>
      </c>
      <c r="I3157" s="110">
        <v>3.81</v>
      </c>
      <c r="J3157" s="110">
        <v>2.86</v>
      </c>
    </row>
    <row r="3158" spans="1:10" ht="24" customHeight="1" x14ac:dyDescent="0.2">
      <c r="A3158" s="113" t="s">
        <v>1859</v>
      </c>
      <c r="B3158" s="114" t="s">
        <v>2004</v>
      </c>
      <c r="C3158" s="113" t="s">
        <v>20</v>
      </c>
      <c r="D3158" s="113" t="s">
        <v>2003</v>
      </c>
      <c r="E3158" s="139" t="s">
        <v>1369</v>
      </c>
      <c r="F3158" s="139"/>
      <c r="G3158" s="112" t="s">
        <v>246</v>
      </c>
      <c r="H3158" s="111">
        <v>0.3</v>
      </c>
      <c r="I3158" s="110">
        <v>0.71</v>
      </c>
      <c r="J3158" s="110">
        <v>0.21</v>
      </c>
    </row>
    <row r="3159" spans="1:10" ht="24" customHeight="1" x14ac:dyDescent="0.2">
      <c r="A3159" s="113" t="s">
        <v>1859</v>
      </c>
      <c r="B3159" s="114" t="s">
        <v>1998</v>
      </c>
      <c r="C3159" s="113" t="s">
        <v>20</v>
      </c>
      <c r="D3159" s="113" t="s">
        <v>1997</v>
      </c>
      <c r="E3159" s="139" t="s">
        <v>1860</v>
      </c>
      <c r="F3159" s="139"/>
      <c r="G3159" s="112" t="s">
        <v>1864</v>
      </c>
      <c r="H3159" s="111">
        <v>0.35</v>
      </c>
      <c r="I3159" s="110">
        <v>15.97</v>
      </c>
      <c r="J3159" s="110">
        <v>5.59</v>
      </c>
    </row>
    <row r="3160" spans="1:10" ht="24" customHeight="1" x14ac:dyDescent="0.2">
      <c r="A3160" s="113" t="s">
        <v>1859</v>
      </c>
      <c r="B3160" s="114" t="s">
        <v>1951</v>
      </c>
      <c r="C3160" s="113" t="s">
        <v>20</v>
      </c>
      <c r="D3160" s="113" t="s">
        <v>1950</v>
      </c>
      <c r="E3160" s="139" t="s">
        <v>1860</v>
      </c>
      <c r="F3160" s="139"/>
      <c r="G3160" s="112" t="s">
        <v>1864</v>
      </c>
      <c r="H3160" s="111">
        <v>0.25</v>
      </c>
      <c r="I3160" s="110">
        <v>10.62</v>
      </c>
      <c r="J3160" s="110">
        <v>2.66</v>
      </c>
    </row>
    <row r="3161" spans="1:10" x14ac:dyDescent="0.2">
      <c r="A3161" s="109"/>
      <c r="B3161" s="109"/>
      <c r="C3161" s="109"/>
      <c r="D3161" s="109"/>
      <c r="E3161" s="109" t="s">
        <v>1858</v>
      </c>
      <c r="F3161" s="108">
        <v>8.25</v>
      </c>
      <c r="G3161" s="109" t="s">
        <v>1857</v>
      </c>
      <c r="H3161" s="108">
        <v>0</v>
      </c>
      <c r="I3161" s="109" t="s">
        <v>1856</v>
      </c>
      <c r="J3161" s="108">
        <v>8.25</v>
      </c>
    </row>
    <row r="3162" spans="1:10" ht="13.9" customHeight="1" x14ac:dyDescent="0.2">
      <c r="A3162" s="109"/>
      <c r="B3162" s="109"/>
      <c r="C3162" s="109"/>
      <c r="D3162" s="109"/>
      <c r="E3162" s="109" t="s">
        <v>1855</v>
      </c>
      <c r="F3162" s="108">
        <v>3.0054599999999998</v>
      </c>
      <c r="G3162" s="109"/>
      <c r="H3162" s="140" t="s">
        <v>1854</v>
      </c>
      <c r="I3162" s="140"/>
      <c r="J3162" s="108">
        <v>14.33</v>
      </c>
    </row>
    <row r="3163" spans="1:10" ht="30" customHeight="1" thickBot="1" x14ac:dyDescent="0.25">
      <c r="A3163" s="100"/>
      <c r="B3163" s="100"/>
      <c r="C3163" s="100"/>
      <c r="D3163" s="100"/>
      <c r="E3163" s="100"/>
      <c r="F3163" s="100"/>
      <c r="G3163" s="100" t="s">
        <v>1853</v>
      </c>
      <c r="H3163" s="107">
        <v>24.15</v>
      </c>
      <c r="I3163" s="100" t="s">
        <v>1852</v>
      </c>
      <c r="J3163" s="102">
        <v>346.07</v>
      </c>
    </row>
    <row r="3164" spans="1:10" ht="1.1499999999999999" customHeight="1" thickTop="1" x14ac:dyDescent="0.2">
      <c r="A3164" s="106"/>
      <c r="B3164" s="106"/>
      <c r="C3164" s="106"/>
      <c r="D3164" s="106"/>
      <c r="E3164" s="106"/>
      <c r="F3164" s="106"/>
      <c r="G3164" s="106"/>
      <c r="H3164" s="106"/>
      <c r="I3164" s="106"/>
      <c r="J3164" s="106"/>
    </row>
    <row r="3165" spans="1:10" ht="18" customHeight="1" x14ac:dyDescent="0.2">
      <c r="A3165" s="117" t="s">
        <v>743</v>
      </c>
      <c r="B3165" s="126" t="s">
        <v>5</v>
      </c>
      <c r="C3165" s="117" t="s">
        <v>6</v>
      </c>
      <c r="D3165" s="117" t="s">
        <v>7</v>
      </c>
      <c r="E3165" s="136" t="s">
        <v>1113</v>
      </c>
      <c r="F3165" s="136"/>
      <c r="G3165" s="7" t="s">
        <v>8</v>
      </c>
      <c r="H3165" s="126" t="s">
        <v>9</v>
      </c>
      <c r="I3165" s="126" t="s">
        <v>10</v>
      </c>
      <c r="J3165" s="126" t="s">
        <v>12</v>
      </c>
    </row>
    <row r="3166" spans="1:10" ht="24" customHeight="1" x14ac:dyDescent="0.2">
      <c r="A3166" s="116" t="s">
        <v>1861</v>
      </c>
      <c r="B3166" s="1" t="s">
        <v>1231</v>
      </c>
      <c r="C3166" s="116" t="s">
        <v>20</v>
      </c>
      <c r="D3166" s="116" t="s">
        <v>1230</v>
      </c>
      <c r="E3166" s="137">
        <v>26</v>
      </c>
      <c r="F3166" s="137"/>
      <c r="G3166" s="2" t="s">
        <v>22</v>
      </c>
      <c r="H3166" s="115">
        <v>1</v>
      </c>
      <c r="I3166" s="61">
        <v>10.61</v>
      </c>
      <c r="J3166" s="61">
        <v>10.61</v>
      </c>
    </row>
    <row r="3167" spans="1:10" ht="24" customHeight="1" x14ac:dyDescent="0.2">
      <c r="A3167" s="113" t="s">
        <v>1859</v>
      </c>
      <c r="B3167" s="114" t="s">
        <v>2004</v>
      </c>
      <c r="C3167" s="113" t="s">
        <v>20</v>
      </c>
      <c r="D3167" s="113" t="s">
        <v>2003</v>
      </c>
      <c r="E3167" s="139" t="s">
        <v>1369</v>
      </c>
      <c r="F3167" s="139"/>
      <c r="G3167" s="112" t="s">
        <v>246</v>
      </c>
      <c r="H3167" s="111">
        <v>0.1</v>
      </c>
      <c r="I3167" s="110">
        <v>0.71</v>
      </c>
      <c r="J3167" s="110">
        <v>7.0000000000000007E-2</v>
      </c>
    </row>
    <row r="3168" spans="1:10" ht="24" customHeight="1" x14ac:dyDescent="0.2">
      <c r="A3168" s="113" t="s">
        <v>1859</v>
      </c>
      <c r="B3168" s="114" t="s">
        <v>2002</v>
      </c>
      <c r="C3168" s="113" t="s">
        <v>20</v>
      </c>
      <c r="D3168" s="113" t="s">
        <v>2001</v>
      </c>
      <c r="E3168" s="139" t="s">
        <v>1369</v>
      </c>
      <c r="F3168" s="139"/>
      <c r="G3168" s="112" t="s">
        <v>1877</v>
      </c>
      <c r="H3168" s="111">
        <v>0.12</v>
      </c>
      <c r="I3168" s="110">
        <v>8.34</v>
      </c>
      <c r="J3168" s="110">
        <v>1</v>
      </c>
    </row>
    <row r="3169" spans="1:10" ht="24" customHeight="1" x14ac:dyDescent="0.2">
      <c r="A3169" s="113" t="s">
        <v>1859</v>
      </c>
      <c r="B3169" s="114" t="s">
        <v>2000</v>
      </c>
      <c r="C3169" s="113" t="s">
        <v>20</v>
      </c>
      <c r="D3169" s="113" t="s">
        <v>1999</v>
      </c>
      <c r="E3169" s="139" t="s">
        <v>1369</v>
      </c>
      <c r="F3169" s="139"/>
      <c r="G3169" s="112" t="s">
        <v>1877</v>
      </c>
      <c r="H3169" s="111">
        <v>0.16</v>
      </c>
      <c r="I3169" s="110">
        <v>24.07</v>
      </c>
      <c r="J3169" s="110">
        <v>3.85</v>
      </c>
    </row>
    <row r="3170" spans="1:10" ht="24" customHeight="1" x14ac:dyDescent="0.2">
      <c r="A3170" s="113" t="s">
        <v>1859</v>
      </c>
      <c r="B3170" s="114" t="s">
        <v>1951</v>
      </c>
      <c r="C3170" s="113" t="s">
        <v>20</v>
      </c>
      <c r="D3170" s="113" t="s">
        <v>1950</v>
      </c>
      <c r="E3170" s="139" t="s">
        <v>1860</v>
      </c>
      <c r="F3170" s="139"/>
      <c r="G3170" s="112" t="s">
        <v>1864</v>
      </c>
      <c r="H3170" s="111">
        <v>8.2199999999999995E-2</v>
      </c>
      <c r="I3170" s="110">
        <v>10.62</v>
      </c>
      <c r="J3170" s="110">
        <v>0.87</v>
      </c>
    </row>
    <row r="3171" spans="1:10" ht="24" customHeight="1" x14ac:dyDescent="0.2">
      <c r="A3171" s="113" t="s">
        <v>1859</v>
      </c>
      <c r="B3171" s="114" t="s">
        <v>1998</v>
      </c>
      <c r="C3171" s="113" t="s">
        <v>20</v>
      </c>
      <c r="D3171" s="113" t="s">
        <v>1997</v>
      </c>
      <c r="E3171" s="139" t="s">
        <v>1860</v>
      </c>
      <c r="F3171" s="139"/>
      <c r="G3171" s="112" t="s">
        <v>1864</v>
      </c>
      <c r="H3171" s="111">
        <v>0.30209999999999998</v>
      </c>
      <c r="I3171" s="110">
        <v>15.97</v>
      </c>
      <c r="J3171" s="110">
        <v>4.82</v>
      </c>
    </row>
    <row r="3172" spans="1:10" x14ac:dyDescent="0.2">
      <c r="A3172" s="109"/>
      <c r="B3172" s="109"/>
      <c r="C3172" s="109"/>
      <c r="D3172" s="109"/>
      <c r="E3172" s="109" t="s">
        <v>1858</v>
      </c>
      <c r="F3172" s="108">
        <v>5.69</v>
      </c>
      <c r="G3172" s="109" t="s">
        <v>1857</v>
      </c>
      <c r="H3172" s="108">
        <v>0</v>
      </c>
      <c r="I3172" s="109" t="s">
        <v>1856</v>
      </c>
      <c r="J3172" s="108">
        <v>5.69</v>
      </c>
    </row>
    <row r="3173" spans="1:10" ht="13.9" customHeight="1" x14ac:dyDescent="0.2">
      <c r="A3173" s="109"/>
      <c r="B3173" s="109"/>
      <c r="C3173" s="109"/>
      <c r="D3173" s="109"/>
      <c r="E3173" s="109" t="s">
        <v>1855</v>
      </c>
      <c r="F3173" s="108">
        <v>2.8169550000000001</v>
      </c>
      <c r="G3173" s="109"/>
      <c r="H3173" s="140" t="s">
        <v>1854</v>
      </c>
      <c r="I3173" s="140"/>
      <c r="J3173" s="108">
        <v>13.43</v>
      </c>
    </row>
    <row r="3174" spans="1:10" ht="30" customHeight="1" thickBot="1" x14ac:dyDescent="0.25">
      <c r="A3174" s="100"/>
      <c r="B3174" s="100"/>
      <c r="C3174" s="100"/>
      <c r="D3174" s="100"/>
      <c r="E3174" s="100"/>
      <c r="F3174" s="100"/>
      <c r="G3174" s="100" t="s">
        <v>1853</v>
      </c>
      <c r="H3174" s="107">
        <v>24.15</v>
      </c>
      <c r="I3174" s="100" t="s">
        <v>1852</v>
      </c>
      <c r="J3174" s="102">
        <v>324.33</v>
      </c>
    </row>
    <row r="3175" spans="1:10" ht="1.1499999999999999" customHeight="1" thickTop="1" x14ac:dyDescent="0.2">
      <c r="A3175" s="106"/>
      <c r="B3175" s="106"/>
      <c r="C3175" s="106"/>
      <c r="D3175" s="106"/>
      <c r="E3175" s="106"/>
      <c r="F3175" s="106"/>
      <c r="G3175" s="106"/>
      <c r="H3175" s="106"/>
      <c r="I3175" s="106"/>
      <c r="J3175" s="106"/>
    </row>
    <row r="3176" spans="1:10" ht="18" customHeight="1" x14ac:dyDescent="0.2">
      <c r="A3176" s="117" t="s">
        <v>746</v>
      </c>
      <c r="B3176" s="126" t="s">
        <v>5</v>
      </c>
      <c r="C3176" s="117" t="s">
        <v>6</v>
      </c>
      <c r="D3176" s="117" t="s">
        <v>7</v>
      </c>
      <c r="E3176" s="136" t="s">
        <v>1113</v>
      </c>
      <c r="F3176" s="136"/>
      <c r="G3176" s="7" t="s">
        <v>8</v>
      </c>
      <c r="H3176" s="126" t="s">
        <v>9</v>
      </c>
      <c r="I3176" s="126" t="s">
        <v>10</v>
      </c>
      <c r="J3176" s="126" t="s">
        <v>12</v>
      </c>
    </row>
    <row r="3177" spans="1:10" ht="24" customHeight="1" x14ac:dyDescent="0.2">
      <c r="A3177" s="116" t="s">
        <v>1861</v>
      </c>
      <c r="B3177" s="1" t="s">
        <v>1229</v>
      </c>
      <c r="C3177" s="116" t="s">
        <v>249</v>
      </c>
      <c r="D3177" s="116" t="s">
        <v>1228</v>
      </c>
      <c r="E3177" s="137">
        <v>12</v>
      </c>
      <c r="F3177" s="137"/>
      <c r="G3177" s="2" t="s">
        <v>22</v>
      </c>
      <c r="H3177" s="115">
        <v>1</v>
      </c>
      <c r="I3177" s="61">
        <v>13.21</v>
      </c>
      <c r="J3177" s="61">
        <v>13.21</v>
      </c>
    </row>
    <row r="3178" spans="1:10" ht="24" customHeight="1" x14ac:dyDescent="0.2">
      <c r="A3178" s="121" t="s">
        <v>1888</v>
      </c>
      <c r="B3178" s="122" t="s">
        <v>1906</v>
      </c>
      <c r="C3178" s="121" t="s">
        <v>25</v>
      </c>
      <c r="D3178" s="121" t="s">
        <v>1905</v>
      </c>
      <c r="E3178" s="138" t="s">
        <v>1902</v>
      </c>
      <c r="F3178" s="138"/>
      <c r="G3178" s="120" t="s">
        <v>61</v>
      </c>
      <c r="H3178" s="119">
        <v>0.34300000000000003</v>
      </c>
      <c r="I3178" s="118">
        <v>16.059999999999999</v>
      </c>
      <c r="J3178" s="118">
        <v>5.51</v>
      </c>
    </row>
    <row r="3179" spans="1:10" ht="24" customHeight="1" x14ac:dyDescent="0.2">
      <c r="A3179" s="113" t="s">
        <v>1859</v>
      </c>
      <c r="B3179" s="114" t="s">
        <v>1996</v>
      </c>
      <c r="C3179" s="113" t="s">
        <v>249</v>
      </c>
      <c r="D3179" s="113" t="s">
        <v>1228</v>
      </c>
      <c r="E3179" s="139" t="s">
        <v>1369</v>
      </c>
      <c r="F3179" s="139"/>
      <c r="G3179" s="112" t="s">
        <v>22</v>
      </c>
      <c r="H3179" s="111">
        <v>1.1000000000000001</v>
      </c>
      <c r="I3179" s="110">
        <v>7</v>
      </c>
      <c r="J3179" s="110">
        <v>7.7</v>
      </c>
    </row>
    <row r="3180" spans="1:10" x14ac:dyDescent="0.2">
      <c r="A3180" s="109"/>
      <c r="B3180" s="109"/>
      <c r="C3180" s="109"/>
      <c r="D3180" s="109"/>
      <c r="E3180" s="109" t="s">
        <v>1858</v>
      </c>
      <c r="F3180" s="108">
        <v>3.64</v>
      </c>
      <c r="G3180" s="109" t="s">
        <v>1857</v>
      </c>
      <c r="H3180" s="108">
        <v>0</v>
      </c>
      <c r="I3180" s="109" t="s">
        <v>1856</v>
      </c>
      <c r="J3180" s="108">
        <v>3.64</v>
      </c>
    </row>
    <row r="3181" spans="1:10" ht="13.9" customHeight="1" x14ac:dyDescent="0.2">
      <c r="A3181" s="109"/>
      <c r="B3181" s="109"/>
      <c r="C3181" s="109"/>
      <c r="D3181" s="109"/>
      <c r="E3181" s="109" t="s">
        <v>1855</v>
      </c>
      <c r="F3181" s="108">
        <v>3.5072549999999998</v>
      </c>
      <c r="G3181" s="109"/>
      <c r="H3181" s="140" t="s">
        <v>1854</v>
      </c>
      <c r="I3181" s="140"/>
      <c r="J3181" s="108">
        <v>16.72</v>
      </c>
    </row>
    <row r="3182" spans="1:10" ht="30" customHeight="1" thickBot="1" x14ac:dyDescent="0.25">
      <c r="A3182" s="100"/>
      <c r="B3182" s="100"/>
      <c r="C3182" s="100"/>
      <c r="D3182" s="100"/>
      <c r="E3182" s="100"/>
      <c r="F3182" s="100"/>
      <c r="G3182" s="100" t="s">
        <v>1853</v>
      </c>
      <c r="H3182" s="107">
        <v>16.899999999999999</v>
      </c>
      <c r="I3182" s="100" t="s">
        <v>1852</v>
      </c>
      <c r="J3182" s="102">
        <v>282.57</v>
      </c>
    </row>
    <row r="3183" spans="1:10" ht="1.1499999999999999" customHeight="1" thickTop="1" x14ac:dyDescent="0.2">
      <c r="A3183" s="106"/>
      <c r="B3183" s="106"/>
      <c r="C3183" s="106"/>
      <c r="D3183" s="106"/>
      <c r="E3183" s="106"/>
      <c r="F3183" s="106"/>
      <c r="G3183" s="106"/>
      <c r="H3183" s="106"/>
      <c r="I3183" s="106"/>
      <c r="J3183" s="106"/>
    </row>
    <row r="3184" spans="1:10" ht="18" customHeight="1" x14ac:dyDescent="0.2">
      <c r="A3184" s="117" t="s">
        <v>749</v>
      </c>
      <c r="B3184" s="126" t="s">
        <v>5</v>
      </c>
      <c r="C3184" s="117" t="s">
        <v>6</v>
      </c>
      <c r="D3184" s="117" t="s">
        <v>7</v>
      </c>
      <c r="E3184" s="136" t="s">
        <v>1113</v>
      </c>
      <c r="F3184" s="136"/>
      <c r="G3184" s="7" t="s">
        <v>8</v>
      </c>
      <c r="H3184" s="126" t="s">
        <v>9</v>
      </c>
      <c r="I3184" s="126" t="s">
        <v>10</v>
      </c>
      <c r="J3184" s="126" t="s">
        <v>12</v>
      </c>
    </row>
    <row r="3185" spans="1:10" ht="24" customHeight="1" x14ac:dyDescent="0.2">
      <c r="A3185" s="116" t="s">
        <v>1861</v>
      </c>
      <c r="B3185" s="1" t="s">
        <v>1227</v>
      </c>
      <c r="C3185" s="116" t="s">
        <v>249</v>
      </c>
      <c r="D3185" s="116" t="s">
        <v>1226</v>
      </c>
      <c r="E3185" s="137">
        <v>150</v>
      </c>
      <c r="F3185" s="137"/>
      <c r="G3185" s="2" t="s">
        <v>22</v>
      </c>
      <c r="H3185" s="115">
        <v>1</v>
      </c>
      <c r="I3185" s="61">
        <v>259.60000000000002</v>
      </c>
      <c r="J3185" s="61">
        <v>259.60000000000002</v>
      </c>
    </row>
    <row r="3186" spans="1:10" ht="24" customHeight="1" x14ac:dyDescent="0.2">
      <c r="A3186" s="121" t="s">
        <v>1888</v>
      </c>
      <c r="B3186" s="122" t="s">
        <v>1995</v>
      </c>
      <c r="C3186" s="121" t="s">
        <v>25</v>
      </c>
      <c r="D3186" s="121" t="s">
        <v>1994</v>
      </c>
      <c r="E3186" s="138" t="s">
        <v>1902</v>
      </c>
      <c r="F3186" s="138"/>
      <c r="G3186" s="120" t="s">
        <v>61</v>
      </c>
      <c r="H3186" s="119">
        <v>0.29399999999999998</v>
      </c>
      <c r="I3186" s="118">
        <v>16.809999999999999</v>
      </c>
      <c r="J3186" s="118">
        <v>4.9400000000000004</v>
      </c>
    </row>
    <row r="3187" spans="1:10" ht="24" customHeight="1" x14ac:dyDescent="0.2">
      <c r="A3187" s="121" t="s">
        <v>1888</v>
      </c>
      <c r="B3187" s="122" t="s">
        <v>1993</v>
      </c>
      <c r="C3187" s="121" t="s">
        <v>25</v>
      </c>
      <c r="D3187" s="121" t="s">
        <v>1992</v>
      </c>
      <c r="E3187" s="138" t="s">
        <v>1902</v>
      </c>
      <c r="F3187" s="138"/>
      <c r="G3187" s="120" t="s">
        <v>61</v>
      </c>
      <c r="H3187" s="119">
        <v>0.39200000000000002</v>
      </c>
      <c r="I3187" s="118">
        <v>19.25</v>
      </c>
      <c r="J3187" s="118">
        <v>7.55</v>
      </c>
    </row>
    <row r="3188" spans="1:10" ht="24" customHeight="1" x14ac:dyDescent="0.2">
      <c r="A3188" s="113" t="s">
        <v>1859</v>
      </c>
      <c r="B3188" s="114" t="s">
        <v>1991</v>
      </c>
      <c r="C3188" s="113" t="s">
        <v>249</v>
      </c>
      <c r="D3188" s="113" t="s">
        <v>1990</v>
      </c>
      <c r="E3188" s="139" t="s">
        <v>1369</v>
      </c>
      <c r="F3188" s="139"/>
      <c r="G3188" s="112" t="s">
        <v>22</v>
      </c>
      <c r="H3188" s="111">
        <v>1.05</v>
      </c>
      <c r="I3188" s="110">
        <v>213.48</v>
      </c>
      <c r="J3188" s="110">
        <v>224.15</v>
      </c>
    </row>
    <row r="3189" spans="1:10" ht="24" customHeight="1" x14ac:dyDescent="0.2">
      <c r="A3189" s="113" t="s">
        <v>1859</v>
      </c>
      <c r="B3189" s="114" t="s">
        <v>1989</v>
      </c>
      <c r="C3189" s="113" t="s">
        <v>249</v>
      </c>
      <c r="D3189" s="113" t="s">
        <v>1988</v>
      </c>
      <c r="E3189" s="139" t="s">
        <v>1369</v>
      </c>
      <c r="F3189" s="139"/>
      <c r="G3189" s="112" t="s">
        <v>92</v>
      </c>
      <c r="H3189" s="111">
        <v>1.6</v>
      </c>
      <c r="I3189" s="110">
        <v>14.35</v>
      </c>
      <c r="J3189" s="110">
        <v>22.96</v>
      </c>
    </row>
    <row r="3190" spans="1:10" x14ac:dyDescent="0.2">
      <c r="A3190" s="109"/>
      <c r="B3190" s="109"/>
      <c r="C3190" s="109"/>
      <c r="D3190" s="109"/>
      <c r="E3190" s="109" t="s">
        <v>1858</v>
      </c>
      <c r="F3190" s="108">
        <v>8.7100000000000009</v>
      </c>
      <c r="G3190" s="109" t="s">
        <v>1857</v>
      </c>
      <c r="H3190" s="108">
        <v>0</v>
      </c>
      <c r="I3190" s="109" t="s">
        <v>1856</v>
      </c>
      <c r="J3190" s="108">
        <v>8.7100000000000009</v>
      </c>
    </row>
    <row r="3191" spans="1:10" ht="13.9" customHeight="1" x14ac:dyDescent="0.2">
      <c r="A3191" s="109"/>
      <c r="B3191" s="109"/>
      <c r="C3191" s="109"/>
      <c r="D3191" s="109"/>
      <c r="E3191" s="109" t="s">
        <v>1855</v>
      </c>
      <c r="F3191" s="108">
        <v>68.9238</v>
      </c>
      <c r="G3191" s="109"/>
      <c r="H3191" s="140" t="s">
        <v>1854</v>
      </c>
      <c r="I3191" s="140"/>
      <c r="J3191" s="108">
        <v>328.52</v>
      </c>
    </row>
    <row r="3192" spans="1:10" ht="30" customHeight="1" thickBot="1" x14ac:dyDescent="0.25">
      <c r="A3192" s="100"/>
      <c r="B3192" s="100"/>
      <c r="C3192" s="100"/>
      <c r="D3192" s="100"/>
      <c r="E3192" s="100"/>
      <c r="F3192" s="100"/>
      <c r="G3192" s="100" t="s">
        <v>1853</v>
      </c>
      <c r="H3192" s="107">
        <v>1</v>
      </c>
      <c r="I3192" s="100" t="s">
        <v>1852</v>
      </c>
      <c r="J3192" s="102">
        <v>328.52</v>
      </c>
    </row>
    <row r="3193" spans="1:10" ht="1.1499999999999999" customHeight="1" thickTop="1" x14ac:dyDescent="0.2">
      <c r="A3193" s="106"/>
      <c r="B3193" s="106"/>
      <c r="C3193" s="106"/>
      <c r="D3193" s="106"/>
      <c r="E3193" s="106"/>
      <c r="F3193" s="106"/>
      <c r="G3193" s="106"/>
      <c r="H3193" s="106"/>
      <c r="I3193" s="106"/>
      <c r="J3193" s="106"/>
    </row>
    <row r="3194" spans="1:10" ht="18" customHeight="1" x14ac:dyDescent="0.2">
      <c r="A3194" s="117" t="s">
        <v>1225</v>
      </c>
      <c r="B3194" s="126" t="s">
        <v>5</v>
      </c>
      <c r="C3194" s="117" t="s">
        <v>6</v>
      </c>
      <c r="D3194" s="117" t="s">
        <v>7</v>
      </c>
      <c r="E3194" s="136" t="s">
        <v>1113</v>
      </c>
      <c r="F3194" s="136"/>
      <c r="G3194" s="7" t="s">
        <v>8</v>
      </c>
      <c r="H3194" s="126" t="s">
        <v>9</v>
      </c>
      <c r="I3194" s="126" t="s">
        <v>10</v>
      </c>
      <c r="J3194" s="126" t="s">
        <v>12</v>
      </c>
    </row>
    <row r="3195" spans="1:10" ht="24" customHeight="1" x14ac:dyDescent="0.2">
      <c r="A3195" s="116" t="s">
        <v>1861</v>
      </c>
      <c r="B3195" s="1" t="s">
        <v>1224</v>
      </c>
      <c r="C3195" s="116" t="s">
        <v>20</v>
      </c>
      <c r="D3195" s="116" t="s">
        <v>1223</v>
      </c>
      <c r="E3195" s="137">
        <v>8</v>
      </c>
      <c r="F3195" s="137"/>
      <c r="G3195" s="2" t="s">
        <v>37</v>
      </c>
      <c r="H3195" s="115">
        <v>1</v>
      </c>
      <c r="I3195" s="61">
        <v>98.42</v>
      </c>
      <c r="J3195" s="61">
        <v>98.42</v>
      </c>
    </row>
    <row r="3196" spans="1:10" ht="24" customHeight="1" x14ac:dyDescent="0.2">
      <c r="A3196" s="113" t="s">
        <v>1859</v>
      </c>
      <c r="B3196" s="114" t="s">
        <v>1983</v>
      </c>
      <c r="C3196" s="113" t="s">
        <v>20</v>
      </c>
      <c r="D3196" s="113" t="s">
        <v>1982</v>
      </c>
      <c r="E3196" s="139" t="s">
        <v>1369</v>
      </c>
      <c r="F3196" s="139"/>
      <c r="G3196" s="112" t="s">
        <v>213</v>
      </c>
      <c r="H3196" s="111">
        <v>0.28000000000000003</v>
      </c>
      <c r="I3196" s="110">
        <v>0.37</v>
      </c>
      <c r="J3196" s="110">
        <v>0.1</v>
      </c>
    </row>
    <row r="3197" spans="1:10" ht="24" customHeight="1" x14ac:dyDescent="0.2">
      <c r="A3197" s="113" t="s">
        <v>1859</v>
      </c>
      <c r="B3197" s="114" t="s">
        <v>1951</v>
      </c>
      <c r="C3197" s="113" t="s">
        <v>20</v>
      </c>
      <c r="D3197" s="113" t="s">
        <v>1950</v>
      </c>
      <c r="E3197" s="139" t="s">
        <v>1860</v>
      </c>
      <c r="F3197" s="139"/>
      <c r="G3197" s="112" t="s">
        <v>1864</v>
      </c>
      <c r="H3197" s="111">
        <v>0.2</v>
      </c>
      <c r="I3197" s="110">
        <v>10.62</v>
      </c>
      <c r="J3197" s="110">
        <v>2.12</v>
      </c>
    </row>
    <row r="3198" spans="1:10" ht="24" customHeight="1" x14ac:dyDescent="0.2">
      <c r="A3198" s="113" t="s">
        <v>1859</v>
      </c>
      <c r="B3198" s="114" t="s">
        <v>1981</v>
      </c>
      <c r="C3198" s="113" t="s">
        <v>20</v>
      </c>
      <c r="D3198" s="113" t="s">
        <v>1980</v>
      </c>
      <c r="E3198" s="139" t="s">
        <v>1860</v>
      </c>
      <c r="F3198" s="139"/>
      <c r="G3198" s="112" t="s">
        <v>1864</v>
      </c>
      <c r="H3198" s="111">
        <v>0.2</v>
      </c>
      <c r="I3198" s="110">
        <v>15.97</v>
      </c>
      <c r="J3198" s="110">
        <v>3.19</v>
      </c>
    </row>
    <row r="3199" spans="1:10" ht="24" customHeight="1" x14ac:dyDescent="0.2">
      <c r="A3199" s="113" t="s">
        <v>1859</v>
      </c>
      <c r="B3199" s="114" t="s">
        <v>1987</v>
      </c>
      <c r="C3199" s="113" t="s">
        <v>20</v>
      </c>
      <c r="D3199" s="113" t="s">
        <v>1986</v>
      </c>
      <c r="E3199" s="139" t="s">
        <v>1369</v>
      </c>
      <c r="F3199" s="139"/>
      <c r="G3199" s="112" t="s">
        <v>246</v>
      </c>
      <c r="H3199" s="111">
        <v>1</v>
      </c>
      <c r="I3199" s="110">
        <v>93.01</v>
      </c>
      <c r="J3199" s="110">
        <v>93.01</v>
      </c>
    </row>
    <row r="3200" spans="1:10" x14ac:dyDescent="0.2">
      <c r="A3200" s="109"/>
      <c r="B3200" s="109"/>
      <c r="C3200" s="109"/>
      <c r="D3200" s="109"/>
      <c r="E3200" s="109" t="s">
        <v>1858</v>
      </c>
      <c r="F3200" s="108">
        <v>5.31</v>
      </c>
      <c r="G3200" s="109" t="s">
        <v>1857</v>
      </c>
      <c r="H3200" s="108">
        <v>0</v>
      </c>
      <c r="I3200" s="109" t="s">
        <v>1856</v>
      </c>
      <c r="J3200" s="108">
        <v>5.31</v>
      </c>
    </row>
    <row r="3201" spans="1:10" ht="13.9" customHeight="1" x14ac:dyDescent="0.2">
      <c r="A3201" s="109"/>
      <c r="B3201" s="109"/>
      <c r="C3201" s="109"/>
      <c r="D3201" s="109"/>
      <c r="E3201" s="109" t="s">
        <v>1855</v>
      </c>
      <c r="F3201" s="108">
        <v>26.130510000000001</v>
      </c>
      <c r="G3201" s="109"/>
      <c r="H3201" s="140" t="s">
        <v>1854</v>
      </c>
      <c r="I3201" s="140"/>
      <c r="J3201" s="108">
        <v>124.55</v>
      </c>
    </row>
    <row r="3202" spans="1:10" ht="30" customHeight="1" thickBot="1" x14ac:dyDescent="0.25">
      <c r="A3202" s="100"/>
      <c r="B3202" s="100"/>
      <c r="C3202" s="100"/>
      <c r="D3202" s="100"/>
      <c r="E3202" s="100"/>
      <c r="F3202" s="100"/>
      <c r="G3202" s="100" t="s">
        <v>1853</v>
      </c>
      <c r="H3202" s="107">
        <v>2</v>
      </c>
      <c r="I3202" s="100" t="s">
        <v>1852</v>
      </c>
      <c r="J3202" s="102">
        <v>249.1</v>
      </c>
    </row>
    <row r="3203" spans="1:10" ht="1.1499999999999999" customHeight="1" thickTop="1" x14ac:dyDescent="0.2">
      <c r="A3203" s="106"/>
      <c r="B3203" s="106"/>
      <c r="C3203" s="106"/>
      <c r="D3203" s="106"/>
      <c r="E3203" s="106"/>
      <c r="F3203" s="106"/>
      <c r="G3203" s="106"/>
      <c r="H3203" s="106"/>
      <c r="I3203" s="106"/>
      <c r="J3203" s="106"/>
    </row>
    <row r="3204" spans="1:10" ht="18" customHeight="1" x14ac:dyDescent="0.2">
      <c r="A3204" s="117" t="s">
        <v>1222</v>
      </c>
      <c r="B3204" s="126" t="s">
        <v>5</v>
      </c>
      <c r="C3204" s="117" t="s">
        <v>6</v>
      </c>
      <c r="D3204" s="117" t="s">
        <v>7</v>
      </c>
      <c r="E3204" s="136" t="s">
        <v>1113</v>
      </c>
      <c r="F3204" s="136"/>
      <c r="G3204" s="7" t="s">
        <v>8</v>
      </c>
      <c r="H3204" s="126" t="s">
        <v>9</v>
      </c>
      <c r="I3204" s="126" t="s">
        <v>10</v>
      </c>
      <c r="J3204" s="126" t="s">
        <v>12</v>
      </c>
    </row>
    <row r="3205" spans="1:10" ht="24" customHeight="1" x14ac:dyDescent="0.2">
      <c r="A3205" s="116" t="s">
        <v>1861</v>
      </c>
      <c r="B3205" s="1" t="s">
        <v>1221</v>
      </c>
      <c r="C3205" s="116" t="s">
        <v>20</v>
      </c>
      <c r="D3205" s="116" t="s">
        <v>1220</v>
      </c>
      <c r="E3205" s="137">
        <v>8</v>
      </c>
      <c r="F3205" s="137"/>
      <c r="G3205" s="2" t="s">
        <v>92</v>
      </c>
      <c r="H3205" s="115">
        <v>1</v>
      </c>
      <c r="I3205" s="61">
        <v>8.01</v>
      </c>
      <c r="J3205" s="61">
        <v>8.01</v>
      </c>
    </row>
    <row r="3206" spans="1:10" ht="24" customHeight="1" x14ac:dyDescent="0.2">
      <c r="A3206" s="113" t="s">
        <v>1859</v>
      </c>
      <c r="B3206" s="114" t="s">
        <v>1951</v>
      </c>
      <c r="C3206" s="113" t="s">
        <v>20</v>
      </c>
      <c r="D3206" s="113" t="s">
        <v>1950</v>
      </c>
      <c r="E3206" s="139" t="s">
        <v>1860</v>
      </c>
      <c r="F3206" s="139"/>
      <c r="G3206" s="112" t="s">
        <v>1864</v>
      </c>
      <c r="H3206" s="111">
        <v>0.12</v>
      </c>
      <c r="I3206" s="110">
        <v>10.62</v>
      </c>
      <c r="J3206" s="110">
        <v>1.27</v>
      </c>
    </row>
    <row r="3207" spans="1:10" ht="24" customHeight="1" x14ac:dyDescent="0.2">
      <c r="A3207" s="113" t="s">
        <v>1859</v>
      </c>
      <c r="B3207" s="114" t="s">
        <v>1981</v>
      </c>
      <c r="C3207" s="113" t="s">
        <v>20</v>
      </c>
      <c r="D3207" s="113" t="s">
        <v>1980</v>
      </c>
      <c r="E3207" s="139" t="s">
        <v>1860</v>
      </c>
      <c r="F3207" s="139"/>
      <c r="G3207" s="112" t="s">
        <v>1864</v>
      </c>
      <c r="H3207" s="111">
        <v>0.12</v>
      </c>
      <c r="I3207" s="110">
        <v>15.97</v>
      </c>
      <c r="J3207" s="110">
        <v>1.92</v>
      </c>
    </row>
    <row r="3208" spans="1:10" ht="24" customHeight="1" x14ac:dyDescent="0.2">
      <c r="A3208" s="113" t="s">
        <v>1859</v>
      </c>
      <c r="B3208" s="114" t="s">
        <v>1985</v>
      </c>
      <c r="C3208" s="113" t="s">
        <v>20</v>
      </c>
      <c r="D3208" s="113" t="s">
        <v>1984</v>
      </c>
      <c r="E3208" s="139" t="s">
        <v>1369</v>
      </c>
      <c r="F3208" s="139"/>
      <c r="G3208" s="112" t="s">
        <v>213</v>
      </c>
      <c r="H3208" s="111">
        <v>1.01</v>
      </c>
      <c r="I3208" s="110">
        <v>4.7699999999999996</v>
      </c>
      <c r="J3208" s="110">
        <v>4.82</v>
      </c>
    </row>
    <row r="3209" spans="1:10" x14ac:dyDescent="0.2">
      <c r="A3209" s="109"/>
      <c r="B3209" s="109"/>
      <c r="C3209" s="109"/>
      <c r="D3209" s="109"/>
      <c r="E3209" s="109" t="s">
        <v>1858</v>
      </c>
      <c r="F3209" s="108">
        <v>3.19</v>
      </c>
      <c r="G3209" s="109" t="s">
        <v>1857</v>
      </c>
      <c r="H3209" s="108">
        <v>0</v>
      </c>
      <c r="I3209" s="109" t="s">
        <v>1856</v>
      </c>
      <c r="J3209" s="108">
        <v>3.19</v>
      </c>
    </row>
    <row r="3210" spans="1:10" ht="13.9" customHeight="1" x14ac:dyDescent="0.2">
      <c r="A3210" s="109"/>
      <c r="B3210" s="109"/>
      <c r="C3210" s="109"/>
      <c r="D3210" s="109"/>
      <c r="E3210" s="109" t="s">
        <v>1855</v>
      </c>
      <c r="F3210" s="108">
        <v>2.126655</v>
      </c>
      <c r="G3210" s="109"/>
      <c r="H3210" s="140" t="s">
        <v>1854</v>
      </c>
      <c r="I3210" s="140"/>
      <c r="J3210" s="108">
        <v>10.14</v>
      </c>
    </row>
    <row r="3211" spans="1:10" ht="30" customHeight="1" thickBot="1" x14ac:dyDescent="0.25">
      <c r="A3211" s="100"/>
      <c r="B3211" s="100"/>
      <c r="C3211" s="100"/>
      <c r="D3211" s="100"/>
      <c r="E3211" s="100"/>
      <c r="F3211" s="100"/>
      <c r="G3211" s="100" t="s">
        <v>1853</v>
      </c>
      <c r="H3211" s="107">
        <v>12</v>
      </c>
      <c r="I3211" s="100" t="s">
        <v>1852</v>
      </c>
      <c r="J3211" s="102">
        <v>121.68</v>
      </c>
    </row>
    <row r="3212" spans="1:10" ht="1.1499999999999999" customHeight="1" thickTop="1" x14ac:dyDescent="0.2">
      <c r="A3212" s="106"/>
      <c r="B3212" s="106"/>
      <c r="C3212" s="106"/>
      <c r="D3212" s="106"/>
      <c r="E3212" s="106"/>
      <c r="F3212" s="106"/>
      <c r="G3212" s="106"/>
      <c r="H3212" s="106"/>
      <c r="I3212" s="106"/>
      <c r="J3212" s="106"/>
    </row>
    <row r="3213" spans="1:10" ht="18" customHeight="1" x14ac:dyDescent="0.2">
      <c r="A3213" s="117" t="s">
        <v>1219</v>
      </c>
      <c r="B3213" s="126" t="s">
        <v>5</v>
      </c>
      <c r="C3213" s="117" t="s">
        <v>6</v>
      </c>
      <c r="D3213" s="117" t="s">
        <v>7</v>
      </c>
      <c r="E3213" s="136" t="s">
        <v>1113</v>
      </c>
      <c r="F3213" s="136"/>
      <c r="G3213" s="7" t="s">
        <v>8</v>
      </c>
      <c r="H3213" s="126" t="s">
        <v>9</v>
      </c>
      <c r="I3213" s="126" t="s">
        <v>10</v>
      </c>
      <c r="J3213" s="126" t="s">
        <v>12</v>
      </c>
    </row>
    <row r="3214" spans="1:10" ht="24" customHeight="1" x14ac:dyDescent="0.2">
      <c r="A3214" s="116" t="s">
        <v>1861</v>
      </c>
      <c r="B3214" s="1" t="s">
        <v>1218</v>
      </c>
      <c r="C3214" s="116" t="s">
        <v>20</v>
      </c>
      <c r="D3214" s="116" t="s">
        <v>1217</v>
      </c>
      <c r="E3214" s="137">
        <v>8</v>
      </c>
      <c r="F3214" s="137"/>
      <c r="G3214" s="2" t="s">
        <v>37</v>
      </c>
      <c r="H3214" s="115">
        <v>1</v>
      </c>
      <c r="I3214" s="61">
        <v>76.37</v>
      </c>
      <c r="J3214" s="61">
        <v>76.37</v>
      </c>
    </row>
    <row r="3215" spans="1:10" ht="24" customHeight="1" x14ac:dyDescent="0.2">
      <c r="A3215" s="113" t="s">
        <v>1859</v>
      </c>
      <c r="B3215" s="114" t="s">
        <v>1983</v>
      </c>
      <c r="C3215" s="113" t="s">
        <v>20</v>
      </c>
      <c r="D3215" s="113" t="s">
        <v>1982</v>
      </c>
      <c r="E3215" s="139" t="s">
        <v>1369</v>
      </c>
      <c r="F3215" s="139"/>
      <c r="G3215" s="112" t="s">
        <v>213</v>
      </c>
      <c r="H3215" s="111">
        <v>0.94</v>
      </c>
      <c r="I3215" s="110">
        <v>0.37</v>
      </c>
      <c r="J3215" s="110">
        <v>0.35</v>
      </c>
    </row>
    <row r="3216" spans="1:10" ht="24" customHeight="1" x14ac:dyDescent="0.2">
      <c r="A3216" s="113" t="s">
        <v>1859</v>
      </c>
      <c r="B3216" s="114" t="s">
        <v>1951</v>
      </c>
      <c r="C3216" s="113" t="s">
        <v>20</v>
      </c>
      <c r="D3216" s="113" t="s">
        <v>1950</v>
      </c>
      <c r="E3216" s="139" t="s">
        <v>1860</v>
      </c>
      <c r="F3216" s="139"/>
      <c r="G3216" s="112" t="s">
        <v>1864</v>
      </c>
      <c r="H3216" s="111">
        <v>0.61</v>
      </c>
      <c r="I3216" s="110">
        <v>10.62</v>
      </c>
      <c r="J3216" s="110">
        <v>6.48</v>
      </c>
    </row>
    <row r="3217" spans="1:10" ht="24" customHeight="1" x14ac:dyDescent="0.2">
      <c r="A3217" s="113" t="s">
        <v>1859</v>
      </c>
      <c r="B3217" s="114" t="s">
        <v>1981</v>
      </c>
      <c r="C3217" s="113" t="s">
        <v>20</v>
      </c>
      <c r="D3217" s="113" t="s">
        <v>1980</v>
      </c>
      <c r="E3217" s="139" t="s">
        <v>1860</v>
      </c>
      <c r="F3217" s="139"/>
      <c r="G3217" s="112" t="s">
        <v>1864</v>
      </c>
      <c r="H3217" s="111">
        <v>0.61</v>
      </c>
      <c r="I3217" s="110">
        <v>15.97</v>
      </c>
      <c r="J3217" s="110">
        <v>9.74</v>
      </c>
    </row>
    <row r="3218" spans="1:10" ht="24" customHeight="1" x14ac:dyDescent="0.2">
      <c r="A3218" s="113" t="s">
        <v>1859</v>
      </c>
      <c r="B3218" s="114" t="s">
        <v>1979</v>
      </c>
      <c r="C3218" s="113" t="s">
        <v>20</v>
      </c>
      <c r="D3218" s="113" t="s">
        <v>1978</v>
      </c>
      <c r="E3218" s="139" t="s">
        <v>1369</v>
      </c>
      <c r="F3218" s="139"/>
      <c r="G3218" s="112" t="s">
        <v>246</v>
      </c>
      <c r="H3218" s="111">
        <v>1</v>
      </c>
      <c r="I3218" s="110">
        <v>59.8</v>
      </c>
      <c r="J3218" s="110">
        <v>59.8</v>
      </c>
    </row>
    <row r="3219" spans="1:10" x14ac:dyDescent="0.2">
      <c r="A3219" s="109"/>
      <c r="B3219" s="109"/>
      <c r="C3219" s="109"/>
      <c r="D3219" s="109"/>
      <c r="E3219" s="109" t="s">
        <v>1858</v>
      </c>
      <c r="F3219" s="108">
        <v>16.22</v>
      </c>
      <c r="G3219" s="109" t="s">
        <v>1857</v>
      </c>
      <c r="H3219" s="108">
        <v>0</v>
      </c>
      <c r="I3219" s="109" t="s">
        <v>1856</v>
      </c>
      <c r="J3219" s="108">
        <v>16.22</v>
      </c>
    </row>
    <row r="3220" spans="1:10" ht="13.9" customHeight="1" x14ac:dyDescent="0.2">
      <c r="A3220" s="109"/>
      <c r="B3220" s="109"/>
      <c r="C3220" s="109"/>
      <c r="D3220" s="109"/>
      <c r="E3220" s="109" t="s">
        <v>1855</v>
      </c>
      <c r="F3220" s="108">
        <v>20.276235</v>
      </c>
      <c r="G3220" s="109"/>
      <c r="H3220" s="140" t="s">
        <v>1854</v>
      </c>
      <c r="I3220" s="140"/>
      <c r="J3220" s="108">
        <v>96.65</v>
      </c>
    </row>
    <row r="3221" spans="1:10" ht="30" customHeight="1" thickBot="1" x14ac:dyDescent="0.25">
      <c r="A3221" s="100"/>
      <c r="B3221" s="100"/>
      <c r="C3221" s="100"/>
      <c r="D3221" s="100"/>
      <c r="E3221" s="100"/>
      <c r="F3221" s="100"/>
      <c r="G3221" s="100" t="s">
        <v>1853</v>
      </c>
      <c r="H3221" s="107">
        <v>2</v>
      </c>
      <c r="I3221" s="100" t="s">
        <v>1852</v>
      </c>
      <c r="J3221" s="102">
        <v>193.3</v>
      </c>
    </row>
    <row r="3222" spans="1:10" ht="1.1499999999999999" customHeight="1" thickTop="1" x14ac:dyDescent="0.2">
      <c r="A3222" s="106"/>
      <c r="B3222" s="106"/>
      <c r="C3222" s="106"/>
      <c r="D3222" s="106"/>
      <c r="E3222" s="106"/>
      <c r="F3222" s="106"/>
      <c r="G3222" s="106"/>
      <c r="H3222" s="106"/>
      <c r="I3222" s="106"/>
      <c r="J3222" s="106"/>
    </row>
    <row r="3223" spans="1:10" ht="24" customHeight="1" x14ac:dyDescent="0.2">
      <c r="A3223" s="123" t="s">
        <v>1216</v>
      </c>
      <c r="B3223" s="123"/>
      <c r="C3223" s="123"/>
      <c r="D3223" s="123" t="s">
        <v>732</v>
      </c>
      <c r="E3223" s="123"/>
      <c r="F3223" s="142"/>
      <c r="G3223" s="142"/>
      <c r="H3223" s="3"/>
      <c r="I3223" s="123"/>
      <c r="J3223" s="63">
        <v>139174.66</v>
      </c>
    </row>
    <row r="3224" spans="1:10" ht="18" customHeight="1" x14ac:dyDescent="0.2">
      <c r="A3224" s="117" t="s">
        <v>1215</v>
      </c>
      <c r="B3224" s="126" t="s">
        <v>5</v>
      </c>
      <c r="C3224" s="117" t="s">
        <v>6</v>
      </c>
      <c r="D3224" s="117" t="s">
        <v>7</v>
      </c>
      <c r="E3224" s="136" t="s">
        <v>1113</v>
      </c>
      <c r="F3224" s="136"/>
      <c r="G3224" s="7" t="s">
        <v>8</v>
      </c>
      <c r="H3224" s="126" t="s">
        <v>9</v>
      </c>
      <c r="I3224" s="126" t="s">
        <v>10</v>
      </c>
      <c r="J3224" s="126" t="s">
        <v>12</v>
      </c>
    </row>
    <row r="3225" spans="1:10" ht="24" customHeight="1" x14ac:dyDescent="0.2">
      <c r="A3225" s="116" t="s">
        <v>1861</v>
      </c>
      <c r="B3225" s="1" t="s">
        <v>734</v>
      </c>
      <c r="C3225" s="116" t="s">
        <v>20</v>
      </c>
      <c r="D3225" s="116" t="s">
        <v>735</v>
      </c>
      <c r="E3225" s="137">
        <v>18</v>
      </c>
      <c r="F3225" s="137"/>
      <c r="G3225" s="2" t="s">
        <v>22</v>
      </c>
      <c r="H3225" s="115">
        <v>1</v>
      </c>
      <c r="I3225" s="61">
        <v>456.13</v>
      </c>
      <c r="J3225" s="61">
        <v>456.13</v>
      </c>
    </row>
    <row r="3226" spans="1:10" ht="24" customHeight="1" x14ac:dyDescent="0.2">
      <c r="A3226" s="113" t="s">
        <v>1859</v>
      </c>
      <c r="B3226" s="114" t="s">
        <v>1977</v>
      </c>
      <c r="C3226" s="113" t="s">
        <v>20</v>
      </c>
      <c r="D3226" s="113" t="s">
        <v>1976</v>
      </c>
      <c r="E3226" s="139" t="s">
        <v>1369</v>
      </c>
      <c r="F3226" s="139"/>
      <c r="G3226" s="112" t="s">
        <v>96</v>
      </c>
      <c r="H3226" s="111">
        <v>0.19839999999999999</v>
      </c>
      <c r="I3226" s="110">
        <v>8.73</v>
      </c>
      <c r="J3226" s="110">
        <v>1.73</v>
      </c>
    </row>
    <row r="3227" spans="1:10" ht="24" customHeight="1" x14ac:dyDescent="0.2">
      <c r="A3227" s="113" t="s">
        <v>1859</v>
      </c>
      <c r="B3227" s="114" t="s">
        <v>1975</v>
      </c>
      <c r="C3227" s="113" t="s">
        <v>20</v>
      </c>
      <c r="D3227" s="113" t="s">
        <v>1974</v>
      </c>
      <c r="E3227" s="139" t="s">
        <v>1369</v>
      </c>
      <c r="F3227" s="139"/>
      <c r="G3227" s="112" t="s">
        <v>246</v>
      </c>
      <c r="H3227" s="111">
        <v>0.2334</v>
      </c>
      <c r="I3227" s="110">
        <v>7.17</v>
      </c>
      <c r="J3227" s="110">
        <v>1.67</v>
      </c>
    </row>
    <row r="3228" spans="1:10" ht="24" customHeight="1" x14ac:dyDescent="0.2">
      <c r="A3228" s="113" t="s">
        <v>1859</v>
      </c>
      <c r="B3228" s="114" t="s">
        <v>1973</v>
      </c>
      <c r="C3228" s="113" t="s">
        <v>20</v>
      </c>
      <c r="D3228" s="113" t="s">
        <v>1972</v>
      </c>
      <c r="E3228" s="139" t="s">
        <v>1369</v>
      </c>
      <c r="F3228" s="139"/>
      <c r="G3228" s="112" t="s">
        <v>246</v>
      </c>
      <c r="H3228" s="111">
        <v>1</v>
      </c>
      <c r="I3228" s="110">
        <v>126.52</v>
      </c>
      <c r="J3228" s="110">
        <v>126.52</v>
      </c>
    </row>
    <row r="3229" spans="1:10" ht="24" customHeight="1" x14ac:dyDescent="0.2">
      <c r="A3229" s="113" t="s">
        <v>1859</v>
      </c>
      <c r="B3229" s="114" t="s">
        <v>1971</v>
      </c>
      <c r="C3229" s="113" t="s">
        <v>20</v>
      </c>
      <c r="D3229" s="113" t="s">
        <v>1970</v>
      </c>
      <c r="E3229" s="139" t="s">
        <v>1369</v>
      </c>
      <c r="F3229" s="139"/>
      <c r="G3229" s="112" t="s">
        <v>246</v>
      </c>
      <c r="H3229" s="111">
        <v>5.0999999999999997E-2</v>
      </c>
      <c r="I3229" s="110">
        <v>15.46</v>
      </c>
      <c r="J3229" s="110">
        <v>0.79</v>
      </c>
    </row>
    <row r="3230" spans="1:10" ht="24" customHeight="1" x14ac:dyDescent="0.2">
      <c r="A3230" s="113" t="s">
        <v>1859</v>
      </c>
      <c r="B3230" s="114" t="s">
        <v>1969</v>
      </c>
      <c r="C3230" s="113" t="s">
        <v>20</v>
      </c>
      <c r="D3230" s="113" t="s">
        <v>1968</v>
      </c>
      <c r="E3230" s="139" t="s">
        <v>1369</v>
      </c>
      <c r="F3230" s="139"/>
      <c r="G3230" s="112" t="s">
        <v>96</v>
      </c>
      <c r="H3230" s="111">
        <v>0.373</v>
      </c>
      <c r="I3230" s="110">
        <v>10.08</v>
      </c>
      <c r="J3230" s="110">
        <v>3.76</v>
      </c>
    </row>
    <row r="3231" spans="1:10" ht="24" customHeight="1" x14ac:dyDescent="0.2">
      <c r="A3231" s="113" t="s">
        <v>1859</v>
      </c>
      <c r="B3231" s="114" t="s">
        <v>1967</v>
      </c>
      <c r="C3231" s="113" t="s">
        <v>20</v>
      </c>
      <c r="D3231" s="113" t="s">
        <v>1966</v>
      </c>
      <c r="E3231" s="139" t="s">
        <v>1369</v>
      </c>
      <c r="F3231" s="139"/>
      <c r="G3231" s="112" t="s">
        <v>96</v>
      </c>
      <c r="H3231" s="111">
        <v>0.11459999999999999</v>
      </c>
      <c r="I3231" s="110">
        <v>20.62</v>
      </c>
      <c r="J3231" s="110">
        <v>2.36</v>
      </c>
    </row>
    <row r="3232" spans="1:10" ht="24" customHeight="1" x14ac:dyDescent="0.2">
      <c r="A3232" s="113" t="s">
        <v>1859</v>
      </c>
      <c r="B3232" s="114" t="s">
        <v>1965</v>
      </c>
      <c r="C3232" s="113" t="s">
        <v>20</v>
      </c>
      <c r="D3232" s="113" t="s">
        <v>1964</v>
      </c>
      <c r="E3232" s="139" t="s">
        <v>1369</v>
      </c>
      <c r="F3232" s="139"/>
      <c r="G3232" s="112" t="s">
        <v>96</v>
      </c>
      <c r="H3232" s="111">
        <v>0.69840000000000002</v>
      </c>
      <c r="I3232" s="110">
        <v>10.199999999999999</v>
      </c>
      <c r="J3232" s="110">
        <v>7.12</v>
      </c>
    </row>
    <row r="3233" spans="1:10" ht="24" customHeight="1" x14ac:dyDescent="0.2">
      <c r="A3233" s="113" t="s">
        <v>1859</v>
      </c>
      <c r="B3233" s="114" t="s">
        <v>1963</v>
      </c>
      <c r="C3233" s="113" t="s">
        <v>20</v>
      </c>
      <c r="D3233" s="113" t="s">
        <v>1962</v>
      </c>
      <c r="E3233" s="139" t="s">
        <v>1369</v>
      </c>
      <c r="F3233" s="139"/>
      <c r="G3233" s="112" t="s">
        <v>246</v>
      </c>
      <c r="H3233" s="111">
        <v>0.25509999999999999</v>
      </c>
      <c r="I3233" s="110">
        <v>2.14</v>
      </c>
      <c r="J3233" s="110">
        <v>0.55000000000000004</v>
      </c>
    </row>
    <row r="3234" spans="1:10" ht="24" customHeight="1" x14ac:dyDescent="0.2">
      <c r="A3234" s="113" t="s">
        <v>1859</v>
      </c>
      <c r="B3234" s="114" t="s">
        <v>1961</v>
      </c>
      <c r="C3234" s="113" t="s">
        <v>20</v>
      </c>
      <c r="D3234" s="113" t="s">
        <v>1960</v>
      </c>
      <c r="E3234" s="139" t="s">
        <v>1369</v>
      </c>
      <c r="F3234" s="139"/>
      <c r="G3234" s="112" t="s">
        <v>96</v>
      </c>
      <c r="H3234" s="111">
        <v>0.2041</v>
      </c>
      <c r="I3234" s="110">
        <v>27.58</v>
      </c>
      <c r="J3234" s="110">
        <v>5.63</v>
      </c>
    </row>
    <row r="3235" spans="1:10" ht="24" customHeight="1" x14ac:dyDescent="0.2">
      <c r="A3235" s="113" t="s">
        <v>1859</v>
      </c>
      <c r="B3235" s="114" t="s">
        <v>1959</v>
      </c>
      <c r="C3235" s="113" t="s">
        <v>20</v>
      </c>
      <c r="D3235" s="113" t="s">
        <v>1958</v>
      </c>
      <c r="E3235" s="139" t="s">
        <v>1369</v>
      </c>
      <c r="F3235" s="139"/>
      <c r="G3235" s="112" t="s">
        <v>96</v>
      </c>
      <c r="H3235" s="111">
        <v>1.6349</v>
      </c>
      <c r="I3235" s="110">
        <v>12.99</v>
      </c>
      <c r="J3235" s="110">
        <v>21.24</v>
      </c>
    </row>
    <row r="3236" spans="1:10" ht="24" customHeight="1" x14ac:dyDescent="0.2">
      <c r="A3236" s="113" t="s">
        <v>1859</v>
      </c>
      <c r="B3236" s="114" t="s">
        <v>1957</v>
      </c>
      <c r="C3236" s="113" t="s">
        <v>20</v>
      </c>
      <c r="D3236" s="113" t="s">
        <v>1956</v>
      </c>
      <c r="E3236" s="139" t="s">
        <v>1369</v>
      </c>
      <c r="F3236" s="139"/>
      <c r="G3236" s="112" t="s">
        <v>96</v>
      </c>
      <c r="H3236" s="111">
        <v>5.0952000000000002</v>
      </c>
      <c r="I3236" s="110">
        <v>12.99</v>
      </c>
      <c r="J3236" s="110">
        <v>66.19</v>
      </c>
    </row>
    <row r="3237" spans="1:10" ht="24" customHeight="1" x14ac:dyDescent="0.2">
      <c r="A3237" s="113" t="s">
        <v>1859</v>
      </c>
      <c r="B3237" s="114" t="s">
        <v>1955</v>
      </c>
      <c r="C3237" s="113" t="s">
        <v>20</v>
      </c>
      <c r="D3237" s="113" t="s">
        <v>1954</v>
      </c>
      <c r="E3237" s="139" t="s">
        <v>1369</v>
      </c>
      <c r="F3237" s="139"/>
      <c r="G3237" s="112" t="s">
        <v>96</v>
      </c>
      <c r="H3237" s="111">
        <v>8.5556000000000001</v>
      </c>
      <c r="I3237" s="110">
        <v>13.4</v>
      </c>
      <c r="J3237" s="110">
        <v>114.65</v>
      </c>
    </row>
    <row r="3238" spans="1:10" ht="24" customHeight="1" x14ac:dyDescent="0.2">
      <c r="A3238" s="113" t="s">
        <v>1859</v>
      </c>
      <c r="B3238" s="114" t="s">
        <v>1953</v>
      </c>
      <c r="C3238" s="113" t="s">
        <v>20</v>
      </c>
      <c r="D3238" s="113" t="s">
        <v>1952</v>
      </c>
      <c r="E3238" s="139" t="s">
        <v>1369</v>
      </c>
      <c r="F3238" s="139"/>
      <c r="G3238" s="112" t="s">
        <v>96</v>
      </c>
      <c r="H3238" s="111">
        <v>6.9762000000000004</v>
      </c>
      <c r="I3238" s="110">
        <v>12.99</v>
      </c>
      <c r="J3238" s="110">
        <v>90.62</v>
      </c>
    </row>
    <row r="3239" spans="1:10" ht="24" customHeight="1" x14ac:dyDescent="0.2">
      <c r="A3239" s="113" t="s">
        <v>1859</v>
      </c>
      <c r="B3239" s="114" t="s">
        <v>1951</v>
      </c>
      <c r="C3239" s="113" t="s">
        <v>20</v>
      </c>
      <c r="D3239" s="113" t="s">
        <v>1950</v>
      </c>
      <c r="E3239" s="139" t="s">
        <v>1860</v>
      </c>
      <c r="F3239" s="139"/>
      <c r="G3239" s="112" t="s">
        <v>1864</v>
      </c>
      <c r="H3239" s="111">
        <v>0.5</v>
      </c>
      <c r="I3239" s="110">
        <v>10.62</v>
      </c>
      <c r="J3239" s="110">
        <v>5.31</v>
      </c>
    </row>
    <row r="3240" spans="1:10" ht="24" customHeight="1" x14ac:dyDescent="0.2">
      <c r="A3240" s="113" t="s">
        <v>1859</v>
      </c>
      <c r="B3240" s="114" t="s">
        <v>1949</v>
      </c>
      <c r="C3240" s="113" t="s">
        <v>20</v>
      </c>
      <c r="D3240" s="113" t="s">
        <v>1948</v>
      </c>
      <c r="E3240" s="139" t="s">
        <v>1860</v>
      </c>
      <c r="F3240" s="139"/>
      <c r="G3240" s="112" t="s">
        <v>1864</v>
      </c>
      <c r="H3240" s="111">
        <v>0.5</v>
      </c>
      <c r="I3240" s="110">
        <v>15.97</v>
      </c>
      <c r="J3240" s="110">
        <v>7.99</v>
      </c>
    </row>
    <row r="3241" spans="1:10" x14ac:dyDescent="0.2">
      <c r="A3241" s="109"/>
      <c r="B3241" s="109"/>
      <c r="C3241" s="109"/>
      <c r="D3241" s="109"/>
      <c r="E3241" s="109" t="s">
        <v>1858</v>
      </c>
      <c r="F3241" s="108">
        <v>13.3</v>
      </c>
      <c r="G3241" s="109" t="s">
        <v>1857</v>
      </c>
      <c r="H3241" s="108">
        <v>0</v>
      </c>
      <c r="I3241" s="109" t="s">
        <v>1856</v>
      </c>
      <c r="J3241" s="108">
        <v>13.3</v>
      </c>
    </row>
    <row r="3242" spans="1:10" ht="13.9" customHeight="1" x14ac:dyDescent="0.2">
      <c r="A3242" s="109"/>
      <c r="B3242" s="109"/>
      <c r="C3242" s="109"/>
      <c r="D3242" s="109"/>
      <c r="E3242" s="109" t="s">
        <v>1855</v>
      </c>
      <c r="F3242" s="108">
        <v>121.102515</v>
      </c>
      <c r="G3242" s="109"/>
      <c r="H3242" s="140" t="s">
        <v>1854</v>
      </c>
      <c r="I3242" s="140"/>
      <c r="J3242" s="108">
        <v>577.23</v>
      </c>
    </row>
    <row r="3243" spans="1:10" ht="30" customHeight="1" thickBot="1" x14ac:dyDescent="0.25">
      <c r="A3243" s="100"/>
      <c r="B3243" s="100"/>
      <c r="C3243" s="100"/>
      <c r="D3243" s="100"/>
      <c r="E3243" s="100"/>
      <c r="F3243" s="100"/>
      <c r="G3243" s="100" t="s">
        <v>1853</v>
      </c>
      <c r="H3243" s="107">
        <v>48.32</v>
      </c>
      <c r="I3243" s="100" t="s">
        <v>1852</v>
      </c>
      <c r="J3243" s="102">
        <v>27891.75</v>
      </c>
    </row>
    <row r="3244" spans="1:10" ht="1.1499999999999999" customHeight="1" thickTop="1" x14ac:dyDescent="0.2">
      <c r="A3244" s="106"/>
      <c r="B3244" s="106"/>
      <c r="C3244" s="106"/>
      <c r="D3244" s="106"/>
      <c r="E3244" s="106"/>
      <c r="F3244" s="106"/>
      <c r="G3244" s="106"/>
      <c r="H3244" s="106"/>
      <c r="I3244" s="106"/>
      <c r="J3244" s="106"/>
    </row>
    <row r="3245" spans="1:10" ht="18" customHeight="1" x14ac:dyDescent="0.2">
      <c r="A3245" s="117" t="s">
        <v>1214</v>
      </c>
      <c r="B3245" s="126" t="s">
        <v>5</v>
      </c>
      <c r="C3245" s="117" t="s">
        <v>6</v>
      </c>
      <c r="D3245" s="117" t="s">
        <v>7</v>
      </c>
      <c r="E3245" s="136" t="s">
        <v>1113</v>
      </c>
      <c r="F3245" s="136"/>
      <c r="G3245" s="7" t="s">
        <v>8</v>
      </c>
      <c r="H3245" s="126" t="s">
        <v>9</v>
      </c>
      <c r="I3245" s="126" t="s">
        <v>10</v>
      </c>
      <c r="J3245" s="126" t="s">
        <v>12</v>
      </c>
    </row>
    <row r="3246" spans="1:10" ht="24" customHeight="1" x14ac:dyDescent="0.2">
      <c r="A3246" s="116" t="s">
        <v>1861</v>
      </c>
      <c r="B3246" s="1" t="s">
        <v>1213</v>
      </c>
      <c r="C3246" s="116" t="s">
        <v>244</v>
      </c>
      <c r="D3246" s="116" t="s">
        <v>1212</v>
      </c>
      <c r="E3246" s="137" t="s">
        <v>1503</v>
      </c>
      <c r="F3246" s="137"/>
      <c r="G3246" s="2" t="s">
        <v>213</v>
      </c>
      <c r="H3246" s="115">
        <v>1</v>
      </c>
      <c r="I3246" s="61">
        <v>181.71</v>
      </c>
      <c r="J3246" s="61">
        <v>181.71</v>
      </c>
    </row>
    <row r="3247" spans="1:10" ht="36" customHeight="1" x14ac:dyDescent="0.2">
      <c r="A3247" s="121" t="s">
        <v>1888</v>
      </c>
      <c r="B3247" s="122" t="s">
        <v>1893</v>
      </c>
      <c r="C3247" s="121" t="s">
        <v>244</v>
      </c>
      <c r="D3247" s="121" t="s">
        <v>1892</v>
      </c>
      <c r="E3247" s="138" t="s">
        <v>1891</v>
      </c>
      <c r="F3247" s="138"/>
      <c r="G3247" s="120" t="s">
        <v>49</v>
      </c>
      <c r="H3247" s="119">
        <v>3.0000000000000001E-3</v>
      </c>
      <c r="I3247" s="118">
        <v>478.18</v>
      </c>
      <c r="J3247" s="118">
        <v>1.43</v>
      </c>
    </row>
    <row r="3248" spans="1:10" ht="24" customHeight="1" x14ac:dyDescent="0.2">
      <c r="A3248" s="121" t="s">
        <v>1888</v>
      </c>
      <c r="B3248" s="122" t="s">
        <v>1890</v>
      </c>
      <c r="C3248" s="121" t="s">
        <v>244</v>
      </c>
      <c r="D3248" s="121" t="s">
        <v>1889</v>
      </c>
      <c r="E3248" s="138" t="s">
        <v>1885</v>
      </c>
      <c r="F3248" s="138"/>
      <c r="G3248" s="120" t="s">
        <v>1864</v>
      </c>
      <c r="H3248" s="119">
        <v>0.5</v>
      </c>
      <c r="I3248" s="118">
        <v>3.61</v>
      </c>
      <c r="J3248" s="118">
        <v>1.81</v>
      </c>
    </row>
    <row r="3249" spans="1:10" ht="24" customHeight="1" x14ac:dyDescent="0.2">
      <c r="A3249" s="121" t="s">
        <v>1888</v>
      </c>
      <c r="B3249" s="122" t="s">
        <v>1887</v>
      </c>
      <c r="C3249" s="121" t="s">
        <v>244</v>
      </c>
      <c r="D3249" s="121" t="s">
        <v>1886</v>
      </c>
      <c r="E3249" s="138" t="s">
        <v>1885</v>
      </c>
      <c r="F3249" s="138"/>
      <c r="G3249" s="120" t="s">
        <v>1864</v>
      </c>
      <c r="H3249" s="119">
        <v>0.3</v>
      </c>
      <c r="I3249" s="118">
        <v>3.51</v>
      </c>
      <c r="J3249" s="118">
        <v>1.05</v>
      </c>
    </row>
    <row r="3250" spans="1:10" ht="24" customHeight="1" x14ac:dyDescent="0.2">
      <c r="A3250" s="121" t="s">
        <v>1888</v>
      </c>
      <c r="B3250" s="122" t="s">
        <v>1947</v>
      </c>
      <c r="C3250" s="121" t="s">
        <v>244</v>
      </c>
      <c r="D3250" s="121" t="s">
        <v>1946</v>
      </c>
      <c r="E3250" s="138" t="s">
        <v>1885</v>
      </c>
      <c r="F3250" s="138"/>
      <c r="G3250" s="120" t="s">
        <v>1864</v>
      </c>
      <c r="H3250" s="119">
        <v>0.3</v>
      </c>
      <c r="I3250" s="118">
        <v>3.44</v>
      </c>
      <c r="J3250" s="118">
        <v>1.03</v>
      </c>
    </row>
    <row r="3251" spans="1:10" ht="24" customHeight="1" x14ac:dyDescent="0.2">
      <c r="A3251" s="121" t="s">
        <v>1888</v>
      </c>
      <c r="B3251" s="122" t="s">
        <v>1945</v>
      </c>
      <c r="C3251" s="121" t="s">
        <v>244</v>
      </c>
      <c r="D3251" s="121" t="s">
        <v>1944</v>
      </c>
      <c r="E3251" s="138" t="s">
        <v>1885</v>
      </c>
      <c r="F3251" s="138"/>
      <c r="G3251" s="120" t="s">
        <v>1864</v>
      </c>
      <c r="H3251" s="119">
        <v>0.3</v>
      </c>
      <c r="I3251" s="118">
        <v>4.1399999999999997</v>
      </c>
      <c r="J3251" s="118">
        <v>1.24</v>
      </c>
    </row>
    <row r="3252" spans="1:10" ht="24" customHeight="1" x14ac:dyDescent="0.2">
      <c r="A3252" s="113" t="s">
        <v>1859</v>
      </c>
      <c r="B3252" s="114" t="s">
        <v>1882</v>
      </c>
      <c r="C3252" s="113" t="s">
        <v>25</v>
      </c>
      <c r="D3252" s="113" t="s">
        <v>1865</v>
      </c>
      <c r="E3252" s="139" t="s">
        <v>1860</v>
      </c>
      <c r="F3252" s="139"/>
      <c r="G3252" s="112" t="s">
        <v>61</v>
      </c>
      <c r="H3252" s="111">
        <v>0.3</v>
      </c>
      <c r="I3252" s="110">
        <v>15.71</v>
      </c>
      <c r="J3252" s="110">
        <v>4.71</v>
      </c>
    </row>
    <row r="3253" spans="1:10" ht="24" customHeight="1" x14ac:dyDescent="0.2">
      <c r="A3253" s="113" t="s">
        <v>1859</v>
      </c>
      <c r="B3253" s="114" t="s">
        <v>1943</v>
      </c>
      <c r="C3253" s="113" t="s">
        <v>25</v>
      </c>
      <c r="D3253" s="113" t="s">
        <v>1942</v>
      </c>
      <c r="E3253" s="139" t="s">
        <v>1860</v>
      </c>
      <c r="F3253" s="139"/>
      <c r="G3253" s="112" t="s">
        <v>61</v>
      </c>
      <c r="H3253" s="111">
        <v>0.3</v>
      </c>
      <c r="I3253" s="110">
        <v>15.71</v>
      </c>
      <c r="J3253" s="110">
        <v>4.71</v>
      </c>
    </row>
    <row r="3254" spans="1:10" ht="24" customHeight="1" x14ac:dyDescent="0.2">
      <c r="A3254" s="113" t="s">
        <v>1859</v>
      </c>
      <c r="B3254" s="114" t="s">
        <v>1881</v>
      </c>
      <c r="C3254" s="113" t="s">
        <v>25</v>
      </c>
      <c r="D3254" s="113" t="s">
        <v>1880</v>
      </c>
      <c r="E3254" s="139" t="s">
        <v>1860</v>
      </c>
      <c r="F3254" s="139"/>
      <c r="G3254" s="112" t="s">
        <v>61</v>
      </c>
      <c r="H3254" s="111">
        <v>0.5</v>
      </c>
      <c r="I3254" s="110">
        <v>10.44</v>
      </c>
      <c r="J3254" s="110">
        <v>5.22</v>
      </c>
    </row>
    <row r="3255" spans="1:10" ht="24" customHeight="1" x14ac:dyDescent="0.2">
      <c r="A3255" s="113" t="s">
        <v>1859</v>
      </c>
      <c r="B3255" s="114" t="s">
        <v>1941</v>
      </c>
      <c r="C3255" s="113" t="s">
        <v>25</v>
      </c>
      <c r="D3255" s="113" t="s">
        <v>1940</v>
      </c>
      <c r="E3255" s="139" t="s">
        <v>1860</v>
      </c>
      <c r="F3255" s="139"/>
      <c r="G3255" s="112" t="s">
        <v>61</v>
      </c>
      <c r="H3255" s="111">
        <v>0.3</v>
      </c>
      <c r="I3255" s="110">
        <v>15.71</v>
      </c>
      <c r="J3255" s="110">
        <v>4.71</v>
      </c>
    </row>
    <row r="3256" spans="1:10" ht="24" customHeight="1" x14ac:dyDescent="0.2">
      <c r="A3256" s="113" t="s">
        <v>1859</v>
      </c>
      <c r="B3256" s="114" t="s">
        <v>1939</v>
      </c>
      <c r="C3256" s="113" t="s">
        <v>25</v>
      </c>
      <c r="D3256" s="113" t="s">
        <v>1938</v>
      </c>
      <c r="E3256" s="139" t="s">
        <v>1369</v>
      </c>
      <c r="F3256" s="139"/>
      <c r="G3256" s="112" t="s">
        <v>1303</v>
      </c>
      <c r="H3256" s="111">
        <v>0.6</v>
      </c>
      <c r="I3256" s="110">
        <v>25</v>
      </c>
      <c r="J3256" s="110">
        <v>15</v>
      </c>
    </row>
    <row r="3257" spans="1:10" ht="36" customHeight="1" x14ac:dyDescent="0.2">
      <c r="A3257" s="113" t="s">
        <v>1859</v>
      </c>
      <c r="B3257" s="114" t="s">
        <v>1921</v>
      </c>
      <c r="C3257" s="113" t="s">
        <v>25</v>
      </c>
      <c r="D3257" s="113" t="s">
        <v>1920</v>
      </c>
      <c r="E3257" s="139" t="s">
        <v>1369</v>
      </c>
      <c r="F3257" s="139"/>
      <c r="G3257" s="112" t="s">
        <v>92</v>
      </c>
      <c r="H3257" s="111">
        <v>2.33</v>
      </c>
      <c r="I3257" s="110">
        <v>60.43</v>
      </c>
      <c r="J3257" s="110">
        <v>140.80000000000001</v>
      </c>
    </row>
    <row r="3258" spans="1:10" x14ac:dyDescent="0.2">
      <c r="A3258" s="109"/>
      <c r="B3258" s="109"/>
      <c r="C3258" s="109"/>
      <c r="D3258" s="109"/>
      <c r="E3258" s="109" t="s">
        <v>1858</v>
      </c>
      <c r="F3258" s="108">
        <v>19.48</v>
      </c>
      <c r="G3258" s="109" t="s">
        <v>1857</v>
      </c>
      <c r="H3258" s="108">
        <v>0</v>
      </c>
      <c r="I3258" s="109" t="s">
        <v>1856</v>
      </c>
      <c r="J3258" s="108">
        <v>19.48</v>
      </c>
    </row>
    <row r="3259" spans="1:10" ht="13.9" customHeight="1" x14ac:dyDescent="0.2">
      <c r="A3259" s="109"/>
      <c r="B3259" s="109"/>
      <c r="C3259" s="109"/>
      <c r="D3259" s="109"/>
      <c r="E3259" s="109" t="s">
        <v>1855</v>
      </c>
      <c r="F3259" s="108">
        <v>48.244005000000001</v>
      </c>
      <c r="G3259" s="109"/>
      <c r="H3259" s="140" t="s">
        <v>1854</v>
      </c>
      <c r="I3259" s="140"/>
      <c r="J3259" s="108">
        <v>229.95</v>
      </c>
    </row>
    <row r="3260" spans="1:10" ht="30" customHeight="1" thickBot="1" x14ac:dyDescent="0.25">
      <c r="A3260" s="100"/>
      <c r="B3260" s="100"/>
      <c r="C3260" s="100"/>
      <c r="D3260" s="100"/>
      <c r="E3260" s="100"/>
      <c r="F3260" s="100"/>
      <c r="G3260" s="100" t="s">
        <v>1853</v>
      </c>
      <c r="H3260" s="107">
        <v>238.9</v>
      </c>
      <c r="I3260" s="100" t="s">
        <v>1852</v>
      </c>
      <c r="J3260" s="102">
        <v>54935.06</v>
      </c>
    </row>
    <row r="3261" spans="1:10" ht="1.1499999999999999" customHeight="1" thickTop="1" x14ac:dyDescent="0.2">
      <c r="A3261" s="106"/>
      <c r="B3261" s="106"/>
      <c r="C3261" s="106"/>
      <c r="D3261" s="106"/>
      <c r="E3261" s="106"/>
      <c r="F3261" s="106"/>
      <c r="G3261" s="106"/>
      <c r="H3261" s="106"/>
      <c r="I3261" s="106"/>
      <c r="J3261" s="106"/>
    </row>
    <row r="3262" spans="1:10" ht="18" customHeight="1" x14ac:dyDescent="0.2">
      <c r="A3262" s="117" t="s">
        <v>1211</v>
      </c>
      <c r="B3262" s="126" t="s">
        <v>5</v>
      </c>
      <c r="C3262" s="117" t="s">
        <v>6</v>
      </c>
      <c r="D3262" s="117" t="s">
        <v>7</v>
      </c>
      <c r="E3262" s="136" t="s">
        <v>1113</v>
      </c>
      <c r="F3262" s="136"/>
      <c r="G3262" s="7" t="s">
        <v>8</v>
      </c>
      <c r="H3262" s="126" t="s">
        <v>9</v>
      </c>
      <c r="I3262" s="126" t="s">
        <v>10</v>
      </c>
      <c r="J3262" s="126" t="s">
        <v>12</v>
      </c>
    </row>
    <row r="3263" spans="1:10" ht="60" customHeight="1" x14ac:dyDescent="0.2">
      <c r="A3263" s="116" t="s">
        <v>1861</v>
      </c>
      <c r="B3263" s="1" t="s">
        <v>738</v>
      </c>
      <c r="C3263" s="116" t="s">
        <v>25</v>
      </c>
      <c r="D3263" s="116" t="s">
        <v>739</v>
      </c>
      <c r="E3263" s="137" t="s">
        <v>1398</v>
      </c>
      <c r="F3263" s="137"/>
      <c r="G3263" s="2" t="s">
        <v>92</v>
      </c>
      <c r="H3263" s="115">
        <v>1</v>
      </c>
      <c r="I3263" s="61">
        <v>574.05999999999995</v>
      </c>
      <c r="J3263" s="61">
        <v>574.05999999999995</v>
      </c>
    </row>
    <row r="3264" spans="1:10" ht="24" customHeight="1" x14ac:dyDescent="0.2">
      <c r="A3264" s="121" t="s">
        <v>1888</v>
      </c>
      <c r="B3264" s="122" t="s">
        <v>1937</v>
      </c>
      <c r="C3264" s="121" t="s">
        <v>25</v>
      </c>
      <c r="D3264" s="121" t="s">
        <v>1936</v>
      </c>
      <c r="E3264" s="138" t="s">
        <v>1902</v>
      </c>
      <c r="F3264" s="138"/>
      <c r="G3264" s="120" t="s">
        <v>61</v>
      </c>
      <c r="H3264" s="119">
        <v>4.5259999999999998</v>
      </c>
      <c r="I3264" s="118">
        <v>15.88</v>
      </c>
      <c r="J3264" s="118">
        <v>71.87</v>
      </c>
    </row>
    <row r="3265" spans="1:10" ht="24" customHeight="1" x14ac:dyDescent="0.2">
      <c r="A3265" s="121" t="s">
        <v>1888</v>
      </c>
      <c r="B3265" s="122" t="s">
        <v>1935</v>
      </c>
      <c r="C3265" s="121" t="s">
        <v>25</v>
      </c>
      <c r="D3265" s="121" t="s">
        <v>1934</v>
      </c>
      <c r="E3265" s="138" t="s">
        <v>1902</v>
      </c>
      <c r="F3265" s="138"/>
      <c r="G3265" s="120" t="s">
        <v>61</v>
      </c>
      <c r="H3265" s="119">
        <v>5.51</v>
      </c>
      <c r="I3265" s="118">
        <v>21.42</v>
      </c>
      <c r="J3265" s="118">
        <v>118.02</v>
      </c>
    </row>
    <row r="3266" spans="1:10" ht="24" customHeight="1" x14ac:dyDescent="0.2">
      <c r="A3266" s="113" t="s">
        <v>1859</v>
      </c>
      <c r="B3266" s="114" t="s">
        <v>1933</v>
      </c>
      <c r="C3266" s="113" t="s">
        <v>25</v>
      </c>
      <c r="D3266" s="113" t="s">
        <v>1932</v>
      </c>
      <c r="E3266" s="139" t="s">
        <v>1369</v>
      </c>
      <c r="F3266" s="139"/>
      <c r="G3266" s="112" t="s">
        <v>1303</v>
      </c>
      <c r="H3266" s="111">
        <v>0.89600000000000002</v>
      </c>
      <c r="I3266" s="110">
        <v>12.32</v>
      </c>
      <c r="J3266" s="110">
        <v>11.04</v>
      </c>
    </row>
    <row r="3267" spans="1:10" ht="24" customHeight="1" x14ac:dyDescent="0.2">
      <c r="A3267" s="113" t="s">
        <v>1859</v>
      </c>
      <c r="B3267" s="114" t="s">
        <v>1931</v>
      </c>
      <c r="C3267" s="113" t="s">
        <v>25</v>
      </c>
      <c r="D3267" s="113" t="s">
        <v>1930</v>
      </c>
      <c r="E3267" s="139" t="s">
        <v>1369</v>
      </c>
      <c r="F3267" s="139"/>
      <c r="G3267" s="112" t="s">
        <v>1303</v>
      </c>
      <c r="H3267" s="111">
        <v>6.5000000000000002E-2</v>
      </c>
      <c r="I3267" s="110">
        <v>24</v>
      </c>
      <c r="J3267" s="110">
        <v>1.56</v>
      </c>
    </row>
    <row r="3268" spans="1:10" ht="24" customHeight="1" x14ac:dyDescent="0.2">
      <c r="A3268" s="113" t="s">
        <v>1859</v>
      </c>
      <c r="B3268" s="114" t="s">
        <v>1929</v>
      </c>
      <c r="C3268" s="113" t="s">
        <v>25</v>
      </c>
      <c r="D3268" s="113" t="s">
        <v>1928</v>
      </c>
      <c r="E3268" s="139" t="s">
        <v>1369</v>
      </c>
      <c r="F3268" s="139"/>
      <c r="G3268" s="112" t="s">
        <v>236</v>
      </c>
      <c r="H3268" s="111">
        <v>3.3330000000000002</v>
      </c>
      <c r="I3268" s="110">
        <v>2.4700000000000002</v>
      </c>
      <c r="J3268" s="110">
        <v>8.23</v>
      </c>
    </row>
    <row r="3269" spans="1:10" ht="36" customHeight="1" x14ac:dyDescent="0.2">
      <c r="A3269" s="113" t="s">
        <v>1859</v>
      </c>
      <c r="B3269" s="114" t="s">
        <v>1927</v>
      </c>
      <c r="C3269" s="113" t="s">
        <v>25</v>
      </c>
      <c r="D3269" s="113" t="s">
        <v>1926</v>
      </c>
      <c r="E3269" s="139" t="s">
        <v>1369</v>
      </c>
      <c r="F3269" s="139"/>
      <c r="G3269" s="112" t="s">
        <v>92</v>
      </c>
      <c r="H3269" s="111">
        <v>6.25</v>
      </c>
      <c r="I3269" s="110">
        <v>27.94</v>
      </c>
      <c r="J3269" s="110">
        <v>174.63</v>
      </c>
    </row>
    <row r="3270" spans="1:10" ht="36" customHeight="1" x14ac:dyDescent="0.2">
      <c r="A3270" s="113" t="s">
        <v>1859</v>
      </c>
      <c r="B3270" s="114" t="s">
        <v>1925</v>
      </c>
      <c r="C3270" s="113" t="s">
        <v>25</v>
      </c>
      <c r="D3270" s="113" t="s">
        <v>1924</v>
      </c>
      <c r="E3270" s="139" t="s">
        <v>1369</v>
      </c>
      <c r="F3270" s="139"/>
      <c r="G3270" s="112" t="s">
        <v>92</v>
      </c>
      <c r="H3270" s="111">
        <v>2.0230000000000001</v>
      </c>
      <c r="I3270" s="110">
        <v>37.520000000000003</v>
      </c>
      <c r="J3270" s="110">
        <v>75.900000000000006</v>
      </c>
    </row>
    <row r="3271" spans="1:10" ht="36" customHeight="1" x14ac:dyDescent="0.2">
      <c r="A3271" s="113" t="s">
        <v>1859</v>
      </c>
      <c r="B3271" s="114" t="s">
        <v>1923</v>
      </c>
      <c r="C3271" s="113" t="s">
        <v>25</v>
      </c>
      <c r="D3271" s="113" t="s">
        <v>1922</v>
      </c>
      <c r="E3271" s="139" t="s">
        <v>1369</v>
      </c>
      <c r="F3271" s="139"/>
      <c r="G3271" s="112" t="s">
        <v>92</v>
      </c>
      <c r="H3271" s="111">
        <v>0.92600000000000005</v>
      </c>
      <c r="I3271" s="110">
        <v>54.68</v>
      </c>
      <c r="J3271" s="110">
        <v>50.63</v>
      </c>
    </row>
    <row r="3272" spans="1:10" ht="36" customHeight="1" x14ac:dyDescent="0.2">
      <c r="A3272" s="113" t="s">
        <v>1859</v>
      </c>
      <c r="B3272" s="114" t="s">
        <v>1921</v>
      </c>
      <c r="C3272" s="113" t="s">
        <v>25</v>
      </c>
      <c r="D3272" s="113" t="s">
        <v>1920</v>
      </c>
      <c r="E3272" s="139" t="s">
        <v>1369</v>
      </c>
      <c r="F3272" s="139"/>
      <c r="G3272" s="112" t="s">
        <v>92</v>
      </c>
      <c r="H3272" s="111">
        <v>1.0289999999999999</v>
      </c>
      <c r="I3272" s="110">
        <v>60.43</v>
      </c>
      <c r="J3272" s="110">
        <v>62.18</v>
      </c>
    </row>
    <row r="3273" spans="1:10" x14ac:dyDescent="0.2">
      <c r="A3273" s="109"/>
      <c r="B3273" s="109"/>
      <c r="C3273" s="109"/>
      <c r="D3273" s="109"/>
      <c r="E3273" s="109" t="s">
        <v>1858</v>
      </c>
      <c r="F3273" s="108">
        <v>134.1</v>
      </c>
      <c r="G3273" s="109" t="s">
        <v>1857</v>
      </c>
      <c r="H3273" s="108">
        <v>0</v>
      </c>
      <c r="I3273" s="109" t="s">
        <v>1856</v>
      </c>
      <c r="J3273" s="108">
        <v>134.1</v>
      </c>
    </row>
    <row r="3274" spans="1:10" ht="13.9" customHeight="1" x14ac:dyDescent="0.2">
      <c r="A3274" s="109"/>
      <c r="B3274" s="109"/>
      <c r="C3274" s="109"/>
      <c r="D3274" s="109"/>
      <c r="E3274" s="109" t="s">
        <v>1855</v>
      </c>
      <c r="F3274" s="108">
        <v>152.41292999999999</v>
      </c>
      <c r="G3274" s="109"/>
      <c r="H3274" s="140" t="s">
        <v>1854</v>
      </c>
      <c r="I3274" s="140"/>
      <c r="J3274" s="108">
        <v>726.47</v>
      </c>
    </row>
    <row r="3275" spans="1:10" ht="30" customHeight="1" thickBot="1" x14ac:dyDescent="0.25">
      <c r="A3275" s="100"/>
      <c r="B3275" s="100"/>
      <c r="C3275" s="100"/>
      <c r="D3275" s="100"/>
      <c r="E3275" s="100"/>
      <c r="F3275" s="100"/>
      <c r="G3275" s="100" t="s">
        <v>1853</v>
      </c>
      <c r="H3275" s="107">
        <v>25.5</v>
      </c>
      <c r="I3275" s="100" t="s">
        <v>1852</v>
      </c>
      <c r="J3275" s="102">
        <v>18524.990000000002</v>
      </c>
    </row>
    <row r="3276" spans="1:10" ht="1.1499999999999999" customHeight="1" thickTop="1" x14ac:dyDescent="0.2">
      <c r="A3276" s="106"/>
      <c r="B3276" s="106"/>
      <c r="C3276" s="106"/>
      <c r="D3276" s="106"/>
      <c r="E3276" s="106"/>
      <c r="F3276" s="106"/>
      <c r="G3276" s="106"/>
      <c r="H3276" s="106"/>
      <c r="I3276" s="106"/>
      <c r="J3276" s="106"/>
    </row>
    <row r="3277" spans="1:10" ht="18" customHeight="1" x14ac:dyDescent="0.2">
      <c r="A3277" s="117" t="s">
        <v>1210</v>
      </c>
      <c r="B3277" s="126" t="s">
        <v>5</v>
      </c>
      <c r="C3277" s="117" t="s">
        <v>6</v>
      </c>
      <c r="D3277" s="117" t="s">
        <v>7</v>
      </c>
      <c r="E3277" s="136" t="s">
        <v>1113</v>
      </c>
      <c r="F3277" s="136"/>
      <c r="G3277" s="7" t="s">
        <v>8</v>
      </c>
      <c r="H3277" s="126" t="s">
        <v>9</v>
      </c>
      <c r="I3277" s="126" t="s">
        <v>10</v>
      </c>
      <c r="J3277" s="126" t="s">
        <v>12</v>
      </c>
    </row>
    <row r="3278" spans="1:10" ht="48" customHeight="1" x14ac:dyDescent="0.2">
      <c r="A3278" s="116" t="s">
        <v>1861</v>
      </c>
      <c r="B3278" s="1" t="s">
        <v>1209</v>
      </c>
      <c r="C3278" s="116" t="s">
        <v>25</v>
      </c>
      <c r="D3278" s="116" t="s">
        <v>1208</v>
      </c>
      <c r="E3278" s="137" t="s">
        <v>1424</v>
      </c>
      <c r="F3278" s="137"/>
      <c r="G3278" s="2" t="s">
        <v>22</v>
      </c>
      <c r="H3278" s="115">
        <v>1</v>
      </c>
      <c r="I3278" s="61">
        <v>39.08</v>
      </c>
      <c r="J3278" s="61">
        <v>39.08</v>
      </c>
    </row>
    <row r="3279" spans="1:10" ht="24" customHeight="1" x14ac:dyDescent="0.2">
      <c r="A3279" s="121" t="s">
        <v>1888</v>
      </c>
      <c r="B3279" s="122" t="s">
        <v>1919</v>
      </c>
      <c r="C3279" s="121" t="s">
        <v>25</v>
      </c>
      <c r="D3279" s="121" t="s">
        <v>1918</v>
      </c>
      <c r="E3279" s="138" t="s">
        <v>1902</v>
      </c>
      <c r="F3279" s="138"/>
      <c r="G3279" s="120" t="s">
        <v>61</v>
      </c>
      <c r="H3279" s="119">
        <v>1.3559000000000001</v>
      </c>
      <c r="I3279" s="118">
        <v>22.61</v>
      </c>
      <c r="J3279" s="118">
        <v>30.66</v>
      </c>
    </row>
    <row r="3280" spans="1:10" ht="24" customHeight="1" x14ac:dyDescent="0.2">
      <c r="A3280" s="113" t="s">
        <v>1859</v>
      </c>
      <c r="B3280" s="114" t="s">
        <v>1917</v>
      </c>
      <c r="C3280" s="113" t="s">
        <v>25</v>
      </c>
      <c r="D3280" s="113" t="s">
        <v>1916</v>
      </c>
      <c r="E3280" s="139" t="s">
        <v>1369</v>
      </c>
      <c r="F3280" s="139"/>
      <c r="G3280" s="112" t="s">
        <v>1562</v>
      </c>
      <c r="H3280" s="111">
        <v>2.5499999999999998E-2</v>
      </c>
      <c r="I3280" s="110">
        <v>17</v>
      </c>
      <c r="J3280" s="110">
        <v>0.43</v>
      </c>
    </row>
    <row r="3281" spans="1:10" ht="24" customHeight="1" x14ac:dyDescent="0.2">
      <c r="A3281" s="113" t="s">
        <v>1859</v>
      </c>
      <c r="B3281" s="114" t="s">
        <v>1915</v>
      </c>
      <c r="C3281" s="113" t="s">
        <v>25</v>
      </c>
      <c r="D3281" s="113" t="s">
        <v>1914</v>
      </c>
      <c r="E3281" s="139" t="s">
        <v>1369</v>
      </c>
      <c r="F3281" s="139"/>
      <c r="G3281" s="112" t="s">
        <v>1562</v>
      </c>
      <c r="H3281" s="111">
        <v>0.25490000000000002</v>
      </c>
      <c r="I3281" s="110">
        <v>31.35</v>
      </c>
      <c r="J3281" s="110">
        <v>7.99</v>
      </c>
    </row>
    <row r="3282" spans="1:10" x14ac:dyDescent="0.2">
      <c r="A3282" s="109"/>
      <c r="B3282" s="109"/>
      <c r="C3282" s="109"/>
      <c r="D3282" s="109"/>
      <c r="E3282" s="109" t="s">
        <v>1858</v>
      </c>
      <c r="F3282" s="108">
        <v>21.56</v>
      </c>
      <c r="G3282" s="109" t="s">
        <v>1857</v>
      </c>
      <c r="H3282" s="108">
        <v>0</v>
      </c>
      <c r="I3282" s="109" t="s">
        <v>1856</v>
      </c>
      <c r="J3282" s="108">
        <v>21.56</v>
      </c>
    </row>
    <row r="3283" spans="1:10" ht="13.9" customHeight="1" x14ac:dyDescent="0.2">
      <c r="A3283" s="109"/>
      <c r="B3283" s="109"/>
      <c r="C3283" s="109"/>
      <c r="D3283" s="109"/>
      <c r="E3283" s="109" t="s">
        <v>1855</v>
      </c>
      <c r="F3283" s="108">
        <v>10.37574</v>
      </c>
      <c r="G3283" s="109"/>
      <c r="H3283" s="140" t="s">
        <v>1854</v>
      </c>
      <c r="I3283" s="140"/>
      <c r="J3283" s="108">
        <v>49.46</v>
      </c>
    </row>
    <row r="3284" spans="1:10" ht="30" customHeight="1" thickBot="1" x14ac:dyDescent="0.25">
      <c r="A3284" s="100"/>
      <c r="B3284" s="100"/>
      <c r="C3284" s="100"/>
      <c r="D3284" s="100"/>
      <c r="E3284" s="100"/>
      <c r="F3284" s="100"/>
      <c r="G3284" s="100" t="s">
        <v>1853</v>
      </c>
      <c r="H3284" s="107">
        <v>73.819999999999993</v>
      </c>
      <c r="I3284" s="100" t="s">
        <v>1852</v>
      </c>
      <c r="J3284" s="102">
        <v>3651.14</v>
      </c>
    </row>
    <row r="3285" spans="1:10" ht="1.1499999999999999" customHeight="1" thickTop="1" x14ac:dyDescent="0.2">
      <c r="A3285" s="106"/>
      <c r="B3285" s="106"/>
      <c r="C3285" s="106"/>
      <c r="D3285" s="106"/>
      <c r="E3285" s="106"/>
      <c r="F3285" s="106"/>
      <c r="G3285" s="106"/>
      <c r="H3285" s="106"/>
      <c r="I3285" s="106"/>
      <c r="J3285" s="106"/>
    </row>
    <row r="3286" spans="1:10" ht="18" customHeight="1" x14ac:dyDescent="0.2">
      <c r="A3286" s="117" t="s">
        <v>1207</v>
      </c>
      <c r="B3286" s="126" t="s">
        <v>5</v>
      </c>
      <c r="C3286" s="117" t="s">
        <v>6</v>
      </c>
      <c r="D3286" s="117" t="s">
        <v>7</v>
      </c>
      <c r="E3286" s="136" t="s">
        <v>1113</v>
      </c>
      <c r="F3286" s="136"/>
      <c r="G3286" s="7" t="s">
        <v>8</v>
      </c>
      <c r="H3286" s="126" t="s">
        <v>9</v>
      </c>
      <c r="I3286" s="126" t="s">
        <v>10</v>
      </c>
      <c r="J3286" s="126" t="s">
        <v>12</v>
      </c>
    </row>
    <row r="3287" spans="1:10" ht="24" customHeight="1" x14ac:dyDescent="0.2">
      <c r="A3287" s="116" t="s">
        <v>1861</v>
      </c>
      <c r="B3287" s="1" t="s">
        <v>1206</v>
      </c>
      <c r="C3287" s="116" t="s">
        <v>25</v>
      </c>
      <c r="D3287" s="116" t="s">
        <v>1205</v>
      </c>
      <c r="E3287" s="137" t="s">
        <v>1463</v>
      </c>
      <c r="F3287" s="137"/>
      <c r="G3287" s="2" t="s">
        <v>236</v>
      </c>
      <c r="H3287" s="115">
        <v>1</v>
      </c>
      <c r="I3287" s="61">
        <v>291.74</v>
      </c>
      <c r="J3287" s="61">
        <v>291.74</v>
      </c>
    </row>
    <row r="3288" spans="1:10" ht="60" customHeight="1" x14ac:dyDescent="0.2">
      <c r="A3288" s="121" t="s">
        <v>1888</v>
      </c>
      <c r="B3288" s="122" t="s">
        <v>1913</v>
      </c>
      <c r="C3288" s="121" t="s">
        <v>25</v>
      </c>
      <c r="D3288" s="121" t="s">
        <v>1912</v>
      </c>
      <c r="E3288" s="138" t="s">
        <v>1908</v>
      </c>
      <c r="F3288" s="138"/>
      <c r="G3288" s="120" t="s">
        <v>1911</v>
      </c>
      <c r="H3288" s="119">
        <v>0.2999</v>
      </c>
      <c r="I3288" s="118">
        <v>219.91</v>
      </c>
      <c r="J3288" s="118">
        <v>65.95</v>
      </c>
    </row>
    <row r="3289" spans="1:10" ht="60" customHeight="1" x14ac:dyDescent="0.2">
      <c r="A3289" s="121" t="s">
        <v>1888</v>
      </c>
      <c r="B3289" s="122" t="s">
        <v>1910</v>
      </c>
      <c r="C3289" s="121" t="s">
        <v>25</v>
      </c>
      <c r="D3289" s="121" t="s">
        <v>1909</v>
      </c>
      <c r="E3289" s="138" t="s">
        <v>1908</v>
      </c>
      <c r="F3289" s="138"/>
      <c r="G3289" s="120" t="s">
        <v>1907</v>
      </c>
      <c r="H3289" s="119">
        <v>1.2252000000000001</v>
      </c>
      <c r="I3289" s="118">
        <v>48.06</v>
      </c>
      <c r="J3289" s="118">
        <v>58.88</v>
      </c>
    </row>
    <row r="3290" spans="1:10" ht="24" customHeight="1" x14ac:dyDescent="0.2">
      <c r="A3290" s="121" t="s">
        <v>1888</v>
      </c>
      <c r="B3290" s="122" t="s">
        <v>1906</v>
      </c>
      <c r="C3290" s="121" t="s">
        <v>25</v>
      </c>
      <c r="D3290" s="121" t="s">
        <v>1905</v>
      </c>
      <c r="E3290" s="138" t="s">
        <v>1902</v>
      </c>
      <c r="F3290" s="138"/>
      <c r="G3290" s="120" t="s">
        <v>61</v>
      </c>
      <c r="H3290" s="119">
        <v>4.3620000000000001</v>
      </c>
      <c r="I3290" s="118">
        <v>16.059999999999999</v>
      </c>
      <c r="J3290" s="118">
        <v>70.05</v>
      </c>
    </row>
    <row r="3291" spans="1:10" ht="24" customHeight="1" x14ac:dyDescent="0.2">
      <c r="A3291" s="121" t="s">
        <v>1888</v>
      </c>
      <c r="B3291" s="122" t="s">
        <v>1904</v>
      </c>
      <c r="C3291" s="121" t="s">
        <v>25</v>
      </c>
      <c r="D3291" s="121" t="s">
        <v>1903</v>
      </c>
      <c r="E3291" s="138" t="s">
        <v>1902</v>
      </c>
      <c r="F3291" s="138"/>
      <c r="G3291" s="120" t="s">
        <v>61</v>
      </c>
      <c r="H3291" s="119">
        <v>1.0905</v>
      </c>
      <c r="I3291" s="118">
        <v>19.260000000000002</v>
      </c>
      <c r="J3291" s="118">
        <v>21</v>
      </c>
    </row>
    <row r="3292" spans="1:10" ht="24" customHeight="1" x14ac:dyDescent="0.2">
      <c r="A3292" s="113" t="s">
        <v>1859</v>
      </c>
      <c r="B3292" s="114" t="s">
        <v>1901</v>
      </c>
      <c r="C3292" s="113" t="s">
        <v>25</v>
      </c>
      <c r="D3292" s="113" t="s">
        <v>1900</v>
      </c>
      <c r="E3292" s="139" t="s">
        <v>1369</v>
      </c>
      <c r="F3292" s="139"/>
      <c r="G3292" s="112" t="s">
        <v>236</v>
      </c>
      <c r="H3292" s="111">
        <v>1</v>
      </c>
      <c r="I3292" s="110">
        <v>75.86</v>
      </c>
      <c r="J3292" s="110">
        <v>75.86</v>
      </c>
    </row>
    <row r="3293" spans="1:10" x14ac:dyDescent="0.2">
      <c r="A3293" s="109"/>
      <c r="B3293" s="109"/>
      <c r="C3293" s="109"/>
      <c r="D3293" s="109"/>
      <c r="E3293" s="109" t="s">
        <v>1858</v>
      </c>
      <c r="F3293" s="108">
        <v>93.91</v>
      </c>
      <c r="G3293" s="109" t="s">
        <v>1857</v>
      </c>
      <c r="H3293" s="108">
        <v>0</v>
      </c>
      <c r="I3293" s="109" t="s">
        <v>1856</v>
      </c>
      <c r="J3293" s="108">
        <v>93.91</v>
      </c>
    </row>
    <row r="3294" spans="1:10" ht="13.9" customHeight="1" x14ac:dyDescent="0.2">
      <c r="A3294" s="109"/>
      <c r="B3294" s="109"/>
      <c r="C3294" s="109"/>
      <c r="D3294" s="109"/>
      <c r="E3294" s="109" t="s">
        <v>1855</v>
      </c>
      <c r="F3294" s="108">
        <v>77.456969999999998</v>
      </c>
      <c r="G3294" s="109"/>
      <c r="H3294" s="140" t="s">
        <v>1854</v>
      </c>
      <c r="I3294" s="140"/>
      <c r="J3294" s="108">
        <v>369.2</v>
      </c>
    </row>
    <row r="3295" spans="1:10" ht="30" customHeight="1" thickBot="1" x14ac:dyDescent="0.25">
      <c r="A3295" s="100"/>
      <c r="B3295" s="100"/>
      <c r="C3295" s="100"/>
      <c r="D3295" s="100"/>
      <c r="E3295" s="100"/>
      <c r="F3295" s="100"/>
      <c r="G3295" s="100" t="s">
        <v>1853</v>
      </c>
      <c r="H3295" s="107">
        <v>17</v>
      </c>
      <c r="I3295" s="100" t="s">
        <v>1852</v>
      </c>
      <c r="J3295" s="102">
        <v>6276.4</v>
      </c>
    </row>
    <row r="3296" spans="1:10" ht="1.1499999999999999" customHeight="1" thickTop="1" x14ac:dyDescent="0.2">
      <c r="A3296" s="106"/>
      <c r="B3296" s="106"/>
      <c r="C3296" s="106"/>
      <c r="D3296" s="106"/>
      <c r="E3296" s="106"/>
      <c r="F3296" s="106"/>
      <c r="G3296" s="106"/>
      <c r="H3296" s="106"/>
      <c r="I3296" s="106"/>
      <c r="J3296" s="106"/>
    </row>
    <row r="3297" spans="1:10" ht="18" customHeight="1" x14ac:dyDescent="0.2">
      <c r="A3297" s="117" t="s">
        <v>1204</v>
      </c>
      <c r="B3297" s="126" t="s">
        <v>5</v>
      </c>
      <c r="C3297" s="117" t="s">
        <v>6</v>
      </c>
      <c r="D3297" s="117" t="s">
        <v>7</v>
      </c>
      <c r="E3297" s="136" t="s">
        <v>1113</v>
      </c>
      <c r="F3297" s="136"/>
      <c r="G3297" s="7" t="s">
        <v>8</v>
      </c>
      <c r="H3297" s="126" t="s">
        <v>9</v>
      </c>
      <c r="I3297" s="126" t="s">
        <v>10</v>
      </c>
      <c r="J3297" s="126" t="s">
        <v>12</v>
      </c>
    </row>
    <row r="3298" spans="1:10" ht="24" customHeight="1" x14ac:dyDescent="0.2">
      <c r="A3298" s="116" t="s">
        <v>1861</v>
      </c>
      <c r="B3298" s="1" t="s">
        <v>741</v>
      </c>
      <c r="C3298" s="116" t="s">
        <v>20</v>
      </c>
      <c r="D3298" s="116" t="s">
        <v>742</v>
      </c>
      <c r="E3298" s="137">
        <v>27</v>
      </c>
      <c r="F3298" s="137"/>
      <c r="G3298" s="2" t="s">
        <v>22</v>
      </c>
      <c r="H3298" s="115">
        <v>1</v>
      </c>
      <c r="I3298" s="61">
        <v>545.83000000000004</v>
      </c>
      <c r="J3298" s="61">
        <v>545.83000000000004</v>
      </c>
    </row>
    <row r="3299" spans="1:10" ht="24" customHeight="1" x14ac:dyDescent="0.2">
      <c r="A3299" s="113" t="s">
        <v>1859</v>
      </c>
      <c r="B3299" s="114" t="s">
        <v>1899</v>
      </c>
      <c r="C3299" s="113" t="s">
        <v>20</v>
      </c>
      <c r="D3299" s="113" t="s">
        <v>1898</v>
      </c>
      <c r="E3299" s="139" t="s">
        <v>1369</v>
      </c>
      <c r="F3299" s="139"/>
      <c r="G3299" s="112" t="s">
        <v>49</v>
      </c>
      <c r="H3299" s="111">
        <v>1.04E-2</v>
      </c>
      <c r="I3299" s="110">
        <v>162.78</v>
      </c>
      <c r="J3299" s="110">
        <v>1.69</v>
      </c>
    </row>
    <row r="3300" spans="1:10" ht="24" customHeight="1" x14ac:dyDescent="0.2">
      <c r="A3300" s="113" t="s">
        <v>1859</v>
      </c>
      <c r="B3300" s="114" t="s">
        <v>1897</v>
      </c>
      <c r="C3300" s="113" t="s">
        <v>20</v>
      </c>
      <c r="D3300" s="113" t="s">
        <v>1896</v>
      </c>
      <c r="E3300" s="139" t="s">
        <v>1369</v>
      </c>
      <c r="F3300" s="139"/>
      <c r="G3300" s="112" t="s">
        <v>96</v>
      </c>
      <c r="H3300" s="111">
        <v>4.54</v>
      </c>
      <c r="I3300" s="110">
        <v>0.6</v>
      </c>
      <c r="J3300" s="110">
        <v>2.72</v>
      </c>
    </row>
    <row r="3301" spans="1:10" ht="24" customHeight="1" x14ac:dyDescent="0.2">
      <c r="A3301" s="113" t="s">
        <v>1859</v>
      </c>
      <c r="B3301" s="114" t="s">
        <v>1895</v>
      </c>
      <c r="C3301" s="113" t="s">
        <v>20</v>
      </c>
      <c r="D3301" s="113" t="s">
        <v>1894</v>
      </c>
      <c r="E3301" s="139" t="s">
        <v>1369</v>
      </c>
      <c r="F3301" s="139"/>
      <c r="G3301" s="112" t="s">
        <v>22</v>
      </c>
      <c r="H3301" s="111">
        <v>1.2</v>
      </c>
      <c r="I3301" s="110">
        <v>419.36</v>
      </c>
      <c r="J3301" s="110">
        <v>503.23</v>
      </c>
    </row>
    <row r="3302" spans="1:10" ht="24" customHeight="1" x14ac:dyDescent="0.2">
      <c r="A3302" s="113" t="s">
        <v>1859</v>
      </c>
      <c r="B3302" s="114" t="s">
        <v>1866</v>
      </c>
      <c r="C3302" s="113" t="s">
        <v>20</v>
      </c>
      <c r="D3302" s="113" t="s">
        <v>1865</v>
      </c>
      <c r="E3302" s="139" t="s">
        <v>1860</v>
      </c>
      <c r="F3302" s="139"/>
      <c r="G3302" s="112" t="s">
        <v>1864</v>
      </c>
      <c r="H3302" s="111">
        <v>1.5371999999999999</v>
      </c>
      <c r="I3302" s="110">
        <v>15.97</v>
      </c>
      <c r="J3302" s="110">
        <v>24.55</v>
      </c>
    </row>
    <row r="3303" spans="1:10" ht="24" customHeight="1" x14ac:dyDescent="0.2">
      <c r="A3303" s="113" t="s">
        <v>1859</v>
      </c>
      <c r="B3303" s="114" t="s">
        <v>1872</v>
      </c>
      <c r="C3303" s="113" t="s">
        <v>20</v>
      </c>
      <c r="D3303" s="113" t="s">
        <v>1871</v>
      </c>
      <c r="E3303" s="139" t="s">
        <v>1860</v>
      </c>
      <c r="F3303" s="139"/>
      <c r="G3303" s="112" t="s">
        <v>1864</v>
      </c>
      <c r="H3303" s="111">
        <v>1.2844</v>
      </c>
      <c r="I3303" s="110">
        <v>10.62</v>
      </c>
      <c r="J3303" s="110">
        <v>13.64</v>
      </c>
    </row>
    <row r="3304" spans="1:10" x14ac:dyDescent="0.2">
      <c r="A3304" s="109"/>
      <c r="B3304" s="109"/>
      <c r="C3304" s="109"/>
      <c r="D3304" s="109"/>
      <c r="E3304" s="109" t="s">
        <v>1858</v>
      </c>
      <c r="F3304" s="108">
        <v>38.19</v>
      </c>
      <c r="G3304" s="109" t="s">
        <v>1857</v>
      </c>
      <c r="H3304" s="108">
        <v>0</v>
      </c>
      <c r="I3304" s="109" t="s">
        <v>1856</v>
      </c>
      <c r="J3304" s="108">
        <v>38.19</v>
      </c>
    </row>
    <row r="3305" spans="1:10" ht="13.9" customHeight="1" x14ac:dyDescent="0.2">
      <c r="A3305" s="109"/>
      <c r="B3305" s="109"/>
      <c r="C3305" s="109"/>
      <c r="D3305" s="109"/>
      <c r="E3305" s="109" t="s">
        <v>1855</v>
      </c>
      <c r="F3305" s="108">
        <v>144.91786500000001</v>
      </c>
      <c r="G3305" s="109"/>
      <c r="H3305" s="140" t="s">
        <v>1854</v>
      </c>
      <c r="I3305" s="140"/>
      <c r="J3305" s="108">
        <v>690.75</v>
      </c>
    </row>
    <row r="3306" spans="1:10" ht="30" customHeight="1" thickBot="1" x14ac:dyDescent="0.25">
      <c r="A3306" s="100"/>
      <c r="B3306" s="100"/>
      <c r="C3306" s="100"/>
      <c r="D3306" s="100"/>
      <c r="E3306" s="100"/>
      <c r="F3306" s="100"/>
      <c r="G3306" s="100" t="s">
        <v>1853</v>
      </c>
      <c r="H3306" s="107">
        <v>9.4</v>
      </c>
      <c r="I3306" s="100" t="s">
        <v>1852</v>
      </c>
      <c r="J3306" s="102">
        <v>6493.05</v>
      </c>
    </row>
    <row r="3307" spans="1:10" ht="1.1499999999999999" customHeight="1" thickTop="1" x14ac:dyDescent="0.2">
      <c r="A3307" s="106"/>
      <c r="B3307" s="106"/>
      <c r="C3307" s="106"/>
      <c r="D3307" s="106"/>
      <c r="E3307" s="106"/>
      <c r="F3307" s="106"/>
      <c r="G3307" s="106"/>
      <c r="H3307" s="106"/>
      <c r="I3307" s="106"/>
      <c r="J3307" s="106"/>
    </row>
    <row r="3308" spans="1:10" ht="18" customHeight="1" x14ac:dyDescent="0.2">
      <c r="A3308" s="117" t="s">
        <v>1203</v>
      </c>
      <c r="B3308" s="126" t="s">
        <v>5</v>
      </c>
      <c r="C3308" s="117" t="s">
        <v>6</v>
      </c>
      <c r="D3308" s="117" t="s">
        <v>7</v>
      </c>
      <c r="E3308" s="136" t="s">
        <v>1113</v>
      </c>
      <c r="F3308" s="136"/>
      <c r="G3308" s="7" t="s">
        <v>8</v>
      </c>
      <c r="H3308" s="126" t="s">
        <v>9</v>
      </c>
      <c r="I3308" s="126" t="s">
        <v>10</v>
      </c>
      <c r="J3308" s="126" t="s">
        <v>12</v>
      </c>
    </row>
    <row r="3309" spans="1:10" ht="24" customHeight="1" x14ac:dyDescent="0.2">
      <c r="A3309" s="116" t="s">
        <v>1861</v>
      </c>
      <c r="B3309" s="1" t="s">
        <v>1202</v>
      </c>
      <c r="C3309" s="116" t="s">
        <v>244</v>
      </c>
      <c r="D3309" s="116" t="s">
        <v>1201</v>
      </c>
      <c r="E3309" s="137" t="s">
        <v>1433</v>
      </c>
      <c r="F3309" s="137"/>
      <c r="G3309" s="2" t="s">
        <v>22</v>
      </c>
      <c r="H3309" s="115">
        <v>1</v>
      </c>
      <c r="I3309" s="61">
        <v>483.12</v>
      </c>
      <c r="J3309" s="61">
        <v>483.12</v>
      </c>
    </row>
    <row r="3310" spans="1:10" ht="36" customHeight="1" x14ac:dyDescent="0.2">
      <c r="A3310" s="121" t="s">
        <v>1888</v>
      </c>
      <c r="B3310" s="122" t="s">
        <v>1893</v>
      </c>
      <c r="C3310" s="121" t="s">
        <v>244</v>
      </c>
      <c r="D3310" s="121" t="s">
        <v>1892</v>
      </c>
      <c r="E3310" s="138" t="s">
        <v>1891</v>
      </c>
      <c r="F3310" s="138"/>
      <c r="G3310" s="120" t="s">
        <v>49</v>
      </c>
      <c r="H3310" s="119">
        <v>7.0000000000000007E-2</v>
      </c>
      <c r="I3310" s="118">
        <v>478.18</v>
      </c>
      <c r="J3310" s="118">
        <v>33.47</v>
      </c>
    </row>
    <row r="3311" spans="1:10" ht="24" customHeight="1" x14ac:dyDescent="0.2">
      <c r="A3311" s="121" t="s">
        <v>1888</v>
      </c>
      <c r="B3311" s="122" t="s">
        <v>1890</v>
      </c>
      <c r="C3311" s="121" t="s">
        <v>244</v>
      </c>
      <c r="D3311" s="121" t="s">
        <v>1889</v>
      </c>
      <c r="E3311" s="138" t="s">
        <v>1885</v>
      </c>
      <c r="F3311" s="138"/>
      <c r="G3311" s="120" t="s">
        <v>1864</v>
      </c>
      <c r="H3311" s="119">
        <v>3</v>
      </c>
      <c r="I3311" s="118">
        <v>3.61</v>
      </c>
      <c r="J3311" s="118">
        <v>10.83</v>
      </c>
    </row>
    <row r="3312" spans="1:10" ht="24" customHeight="1" x14ac:dyDescent="0.2">
      <c r="A3312" s="121" t="s">
        <v>1888</v>
      </c>
      <c r="B3312" s="122" t="s">
        <v>1887</v>
      </c>
      <c r="C3312" s="121" t="s">
        <v>244</v>
      </c>
      <c r="D3312" s="121" t="s">
        <v>1886</v>
      </c>
      <c r="E3312" s="138" t="s">
        <v>1885</v>
      </c>
      <c r="F3312" s="138"/>
      <c r="G3312" s="120" t="s">
        <v>1864</v>
      </c>
      <c r="H3312" s="119">
        <v>3</v>
      </c>
      <c r="I3312" s="118">
        <v>3.51</v>
      </c>
      <c r="J3312" s="118">
        <v>10.53</v>
      </c>
    </row>
    <row r="3313" spans="1:10" ht="24" customHeight="1" x14ac:dyDescent="0.2">
      <c r="A3313" s="113" t="s">
        <v>1859</v>
      </c>
      <c r="B3313" s="114" t="s">
        <v>1884</v>
      </c>
      <c r="C3313" s="113" t="s">
        <v>244</v>
      </c>
      <c r="D3313" s="113" t="s">
        <v>1883</v>
      </c>
      <c r="E3313" s="139" t="s">
        <v>1369</v>
      </c>
      <c r="F3313" s="139"/>
      <c r="G3313" s="112" t="s">
        <v>22</v>
      </c>
      <c r="H3313" s="111">
        <v>1</v>
      </c>
      <c r="I3313" s="110">
        <v>349.84</v>
      </c>
      <c r="J3313" s="110">
        <v>349.84</v>
      </c>
    </row>
    <row r="3314" spans="1:10" ht="24" customHeight="1" x14ac:dyDescent="0.2">
      <c r="A3314" s="113" t="s">
        <v>1859</v>
      </c>
      <c r="B3314" s="114" t="s">
        <v>1882</v>
      </c>
      <c r="C3314" s="113" t="s">
        <v>25</v>
      </c>
      <c r="D3314" s="113" t="s">
        <v>1865</v>
      </c>
      <c r="E3314" s="139" t="s">
        <v>1860</v>
      </c>
      <c r="F3314" s="139"/>
      <c r="G3314" s="112" t="s">
        <v>61</v>
      </c>
      <c r="H3314" s="111">
        <v>3</v>
      </c>
      <c r="I3314" s="110">
        <v>15.71</v>
      </c>
      <c r="J3314" s="110">
        <v>47.13</v>
      </c>
    </row>
    <row r="3315" spans="1:10" ht="24" customHeight="1" x14ac:dyDescent="0.2">
      <c r="A3315" s="113" t="s">
        <v>1859</v>
      </c>
      <c r="B3315" s="114" t="s">
        <v>1881</v>
      </c>
      <c r="C3315" s="113" t="s">
        <v>25</v>
      </c>
      <c r="D3315" s="113" t="s">
        <v>1880</v>
      </c>
      <c r="E3315" s="139" t="s">
        <v>1860</v>
      </c>
      <c r="F3315" s="139"/>
      <c r="G3315" s="112" t="s">
        <v>61</v>
      </c>
      <c r="H3315" s="111">
        <v>3</v>
      </c>
      <c r="I3315" s="110">
        <v>10.44</v>
      </c>
      <c r="J3315" s="110">
        <v>31.32</v>
      </c>
    </row>
    <row r="3316" spans="1:10" x14ac:dyDescent="0.2">
      <c r="A3316" s="109"/>
      <c r="B3316" s="109"/>
      <c r="C3316" s="109"/>
      <c r="D3316" s="109"/>
      <c r="E3316" s="109" t="s">
        <v>1858</v>
      </c>
      <c r="F3316" s="108">
        <v>81.37</v>
      </c>
      <c r="G3316" s="109" t="s">
        <v>1857</v>
      </c>
      <c r="H3316" s="108">
        <v>0</v>
      </c>
      <c r="I3316" s="109" t="s">
        <v>1856</v>
      </c>
      <c r="J3316" s="108">
        <v>81.37</v>
      </c>
    </row>
    <row r="3317" spans="1:10" ht="13.9" customHeight="1" x14ac:dyDescent="0.2">
      <c r="A3317" s="109"/>
      <c r="B3317" s="109"/>
      <c r="C3317" s="109"/>
      <c r="D3317" s="109"/>
      <c r="E3317" s="109" t="s">
        <v>1855</v>
      </c>
      <c r="F3317" s="108">
        <v>128.26836</v>
      </c>
      <c r="G3317" s="109"/>
      <c r="H3317" s="140" t="s">
        <v>1854</v>
      </c>
      <c r="I3317" s="140"/>
      <c r="J3317" s="108">
        <v>611.39</v>
      </c>
    </row>
    <row r="3318" spans="1:10" ht="30" customHeight="1" thickBot="1" x14ac:dyDescent="0.25">
      <c r="A3318" s="100"/>
      <c r="B3318" s="100"/>
      <c r="C3318" s="100"/>
      <c r="D3318" s="100"/>
      <c r="E3318" s="100"/>
      <c r="F3318" s="100"/>
      <c r="G3318" s="100" t="s">
        <v>1853</v>
      </c>
      <c r="H3318" s="107">
        <v>3.6</v>
      </c>
      <c r="I3318" s="100" t="s">
        <v>1852</v>
      </c>
      <c r="J3318" s="102">
        <v>2201</v>
      </c>
    </row>
    <row r="3319" spans="1:10" ht="1.1499999999999999" customHeight="1" thickTop="1" x14ac:dyDescent="0.2">
      <c r="A3319" s="106"/>
      <c r="B3319" s="106"/>
      <c r="C3319" s="106"/>
      <c r="D3319" s="106"/>
      <c r="E3319" s="106"/>
      <c r="F3319" s="106"/>
      <c r="G3319" s="106"/>
      <c r="H3319" s="106"/>
      <c r="I3319" s="106"/>
      <c r="J3319" s="106"/>
    </row>
    <row r="3320" spans="1:10" ht="18" customHeight="1" x14ac:dyDescent="0.2">
      <c r="A3320" s="117" t="s">
        <v>1200</v>
      </c>
      <c r="B3320" s="126" t="s">
        <v>5</v>
      </c>
      <c r="C3320" s="117" t="s">
        <v>6</v>
      </c>
      <c r="D3320" s="117" t="s">
        <v>7</v>
      </c>
      <c r="E3320" s="136" t="s">
        <v>1113</v>
      </c>
      <c r="F3320" s="136"/>
      <c r="G3320" s="7" t="s">
        <v>8</v>
      </c>
      <c r="H3320" s="126" t="s">
        <v>9</v>
      </c>
      <c r="I3320" s="126" t="s">
        <v>10</v>
      </c>
      <c r="J3320" s="126" t="s">
        <v>12</v>
      </c>
    </row>
    <row r="3321" spans="1:10" ht="24" customHeight="1" x14ac:dyDescent="0.2">
      <c r="A3321" s="116" t="s">
        <v>1861</v>
      </c>
      <c r="B3321" s="1" t="s">
        <v>744</v>
      </c>
      <c r="C3321" s="116" t="s">
        <v>20</v>
      </c>
      <c r="D3321" s="116" t="s">
        <v>745</v>
      </c>
      <c r="E3321" s="137">
        <v>27</v>
      </c>
      <c r="F3321" s="137"/>
      <c r="G3321" s="2" t="s">
        <v>22</v>
      </c>
      <c r="H3321" s="115">
        <v>1</v>
      </c>
      <c r="I3321" s="61">
        <v>2.65</v>
      </c>
      <c r="J3321" s="61">
        <v>2.65</v>
      </c>
    </row>
    <row r="3322" spans="1:10" ht="24" customHeight="1" x14ac:dyDescent="0.2">
      <c r="A3322" s="113" t="s">
        <v>1859</v>
      </c>
      <c r="B3322" s="114" t="s">
        <v>1879</v>
      </c>
      <c r="C3322" s="113" t="s">
        <v>20</v>
      </c>
      <c r="D3322" s="113" t="s">
        <v>1878</v>
      </c>
      <c r="E3322" s="139" t="s">
        <v>1369</v>
      </c>
      <c r="F3322" s="139"/>
      <c r="G3322" s="112" t="s">
        <v>1877</v>
      </c>
      <c r="H3322" s="111">
        <v>0.05</v>
      </c>
      <c r="I3322" s="110">
        <v>11.71</v>
      </c>
      <c r="J3322" s="110">
        <v>0.59</v>
      </c>
    </row>
    <row r="3323" spans="1:10" ht="24" customHeight="1" x14ac:dyDescent="0.2">
      <c r="A3323" s="113" t="s">
        <v>1859</v>
      </c>
      <c r="B3323" s="114" t="s">
        <v>1876</v>
      </c>
      <c r="C3323" s="113" t="s">
        <v>20</v>
      </c>
      <c r="D3323" s="113" t="s">
        <v>1875</v>
      </c>
      <c r="E3323" s="139" t="s">
        <v>1369</v>
      </c>
      <c r="F3323" s="139"/>
      <c r="G3323" s="112" t="s">
        <v>96</v>
      </c>
      <c r="H3323" s="111">
        <v>5.9700000000000003E-2</v>
      </c>
      <c r="I3323" s="110">
        <v>6.56</v>
      </c>
      <c r="J3323" s="110">
        <v>0.39</v>
      </c>
    </row>
    <row r="3324" spans="1:10" ht="24" customHeight="1" x14ac:dyDescent="0.2">
      <c r="A3324" s="113" t="s">
        <v>1859</v>
      </c>
      <c r="B3324" s="114" t="s">
        <v>1874</v>
      </c>
      <c r="C3324" s="113" t="s">
        <v>20</v>
      </c>
      <c r="D3324" s="113" t="s">
        <v>1873</v>
      </c>
      <c r="E3324" s="139" t="s">
        <v>1369</v>
      </c>
      <c r="F3324" s="139"/>
      <c r="G3324" s="112" t="s">
        <v>96</v>
      </c>
      <c r="H3324" s="111">
        <v>0.01</v>
      </c>
      <c r="I3324" s="110">
        <v>7.89</v>
      </c>
      <c r="J3324" s="110">
        <v>0.08</v>
      </c>
    </row>
    <row r="3325" spans="1:10" ht="24" customHeight="1" x14ac:dyDescent="0.2">
      <c r="A3325" s="113" t="s">
        <v>1859</v>
      </c>
      <c r="B3325" s="114" t="s">
        <v>1872</v>
      </c>
      <c r="C3325" s="113" t="s">
        <v>20</v>
      </c>
      <c r="D3325" s="113" t="s">
        <v>1871</v>
      </c>
      <c r="E3325" s="139" t="s">
        <v>1860</v>
      </c>
      <c r="F3325" s="139"/>
      <c r="G3325" s="112" t="s">
        <v>1864</v>
      </c>
      <c r="H3325" s="111">
        <v>0.15</v>
      </c>
      <c r="I3325" s="110">
        <v>10.62</v>
      </c>
      <c r="J3325" s="110">
        <v>1.59</v>
      </c>
    </row>
    <row r="3326" spans="1:10" x14ac:dyDescent="0.2">
      <c r="A3326" s="109"/>
      <c r="B3326" s="109"/>
      <c r="C3326" s="109"/>
      <c r="D3326" s="109"/>
      <c r="E3326" s="109" t="s">
        <v>1858</v>
      </c>
      <c r="F3326" s="108">
        <v>1.59</v>
      </c>
      <c r="G3326" s="109" t="s">
        <v>1857</v>
      </c>
      <c r="H3326" s="108">
        <v>0</v>
      </c>
      <c r="I3326" s="109" t="s">
        <v>1856</v>
      </c>
      <c r="J3326" s="108">
        <v>1.59</v>
      </c>
    </row>
    <row r="3327" spans="1:10" ht="13.9" customHeight="1" x14ac:dyDescent="0.2">
      <c r="A3327" s="109"/>
      <c r="B3327" s="109"/>
      <c r="C3327" s="109"/>
      <c r="D3327" s="109"/>
      <c r="E3327" s="109" t="s">
        <v>1855</v>
      </c>
      <c r="F3327" s="108">
        <v>0.70357499999999995</v>
      </c>
      <c r="G3327" s="109"/>
      <c r="H3327" s="140" t="s">
        <v>1854</v>
      </c>
      <c r="I3327" s="140"/>
      <c r="J3327" s="108">
        <v>3.35</v>
      </c>
    </row>
    <row r="3328" spans="1:10" ht="30" customHeight="1" thickBot="1" x14ac:dyDescent="0.25">
      <c r="A3328" s="100"/>
      <c r="B3328" s="100"/>
      <c r="C3328" s="100"/>
      <c r="D3328" s="100"/>
      <c r="E3328" s="100"/>
      <c r="F3328" s="100"/>
      <c r="G3328" s="100" t="s">
        <v>1853</v>
      </c>
      <c r="H3328" s="107">
        <v>907.15</v>
      </c>
      <c r="I3328" s="100" t="s">
        <v>1852</v>
      </c>
      <c r="J3328" s="102">
        <v>3038.95</v>
      </c>
    </row>
    <row r="3329" spans="1:10" ht="1.1499999999999999" customHeight="1" thickTop="1" x14ac:dyDescent="0.2">
      <c r="A3329" s="106"/>
      <c r="B3329" s="106"/>
      <c r="C3329" s="106"/>
      <c r="D3329" s="106"/>
      <c r="E3329" s="106"/>
      <c r="F3329" s="106"/>
      <c r="G3329" s="106"/>
      <c r="H3329" s="106"/>
      <c r="I3329" s="106"/>
      <c r="J3329" s="106"/>
    </row>
    <row r="3330" spans="1:10" ht="18" customHeight="1" x14ac:dyDescent="0.2">
      <c r="A3330" s="117" t="s">
        <v>1199</v>
      </c>
      <c r="B3330" s="126" t="s">
        <v>5</v>
      </c>
      <c r="C3330" s="117" t="s">
        <v>6</v>
      </c>
      <c r="D3330" s="117" t="s">
        <v>7</v>
      </c>
      <c r="E3330" s="136" t="s">
        <v>1113</v>
      </c>
      <c r="F3330" s="136"/>
      <c r="G3330" s="7" t="s">
        <v>8</v>
      </c>
      <c r="H3330" s="126" t="s">
        <v>9</v>
      </c>
      <c r="I3330" s="126" t="s">
        <v>10</v>
      </c>
      <c r="J3330" s="126" t="s">
        <v>12</v>
      </c>
    </row>
    <row r="3331" spans="1:10" ht="24" customHeight="1" x14ac:dyDescent="0.2">
      <c r="A3331" s="116" t="s">
        <v>1861</v>
      </c>
      <c r="B3331" s="1" t="s">
        <v>747</v>
      </c>
      <c r="C3331" s="116" t="s">
        <v>20</v>
      </c>
      <c r="D3331" s="116" t="s">
        <v>748</v>
      </c>
      <c r="E3331" s="137">
        <v>27</v>
      </c>
      <c r="F3331" s="137"/>
      <c r="G3331" s="2" t="s">
        <v>37</v>
      </c>
      <c r="H3331" s="115">
        <v>1</v>
      </c>
      <c r="I3331" s="61">
        <v>804.87</v>
      </c>
      <c r="J3331" s="61">
        <v>804.87</v>
      </c>
    </row>
    <row r="3332" spans="1:10" ht="24" customHeight="1" x14ac:dyDescent="0.2">
      <c r="A3332" s="113" t="s">
        <v>1859</v>
      </c>
      <c r="B3332" s="114" t="s">
        <v>1870</v>
      </c>
      <c r="C3332" s="113" t="s">
        <v>20</v>
      </c>
      <c r="D3332" s="113" t="s">
        <v>1869</v>
      </c>
      <c r="E3332" s="139" t="s">
        <v>1369</v>
      </c>
      <c r="F3332" s="139"/>
      <c r="G3332" s="112" t="s">
        <v>246</v>
      </c>
      <c r="H3332" s="111">
        <v>4</v>
      </c>
      <c r="I3332" s="110">
        <v>0.22</v>
      </c>
      <c r="J3332" s="110">
        <v>0.88</v>
      </c>
    </row>
    <row r="3333" spans="1:10" ht="24" customHeight="1" x14ac:dyDescent="0.2">
      <c r="A3333" s="113" t="s">
        <v>1859</v>
      </c>
      <c r="B3333" s="114" t="s">
        <v>1868</v>
      </c>
      <c r="C3333" s="113" t="s">
        <v>20</v>
      </c>
      <c r="D3333" s="113" t="s">
        <v>1867</v>
      </c>
      <c r="E3333" s="139" t="s">
        <v>1369</v>
      </c>
      <c r="F3333" s="139"/>
      <c r="G3333" s="112" t="s">
        <v>246</v>
      </c>
      <c r="H3333" s="111">
        <v>1</v>
      </c>
      <c r="I3333" s="110">
        <v>800</v>
      </c>
      <c r="J3333" s="110">
        <v>800</v>
      </c>
    </row>
    <row r="3334" spans="1:10" ht="24" customHeight="1" x14ac:dyDescent="0.2">
      <c r="A3334" s="113" t="s">
        <v>1859</v>
      </c>
      <c r="B3334" s="114" t="s">
        <v>1866</v>
      </c>
      <c r="C3334" s="113" t="s">
        <v>20</v>
      </c>
      <c r="D3334" s="113" t="s">
        <v>1865</v>
      </c>
      <c r="E3334" s="139" t="s">
        <v>1860</v>
      </c>
      <c r="F3334" s="139"/>
      <c r="G3334" s="112" t="s">
        <v>1864</v>
      </c>
      <c r="H3334" s="111">
        <v>0.25</v>
      </c>
      <c r="I3334" s="110">
        <v>15.97</v>
      </c>
      <c r="J3334" s="110">
        <v>3.99</v>
      </c>
    </row>
    <row r="3335" spans="1:10" x14ac:dyDescent="0.2">
      <c r="A3335" s="109"/>
      <c r="B3335" s="109"/>
      <c r="C3335" s="109"/>
      <c r="D3335" s="109"/>
      <c r="E3335" s="109" t="s">
        <v>1858</v>
      </c>
      <c r="F3335" s="108">
        <v>3.99</v>
      </c>
      <c r="G3335" s="109" t="s">
        <v>1857</v>
      </c>
      <c r="H3335" s="108">
        <v>0</v>
      </c>
      <c r="I3335" s="109" t="s">
        <v>1856</v>
      </c>
      <c r="J3335" s="108">
        <v>3.99</v>
      </c>
    </row>
    <row r="3336" spans="1:10" ht="13.9" customHeight="1" x14ac:dyDescent="0.2">
      <c r="A3336" s="109"/>
      <c r="B3336" s="109"/>
      <c r="C3336" s="109"/>
      <c r="D3336" s="109"/>
      <c r="E3336" s="109" t="s">
        <v>1855</v>
      </c>
      <c r="F3336" s="108">
        <v>213.69298499999999</v>
      </c>
      <c r="G3336" s="109"/>
      <c r="H3336" s="140" t="s">
        <v>1854</v>
      </c>
      <c r="I3336" s="140"/>
      <c r="J3336" s="108">
        <v>1018.56</v>
      </c>
    </row>
    <row r="3337" spans="1:10" ht="30" customHeight="1" thickBot="1" x14ac:dyDescent="0.25">
      <c r="A3337" s="100"/>
      <c r="B3337" s="100"/>
      <c r="C3337" s="100"/>
      <c r="D3337" s="100"/>
      <c r="E3337" s="100"/>
      <c r="F3337" s="100"/>
      <c r="G3337" s="100" t="s">
        <v>1853</v>
      </c>
      <c r="H3337" s="107">
        <v>2</v>
      </c>
      <c r="I3337" s="100" t="s">
        <v>1852</v>
      </c>
      <c r="J3337" s="102">
        <v>2037.12</v>
      </c>
    </row>
    <row r="3338" spans="1:10" ht="1.1499999999999999" customHeight="1" thickTop="1" x14ac:dyDescent="0.2">
      <c r="A3338" s="106"/>
      <c r="B3338" s="106"/>
      <c r="C3338" s="106"/>
      <c r="D3338" s="106"/>
      <c r="E3338" s="106"/>
      <c r="F3338" s="106"/>
      <c r="G3338" s="106"/>
      <c r="H3338" s="106"/>
      <c r="I3338" s="106"/>
      <c r="J3338" s="106"/>
    </row>
    <row r="3339" spans="1:10" ht="18" customHeight="1" x14ac:dyDescent="0.2">
      <c r="A3339" s="117" t="s">
        <v>1198</v>
      </c>
      <c r="B3339" s="126" t="s">
        <v>5</v>
      </c>
      <c r="C3339" s="117" t="s">
        <v>6</v>
      </c>
      <c r="D3339" s="117" t="s">
        <v>7</v>
      </c>
      <c r="E3339" s="136" t="s">
        <v>1113</v>
      </c>
      <c r="F3339" s="136"/>
      <c r="G3339" s="7" t="s">
        <v>8</v>
      </c>
      <c r="H3339" s="126" t="s">
        <v>9</v>
      </c>
      <c r="I3339" s="126" t="s">
        <v>10</v>
      </c>
      <c r="J3339" s="126" t="s">
        <v>12</v>
      </c>
    </row>
    <row r="3340" spans="1:10" ht="24" customHeight="1" x14ac:dyDescent="0.2">
      <c r="A3340" s="116" t="s">
        <v>1861</v>
      </c>
      <c r="B3340" s="1" t="s">
        <v>750</v>
      </c>
      <c r="C3340" s="116" t="s">
        <v>20</v>
      </c>
      <c r="D3340" s="116" t="s">
        <v>751</v>
      </c>
      <c r="E3340" s="137">
        <v>27</v>
      </c>
      <c r="F3340" s="137"/>
      <c r="G3340" s="2" t="s">
        <v>213</v>
      </c>
      <c r="H3340" s="115">
        <v>1</v>
      </c>
      <c r="I3340" s="61">
        <v>507.45</v>
      </c>
      <c r="J3340" s="61">
        <v>507.45</v>
      </c>
    </row>
    <row r="3341" spans="1:10" ht="24" customHeight="1" x14ac:dyDescent="0.2">
      <c r="A3341" s="113" t="s">
        <v>1859</v>
      </c>
      <c r="B3341" s="114" t="s">
        <v>1863</v>
      </c>
      <c r="C3341" s="113" t="s">
        <v>20</v>
      </c>
      <c r="D3341" s="113" t="s">
        <v>1862</v>
      </c>
      <c r="E3341" s="139" t="s">
        <v>1369</v>
      </c>
      <c r="F3341" s="139"/>
      <c r="G3341" s="112" t="s">
        <v>213</v>
      </c>
      <c r="H3341" s="111">
        <v>1</v>
      </c>
      <c r="I3341" s="110">
        <v>507.45</v>
      </c>
      <c r="J3341" s="110">
        <v>507.45</v>
      </c>
    </row>
    <row r="3342" spans="1:10" x14ac:dyDescent="0.2">
      <c r="A3342" s="109"/>
      <c r="B3342" s="109"/>
      <c r="C3342" s="109"/>
      <c r="D3342" s="109"/>
      <c r="E3342" s="109" t="s">
        <v>1858</v>
      </c>
      <c r="F3342" s="108">
        <v>0</v>
      </c>
      <c r="G3342" s="109" t="s">
        <v>1857</v>
      </c>
      <c r="H3342" s="108">
        <v>0</v>
      </c>
      <c r="I3342" s="109" t="s">
        <v>1856</v>
      </c>
      <c r="J3342" s="108">
        <v>0</v>
      </c>
    </row>
    <row r="3343" spans="1:10" ht="13.9" customHeight="1" x14ac:dyDescent="0.2">
      <c r="A3343" s="109"/>
      <c r="B3343" s="109"/>
      <c r="C3343" s="109"/>
      <c r="D3343" s="109"/>
      <c r="E3343" s="109" t="s">
        <v>1855</v>
      </c>
      <c r="F3343" s="108">
        <v>134.72797499999999</v>
      </c>
      <c r="G3343" s="109"/>
      <c r="H3343" s="140" t="s">
        <v>1854</v>
      </c>
      <c r="I3343" s="140"/>
      <c r="J3343" s="108">
        <v>642.17999999999995</v>
      </c>
    </row>
    <row r="3344" spans="1:10" ht="30" customHeight="1" thickBot="1" x14ac:dyDescent="0.25">
      <c r="A3344" s="100"/>
      <c r="B3344" s="100"/>
      <c r="C3344" s="100"/>
      <c r="D3344" s="100"/>
      <c r="E3344" s="100"/>
      <c r="F3344" s="100"/>
      <c r="G3344" s="100" t="s">
        <v>1853</v>
      </c>
      <c r="H3344" s="107">
        <v>20</v>
      </c>
      <c r="I3344" s="100" t="s">
        <v>1852</v>
      </c>
      <c r="J3344" s="102">
        <v>12843.6</v>
      </c>
    </row>
    <row r="3345" spans="1:10" ht="1.1499999999999999" customHeight="1" thickTop="1" x14ac:dyDescent="0.2">
      <c r="A3345" s="106"/>
      <c r="B3345" s="106"/>
      <c r="C3345" s="106"/>
      <c r="D3345" s="106"/>
      <c r="E3345" s="106"/>
      <c r="F3345" s="106"/>
      <c r="G3345" s="106"/>
      <c r="H3345" s="106"/>
      <c r="I3345" s="106"/>
      <c r="J3345" s="106"/>
    </row>
    <row r="3346" spans="1:10" ht="18" customHeight="1" x14ac:dyDescent="0.2">
      <c r="A3346" s="117" t="s">
        <v>1197</v>
      </c>
      <c r="B3346" s="126" t="s">
        <v>5</v>
      </c>
      <c r="C3346" s="117" t="s">
        <v>6</v>
      </c>
      <c r="D3346" s="117" t="s">
        <v>7</v>
      </c>
      <c r="E3346" s="136" t="s">
        <v>1113</v>
      </c>
      <c r="F3346" s="136"/>
      <c r="G3346" s="7" t="s">
        <v>8</v>
      </c>
      <c r="H3346" s="126" t="s">
        <v>9</v>
      </c>
      <c r="I3346" s="126" t="s">
        <v>10</v>
      </c>
      <c r="J3346" s="126" t="s">
        <v>12</v>
      </c>
    </row>
    <row r="3347" spans="1:10" ht="24" customHeight="1" x14ac:dyDescent="0.2">
      <c r="A3347" s="116" t="s">
        <v>1861</v>
      </c>
      <c r="B3347" s="1" t="s">
        <v>2843</v>
      </c>
      <c r="C3347" s="116" t="s">
        <v>411</v>
      </c>
      <c r="D3347" s="116" t="s">
        <v>1196</v>
      </c>
      <c r="E3347" s="137">
        <v>13.02</v>
      </c>
      <c r="F3347" s="137"/>
      <c r="G3347" s="2" t="s">
        <v>92</v>
      </c>
      <c r="H3347" s="115">
        <v>1</v>
      </c>
      <c r="I3347" s="61">
        <v>21.1</v>
      </c>
      <c r="J3347" s="61">
        <v>21.1</v>
      </c>
    </row>
    <row r="3348" spans="1:10" ht="24" customHeight="1" x14ac:dyDescent="0.2">
      <c r="A3348" s="113" t="s">
        <v>1859</v>
      </c>
      <c r="B3348" s="114" t="s">
        <v>2849</v>
      </c>
      <c r="C3348" s="113" t="s">
        <v>20</v>
      </c>
      <c r="D3348" s="113" t="s">
        <v>2850</v>
      </c>
      <c r="E3348" s="139" t="s">
        <v>1860</v>
      </c>
      <c r="F3348" s="139"/>
      <c r="G3348" s="112" t="s">
        <v>1864</v>
      </c>
      <c r="H3348" s="111">
        <v>0.3</v>
      </c>
      <c r="I3348" s="110">
        <v>15.97</v>
      </c>
      <c r="J3348" s="110">
        <v>4.79</v>
      </c>
    </row>
    <row r="3349" spans="1:10" ht="24" customHeight="1" x14ac:dyDescent="0.2">
      <c r="A3349" s="113" t="s">
        <v>1859</v>
      </c>
      <c r="B3349" s="114" t="s">
        <v>1951</v>
      </c>
      <c r="C3349" s="113" t="s">
        <v>20</v>
      </c>
      <c r="D3349" s="113" t="s">
        <v>1950</v>
      </c>
      <c r="E3349" s="139" t="s">
        <v>1860</v>
      </c>
      <c r="F3349" s="139"/>
      <c r="G3349" s="112" t="s">
        <v>1864</v>
      </c>
      <c r="H3349" s="111">
        <v>0.3</v>
      </c>
      <c r="I3349" s="110">
        <v>10.62</v>
      </c>
      <c r="J3349" s="110">
        <v>3.19</v>
      </c>
    </row>
    <row r="3350" spans="1:10" ht="24" customHeight="1" x14ac:dyDescent="0.2">
      <c r="A3350" s="113" t="s">
        <v>1859</v>
      </c>
      <c r="B3350" s="114" t="s">
        <v>2851</v>
      </c>
      <c r="C3350" s="113" t="s">
        <v>20</v>
      </c>
      <c r="D3350" s="113" t="s">
        <v>2852</v>
      </c>
      <c r="E3350" s="139" t="s">
        <v>1369</v>
      </c>
      <c r="F3350" s="139"/>
      <c r="G3350" s="112" t="s">
        <v>213</v>
      </c>
      <c r="H3350" s="111">
        <v>2</v>
      </c>
      <c r="I3350" s="110">
        <v>0.06</v>
      </c>
      <c r="J3350" s="110">
        <v>0.12</v>
      </c>
    </row>
    <row r="3351" spans="1:10" ht="24" customHeight="1" x14ac:dyDescent="0.2">
      <c r="A3351" s="113" t="s">
        <v>1859</v>
      </c>
      <c r="B3351" s="114" t="s">
        <v>2010</v>
      </c>
      <c r="C3351" s="113" t="s">
        <v>20</v>
      </c>
      <c r="D3351" s="113" t="s">
        <v>2009</v>
      </c>
      <c r="E3351" s="139" t="s">
        <v>1369</v>
      </c>
      <c r="F3351" s="139"/>
      <c r="G3351" s="112" t="s">
        <v>49</v>
      </c>
      <c r="H3351" s="111">
        <v>7.4999999999999997E-2</v>
      </c>
      <c r="I3351" s="110">
        <v>162.78</v>
      </c>
      <c r="J3351" s="110">
        <v>12.21</v>
      </c>
    </row>
    <row r="3352" spans="1:10" ht="24" customHeight="1" x14ac:dyDescent="0.2">
      <c r="A3352" s="113" t="s">
        <v>1859</v>
      </c>
      <c r="B3352" s="114" t="s">
        <v>2853</v>
      </c>
      <c r="C3352" s="113" t="s">
        <v>25</v>
      </c>
      <c r="D3352" s="113" t="s">
        <v>2854</v>
      </c>
      <c r="E3352" s="139" t="s">
        <v>1369</v>
      </c>
      <c r="F3352" s="139"/>
      <c r="G3352" s="112" t="s">
        <v>1303</v>
      </c>
      <c r="H3352" s="111">
        <v>1.4999999999999999E-2</v>
      </c>
      <c r="I3352" s="110">
        <v>52.69</v>
      </c>
      <c r="J3352" s="110">
        <v>0.79</v>
      </c>
    </row>
    <row r="3353" spans="1:10" x14ac:dyDescent="0.2">
      <c r="A3353" s="109"/>
      <c r="B3353" s="109"/>
      <c r="C3353" s="109"/>
      <c r="D3353" s="109"/>
      <c r="E3353" s="109" t="s">
        <v>1858</v>
      </c>
      <c r="F3353" s="108">
        <v>7.98</v>
      </c>
      <c r="G3353" s="109" t="s">
        <v>1857</v>
      </c>
      <c r="H3353" s="108">
        <v>0</v>
      </c>
      <c r="I3353" s="109" t="s">
        <v>1856</v>
      </c>
      <c r="J3353" s="108">
        <v>7.98</v>
      </c>
    </row>
    <row r="3354" spans="1:10" ht="13.9" customHeight="1" x14ac:dyDescent="0.2">
      <c r="A3354" s="109"/>
      <c r="B3354" s="109"/>
      <c r="C3354" s="109"/>
      <c r="D3354" s="109"/>
      <c r="E3354" s="109" t="s">
        <v>1855</v>
      </c>
      <c r="F3354" s="108">
        <v>5.6020500000000002</v>
      </c>
      <c r="G3354" s="109"/>
      <c r="H3354" s="140" t="s">
        <v>1854</v>
      </c>
      <c r="I3354" s="140"/>
      <c r="J3354" s="108">
        <v>26.7</v>
      </c>
    </row>
    <row r="3355" spans="1:10" ht="30" customHeight="1" thickBot="1" x14ac:dyDescent="0.25">
      <c r="A3355" s="100"/>
      <c r="B3355" s="100"/>
      <c r="C3355" s="100"/>
      <c r="D3355" s="100"/>
      <c r="E3355" s="100"/>
      <c r="F3355" s="100"/>
      <c r="G3355" s="100" t="s">
        <v>1853</v>
      </c>
      <c r="H3355" s="107">
        <v>48</v>
      </c>
      <c r="I3355" s="100" t="s">
        <v>1852</v>
      </c>
      <c r="J3355" s="102">
        <v>1281.5999999999999</v>
      </c>
    </row>
    <row r="3356" spans="1:10" ht="1.1499999999999999" customHeight="1" thickTop="1" x14ac:dyDescent="0.2">
      <c r="A3356" s="106"/>
      <c r="B3356" s="106"/>
      <c r="C3356" s="106"/>
      <c r="D3356" s="106"/>
      <c r="E3356" s="106"/>
      <c r="F3356" s="106"/>
      <c r="G3356" s="106"/>
      <c r="H3356" s="106"/>
      <c r="I3356" s="106"/>
      <c r="J3356" s="106"/>
    </row>
    <row r="3357" spans="1:10" x14ac:dyDescent="0.2">
      <c r="A3357" s="104"/>
      <c r="B3357" s="104"/>
      <c r="C3357" s="104"/>
      <c r="D3357" s="104"/>
      <c r="E3357" s="104"/>
      <c r="F3357" s="104"/>
      <c r="G3357" s="104"/>
      <c r="H3357" s="104"/>
      <c r="I3357" s="104"/>
      <c r="J3357" s="104"/>
    </row>
    <row r="3358" spans="1:10" x14ac:dyDescent="0.2">
      <c r="A3358" s="130"/>
      <c r="B3358" s="130"/>
      <c r="C3358" s="130"/>
      <c r="D3358" s="59"/>
      <c r="E3358" s="100"/>
      <c r="F3358" s="131" t="s">
        <v>752</v>
      </c>
      <c r="G3358" s="130"/>
      <c r="H3358" s="132">
        <v>1184623.3600000001</v>
      </c>
      <c r="I3358" s="130"/>
      <c r="J3358" s="130"/>
    </row>
    <row r="3359" spans="1:10" x14ac:dyDescent="0.2">
      <c r="A3359" s="130"/>
      <c r="B3359" s="130"/>
      <c r="C3359" s="130"/>
      <c r="D3359" s="59"/>
      <c r="E3359" s="100"/>
      <c r="F3359" s="131" t="s">
        <v>753</v>
      </c>
      <c r="G3359" s="130"/>
      <c r="H3359" s="132">
        <v>314535.25</v>
      </c>
      <c r="I3359" s="130"/>
      <c r="J3359" s="130"/>
    </row>
    <row r="3360" spans="1:10" x14ac:dyDescent="0.2">
      <c r="A3360" s="130"/>
      <c r="B3360" s="130"/>
      <c r="C3360" s="130"/>
      <c r="D3360" s="59"/>
      <c r="E3360" s="100"/>
      <c r="F3360" s="131" t="s">
        <v>754</v>
      </c>
      <c r="G3360" s="130"/>
      <c r="H3360" s="132">
        <v>1499158.61</v>
      </c>
      <c r="I3360" s="130"/>
      <c r="J3360" s="130"/>
    </row>
    <row r="3361" spans="1:10" ht="60" customHeight="1" x14ac:dyDescent="0.2">
      <c r="A3361" s="105"/>
      <c r="B3361" s="105"/>
      <c r="C3361" s="105"/>
      <c r="D3361" s="105"/>
      <c r="E3361" s="105"/>
      <c r="F3361" s="105"/>
      <c r="G3361" s="105"/>
      <c r="H3361" s="105"/>
      <c r="I3361" s="105"/>
      <c r="J3361" s="105"/>
    </row>
    <row r="3362" spans="1:10" ht="70.150000000000006" customHeight="1" x14ac:dyDescent="0.2">
      <c r="A3362" s="141" t="s">
        <v>1851</v>
      </c>
      <c r="B3362" s="134"/>
      <c r="C3362" s="134"/>
      <c r="D3362" s="134"/>
      <c r="E3362" s="134"/>
      <c r="F3362" s="134"/>
      <c r="G3362" s="134"/>
      <c r="H3362" s="134"/>
      <c r="I3362" s="134"/>
      <c r="J3362" s="134"/>
    </row>
  </sheetData>
  <mergeCells count="2459">
    <mergeCell ref="E6:F6"/>
    <mergeCell ref="E7:F7"/>
    <mergeCell ref="E8:F8"/>
    <mergeCell ref="E9:F9"/>
    <mergeCell ref="E10:F10"/>
    <mergeCell ref="E11:F11"/>
    <mergeCell ref="G1:H1"/>
    <mergeCell ref="I1:J1"/>
    <mergeCell ref="C2:D2"/>
    <mergeCell ref="E2:F2"/>
    <mergeCell ref="G2:H2"/>
    <mergeCell ref="I2:J2"/>
    <mergeCell ref="E30:F30"/>
    <mergeCell ref="E31:F31"/>
    <mergeCell ref="E32:F32"/>
    <mergeCell ref="E33:F33"/>
    <mergeCell ref="E34:F34"/>
    <mergeCell ref="C1:D1"/>
    <mergeCell ref="E1:F1"/>
    <mergeCell ref="A3:J3"/>
    <mergeCell ref="F4:G4"/>
    <mergeCell ref="F5:G5"/>
    <mergeCell ref="H19:I19"/>
    <mergeCell ref="E22:F22"/>
    <mergeCell ref="E23:F23"/>
    <mergeCell ref="H25:I25"/>
    <mergeCell ref="E28:F28"/>
    <mergeCell ref="E29:F29"/>
    <mergeCell ref="E12:F12"/>
    <mergeCell ref="E13:F13"/>
    <mergeCell ref="E14:F14"/>
    <mergeCell ref="E15:F15"/>
    <mergeCell ref="E16:F16"/>
    <mergeCell ref="E17:F17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64:F64"/>
    <mergeCell ref="E65:F65"/>
    <mergeCell ref="E66:F66"/>
    <mergeCell ref="E35:F35"/>
    <mergeCell ref="E36:F36"/>
    <mergeCell ref="E37:F37"/>
    <mergeCell ref="E38:F38"/>
    <mergeCell ref="E39:F39"/>
    <mergeCell ref="E58:F58"/>
    <mergeCell ref="E59:F59"/>
    <mergeCell ref="E60:F60"/>
    <mergeCell ref="E61:F61"/>
    <mergeCell ref="E62:F62"/>
    <mergeCell ref="E63:F63"/>
    <mergeCell ref="E52:F52"/>
    <mergeCell ref="E53:F53"/>
    <mergeCell ref="E54:F54"/>
    <mergeCell ref="E55:F55"/>
    <mergeCell ref="E56:F56"/>
    <mergeCell ref="E57:F57"/>
    <mergeCell ref="H86:I86"/>
    <mergeCell ref="E89:F89"/>
    <mergeCell ref="E90:F90"/>
    <mergeCell ref="E91:F91"/>
    <mergeCell ref="H73:I73"/>
    <mergeCell ref="E76:F76"/>
    <mergeCell ref="E77:F77"/>
    <mergeCell ref="E78:F78"/>
    <mergeCell ref="E79:F79"/>
    <mergeCell ref="E80:F80"/>
    <mergeCell ref="E104:F104"/>
    <mergeCell ref="E105:F105"/>
    <mergeCell ref="E106:F106"/>
    <mergeCell ref="E107:F107"/>
    <mergeCell ref="E108:F108"/>
    <mergeCell ref="E67:F67"/>
    <mergeCell ref="E68:F68"/>
    <mergeCell ref="E141:F141"/>
    <mergeCell ref="E142:F142"/>
    <mergeCell ref="E143:F143"/>
    <mergeCell ref="E144:F144"/>
    <mergeCell ref="E145:F145"/>
    <mergeCell ref="E69:F69"/>
    <mergeCell ref="E70:F70"/>
    <mergeCell ref="E71:F71"/>
    <mergeCell ref="E81:F81"/>
    <mergeCell ref="E82:F82"/>
    <mergeCell ref="E98:F98"/>
    <mergeCell ref="E99:F99"/>
    <mergeCell ref="E100:F100"/>
    <mergeCell ref="E101:F101"/>
    <mergeCell ref="E102:F102"/>
    <mergeCell ref="E103:F103"/>
    <mergeCell ref="E92:F92"/>
    <mergeCell ref="E93:F93"/>
    <mergeCell ref="E94:F94"/>
    <mergeCell ref="E95:F95"/>
    <mergeCell ref="E96:F96"/>
    <mergeCell ref="E97:F97"/>
    <mergeCell ref="E83:F83"/>
    <mergeCell ref="E84:F84"/>
    <mergeCell ref="E109:F109"/>
    <mergeCell ref="E110:F110"/>
    <mergeCell ref="E111:F111"/>
    <mergeCell ref="E112:F112"/>
    <mergeCell ref="E113:F113"/>
    <mergeCell ref="E132:F132"/>
    <mergeCell ref="E133:F133"/>
    <mergeCell ref="H135:I135"/>
    <mergeCell ref="E138:F138"/>
    <mergeCell ref="E139:F139"/>
    <mergeCell ref="E140:F140"/>
    <mergeCell ref="E126:F126"/>
    <mergeCell ref="E127:F127"/>
    <mergeCell ref="E128:F128"/>
    <mergeCell ref="E129:F129"/>
    <mergeCell ref="E130:F130"/>
    <mergeCell ref="E131:F131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E157:F157"/>
    <mergeCell ref="E158:F158"/>
    <mergeCell ref="E159:F159"/>
    <mergeCell ref="E160:F160"/>
    <mergeCell ref="E161:F161"/>
    <mergeCell ref="E162:F162"/>
    <mergeCell ref="E151:F151"/>
    <mergeCell ref="E152:F152"/>
    <mergeCell ref="E153:F153"/>
    <mergeCell ref="E154:F154"/>
    <mergeCell ref="E155:F155"/>
    <mergeCell ref="E156:F156"/>
    <mergeCell ref="E175:F175"/>
    <mergeCell ref="E176:F176"/>
    <mergeCell ref="H178:I178"/>
    <mergeCell ref="E181:F181"/>
    <mergeCell ref="E182:F182"/>
    <mergeCell ref="E196:F196"/>
    <mergeCell ref="E197:F197"/>
    <mergeCell ref="E198:F198"/>
    <mergeCell ref="E199:F199"/>
    <mergeCell ref="E188:F188"/>
    <mergeCell ref="E189:F189"/>
    <mergeCell ref="E190:F190"/>
    <mergeCell ref="E191:F191"/>
    <mergeCell ref="E192:F192"/>
    <mergeCell ref="E193:F193"/>
    <mergeCell ref="H216:I216"/>
    <mergeCell ref="F219:G219"/>
    <mergeCell ref="E220:F220"/>
    <mergeCell ref="E221:F221"/>
    <mergeCell ref="E222:F222"/>
    <mergeCell ref="E146:F146"/>
    <mergeCell ref="E147:F147"/>
    <mergeCell ref="E148:F148"/>
    <mergeCell ref="E149:F149"/>
    <mergeCell ref="E150:F150"/>
    <mergeCell ref="E169:F169"/>
    <mergeCell ref="E170:F170"/>
    <mergeCell ref="E171:F171"/>
    <mergeCell ref="E172:F172"/>
    <mergeCell ref="E173:F173"/>
    <mergeCell ref="E174:F174"/>
    <mergeCell ref="E163:F163"/>
    <mergeCell ref="E164:F164"/>
    <mergeCell ref="E165:F165"/>
    <mergeCell ref="E166:F166"/>
    <mergeCell ref="E167:F167"/>
    <mergeCell ref="E168:F168"/>
    <mergeCell ref="H248:I248"/>
    <mergeCell ref="F251:G251"/>
    <mergeCell ref="H225:I225"/>
    <mergeCell ref="E228:F228"/>
    <mergeCell ref="E229:F229"/>
    <mergeCell ref="E230:F230"/>
    <mergeCell ref="E231:F231"/>
    <mergeCell ref="H233:I233"/>
    <mergeCell ref="F273:G273"/>
    <mergeCell ref="F274:G274"/>
    <mergeCell ref="E275:F275"/>
    <mergeCell ref="E276:F276"/>
    <mergeCell ref="E277:F277"/>
    <mergeCell ref="E183:F183"/>
    <mergeCell ref="E184:F184"/>
    <mergeCell ref="E185:F185"/>
    <mergeCell ref="E186:F186"/>
    <mergeCell ref="E187:F187"/>
    <mergeCell ref="E209:F209"/>
    <mergeCell ref="E210:F210"/>
    <mergeCell ref="E211:F211"/>
    <mergeCell ref="E212:F212"/>
    <mergeCell ref="E213:F213"/>
    <mergeCell ref="E214:F214"/>
    <mergeCell ref="E200:F200"/>
    <mergeCell ref="E201:F201"/>
    <mergeCell ref="H203:I203"/>
    <mergeCell ref="E206:F206"/>
    <mergeCell ref="E207:F207"/>
    <mergeCell ref="E208:F208"/>
    <mergeCell ref="E194:F194"/>
    <mergeCell ref="E195:F195"/>
    <mergeCell ref="E289:F289"/>
    <mergeCell ref="E290:F290"/>
    <mergeCell ref="E291:F291"/>
    <mergeCell ref="H293:I293"/>
    <mergeCell ref="E296:F296"/>
    <mergeCell ref="E297:F297"/>
    <mergeCell ref="E325:F325"/>
    <mergeCell ref="E326:F326"/>
    <mergeCell ref="H328:I328"/>
    <mergeCell ref="E331:F331"/>
    <mergeCell ref="E332:F332"/>
    <mergeCell ref="E223:F223"/>
    <mergeCell ref="E236:F236"/>
    <mergeCell ref="E237:F237"/>
    <mergeCell ref="E238:F238"/>
    <mergeCell ref="E239:F239"/>
    <mergeCell ref="E261:F261"/>
    <mergeCell ref="H263:I263"/>
    <mergeCell ref="E266:F266"/>
    <mergeCell ref="E267:F267"/>
    <mergeCell ref="E268:F268"/>
    <mergeCell ref="H270:I270"/>
    <mergeCell ref="E252:F252"/>
    <mergeCell ref="E253:F253"/>
    <mergeCell ref="E254:F254"/>
    <mergeCell ref="H256:I256"/>
    <mergeCell ref="E259:F259"/>
    <mergeCell ref="E260:F260"/>
    <mergeCell ref="H241:I241"/>
    <mergeCell ref="E244:F244"/>
    <mergeCell ref="E245:F245"/>
    <mergeCell ref="E246:F246"/>
    <mergeCell ref="E342:F342"/>
    <mergeCell ref="E343:F343"/>
    <mergeCell ref="E344:F344"/>
    <mergeCell ref="E345:F345"/>
    <mergeCell ref="E374:F374"/>
    <mergeCell ref="E375:F375"/>
    <mergeCell ref="E376:F376"/>
    <mergeCell ref="E377:F377"/>
    <mergeCell ref="E378:F378"/>
    <mergeCell ref="H279:I279"/>
    <mergeCell ref="E282:F282"/>
    <mergeCell ref="E283:F283"/>
    <mergeCell ref="E284:F284"/>
    <mergeCell ref="H286:I286"/>
    <mergeCell ref="E319:F319"/>
    <mergeCell ref="E320:F320"/>
    <mergeCell ref="E321:F321"/>
    <mergeCell ref="E322:F322"/>
    <mergeCell ref="E323:F323"/>
    <mergeCell ref="E324:F324"/>
    <mergeCell ref="F310:G310"/>
    <mergeCell ref="E311:F311"/>
    <mergeCell ref="E312:F312"/>
    <mergeCell ref="E313:F313"/>
    <mergeCell ref="H315:I315"/>
    <mergeCell ref="E318:F318"/>
    <mergeCell ref="E298:F298"/>
    <mergeCell ref="H300:I300"/>
    <mergeCell ref="E303:F303"/>
    <mergeCell ref="E304:F304"/>
    <mergeCell ref="E305:F305"/>
    <mergeCell ref="H307:I307"/>
    <mergeCell ref="E394:F394"/>
    <mergeCell ref="E395:F395"/>
    <mergeCell ref="E423:F423"/>
    <mergeCell ref="E424:F424"/>
    <mergeCell ref="E425:F425"/>
    <mergeCell ref="H427:I427"/>
    <mergeCell ref="E430:F430"/>
    <mergeCell ref="E333:F333"/>
    <mergeCell ref="E334:F334"/>
    <mergeCell ref="E335:F335"/>
    <mergeCell ref="E336:F336"/>
    <mergeCell ref="E346:F346"/>
    <mergeCell ref="E365:F365"/>
    <mergeCell ref="E366:F366"/>
    <mergeCell ref="E367:F367"/>
    <mergeCell ref="E368:F368"/>
    <mergeCell ref="H370:I370"/>
    <mergeCell ref="E373:F373"/>
    <mergeCell ref="E356:F356"/>
    <mergeCell ref="H358:I358"/>
    <mergeCell ref="E361:F361"/>
    <mergeCell ref="E362:F362"/>
    <mergeCell ref="E363:F363"/>
    <mergeCell ref="E364:F364"/>
    <mergeCell ref="H348:I348"/>
    <mergeCell ref="F351:G351"/>
    <mergeCell ref="E352:F352"/>
    <mergeCell ref="E353:F353"/>
    <mergeCell ref="E354:F354"/>
    <mergeCell ref="E355:F355"/>
    <mergeCell ref="H338:I338"/>
    <mergeCell ref="E341:F341"/>
    <mergeCell ref="H473:I473"/>
    <mergeCell ref="F476:G476"/>
    <mergeCell ref="E477:F477"/>
    <mergeCell ref="E478:F478"/>
    <mergeCell ref="H480:I480"/>
    <mergeCell ref="H380:I380"/>
    <mergeCell ref="E383:F383"/>
    <mergeCell ref="E384:F384"/>
    <mergeCell ref="E385:F385"/>
    <mergeCell ref="E386:F386"/>
    <mergeCell ref="E414:F414"/>
    <mergeCell ref="H416:I416"/>
    <mergeCell ref="E419:F419"/>
    <mergeCell ref="E420:F420"/>
    <mergeCell ref="E421:F421"/>
    <mergeCell ref="E422:F422"/>
    <mergeCell ref="H406:I406"/>
    <mergeCell ref="F409:G409"/>
    <mergeCell ref="E410:F410"/>
    <mergeCell ref="E411:F411"/>
    <mergeCell ref="E412:F412"/>
    <mergeCell ref="E413:F413"/>
    <mergeCell ref="H397:I397"/>
    <mergeCell ref="E400:F400"/>
    <mergeCell ref="E401:F401"/>
    <mergeCell ref="E402:F402"/>
    <mergeCell ref="E403:F403"/>
    <mergeCell ref="E404:F404"/>
    <mergeCell ref="E387:F387"/>
    <mergeCell ref="E388:F388"/>
    <mergeCell ref="H390:I390"/>
    <mergeCell ref="E393:F393"/>
    <mergeCell ref="E431:F431"/>
    <mergeCell ref="E432:F432"/>
    <mergeCell ref="E433:F433"/>
    <mergeCell ref="E434:F434"/>
    <mergeCell ref="E435:F435"/>
    <mergeCell ref="H464:I464"/>
    <mergeCell ref="E467:F467"/>
    <mergeCell ref="E468:F468"/>
    <mergeCell ref="E469:F469"/>
    <mergeCell ref="E470:F470"/>
    <mergeCell ref="E471:F471"/>
    <mergeCell ref="E454:F454"/>
    <mergeCell ref="E455:F455"/>
    <mergeCell ref="H457:I457"/>
    <mergeCell ref="E460:F460"/>
    <mergeCell ref="E461:F461"/>
    <mergeCell ref="E462:F462"/>
    <mergeCell ref="E445:F445"/>
    <mergeCell ref="H447:I447"/>
    <mergeCell ref="E450:F450"/>
    <mergeCell ref="E451:F451"/>
    <mergeCell ref="E452:F452"/>
    <mergeCell ref="E453:F453"/>
    <mergeCell ref="H437:I437"/>
    <mergeCell ref="E440:F440"/>
    <mergeCell ref="E441:F441"/>
    <mergeCell ref="E442:F442"/>
    <mergeCell ref="E443:F443"/>
    <mergeCell ref="E444:F444"/>
    <mergeCell ref="F497:G497"/>
    <mergeCell ref="E498:F498"/>
    <mergeCell ref="E499:F499"/>
    <mergeCell ref="E500:F500"/>
    <mergeCell ref="E501:F501"/>
    <mergeCell ref="E502:F502"/>
    <mergeCell ref="E488:F488"/>
    <mergeCell ref="E489:F489"/>
    <mergeCell ref="E490:F490"/>
    <mergeCell ref="E491:F491"/>
    <mergeCell ref="H493:I493"/>
    <mergeCell ref="F496:G496"/>
    <mergeCell ref="E518:F518"/>
    <mergeCell ref="E519:F519"/>
    <mergeCell ref="H521:I521"/>
    <mergeCell ref="E524:F524"/>
    <mergeCell ref="E525:F525"/>
    <mergeCell ref="E545:F545"/>
    <mergeCell ref="E546:F546"/>
    <mergeCell ref="E547:F547"/>
    <mergeCell ref="E548:F548"/>
    <mergeCell ref="E534:F534"/>
    <mergeCell ref="E535:F535"/>
    <mergeCell ref="E536:F536"/>
    <mergeCell ref="E537:F537"/>
    <mergeCell ref="E538:F538"/>
    <mergeCell ref="E539:F539"/>
    <mergeCell ref="H568:I568"/>
    <mergeCell ref="E571:F571"/>
    <mergeCell ref="E572:F572"/>
    <mergeCell ref="E573:F573"/>
    <mergeCell ref="E574:F574"/>
    <mergeCell ref="E483:F483"/>
    <mergeCell ref="E484:F484"/>
    <mergeCell ref="E485:F485"/>
    <mergeCell ref="E486:F486"/>
    <mergeCell ref="E487:F487"/>
    <mergeCell ref="E509:F509"/>
    <mergeCell ref="H511:I511"/>
    <mergeCell ref="E514:F514"/>
    <mergeCell ref="E515:F515"/>
    <mergeCell ref="E516:F516"/>
    <mergeCell ref="E517:F517"/>
    <mergeCell ref="E503:F503"/>
    <mergeCell ref="E504:F504"/>
    <mergeCell ref="E505:F505"/>
    <mergeCell ref="E506:F506"/>
    <mergeCell ref="E507:F507"/>
    <mergeCell ref="E508:F508"/>
    <mergeCell ref="H594:I594"/>
    <mergeCell ref="E597:F597"/>
    <mergeCell ref="E583:F583"/>
    <mergeCell ref="E584:F584"/>
    <mergeCell ref="E585:F585"/>
    <mergeCell ref="E586:F586"/>
    <mergeCell ref="E587:F587"/>
    <mergeCell ref="E588:F588"/>
    <mergeCell ref="H614:I614"/>
    <mergeCell ref="E617:F617"/>
    <mergeCell ref="E618:F618"/>
    <mergeCell ref="E619:F619"/>
    <mergeCell ref="E620:F620"/>
    <mergeCell ref="E526:F526"/>
    <mergeCell ref="E527:F527"/>
    <mergeCell ref="E528:F528"/>
    <mergeCell ref="E529:F529"/>
    <mergeCell ref="H531:I531"/>
    <mergeCell ref="E558:F558"/>
    <mergeCell ref="E559:F559"/>
    <mergeCell ref="H561:I561"/>
    <mergeCell ref="E564:F564"/>
    <mergeCell ref="E565:F565"/>
    <mergeCell ref="E566:F566"/>
    <mergeCell ref="E549:F549"/>
    <mergeCell ref="H551:I551"/>
    <mergeCell ref="E554:F554"/>
    <mergeCell ref="E555:F555"/>
    <mergeCell ref="E556:F556"/>
    <mergeCell ref="E557:F557"/>
    <mergeCell ref="H541:I541"/>
    <mergeCell ref="E544:F544"/>
    <mergeCell ref="E629:F629"/>
    <mergeCell ref="E630:F630"/>
    <mergeCell ref="E631:F631"/>
    <mergeCell ref="E632:F632"/>
    <mergeCell ref="H634:I634"/>
    <mergeCell ref="E637:F637"/>
    <mergeCell ref="E662:F662"/>
    <mergeCell ref="H664:I664"/>
    <mergeCell ref="E667:F667"/>
    <mergeCell ref="E668:F668"/>
    <mergeCell ref="E669:F669"/>
    <mergeCell ref="E575:F575"/>
    <mergeCell ref="H577:I577"/>
    <mergeCell ref="F580:G580"/>
    <mergeCell ref="E581:F581"/>
    <mergeCell ref="E582:F582"/>
    <mergeCell ref="E607:F607"/>
    <mergeCell ref="E608:F608"/>
    <mergeCell ref="E609:F609"/>
    <mergeCell ref="E610:F610"/>
    <mergeCell ref="E611:F611"/>
    <mergeCell ref="E612:F612"/>
    <mergeCell ref="E598:F598"/>
    <mergeCell ref="E599:F599"/>
    <mergeCell ref="E600:F600"/>
    <mergeCell ref="E601:F601"/>
    <mergeCell ref="E602:F602"/>
    <mergeCell ref="H604:I604"/>
    <mergeCell ref="E589:F589"/>
    <mergeCell ref="E590:F590"/>
    <mergeCell ref="E591:F591"/>
    <mergeCell ref="E592:F592"/>
    <mergeCell ref="E683:F683"/>
    <mergeCell ref="E684:F684"/>
    <mergeCell ref="E685:F685"/>
    <mergeCell ref="E686:F686"/>
    <mergeCell ref="E708:F708"/>
    <mergeCell ref="E709:F709"/>
    <mergeCell ref="E710:F710"/>
    <mergeCell ref="H712:I712"/>
    <mergeCell ref="F715:G715"/>
    <mergeCell ref="E621:F621"/>
    <mergeCell ref="E622:F622"/>
    <mergeCell ref="H624:I624"/>
    <mergeCell ref="E627:F627"/>
    <mergeCell ref="E628:F628"/>
    <mergeCell ref="H654:I654"/>
    <mergeCell ref="E657:F657"/>
    <mergeCell ref="E658:F658"/>
    <mergeCell ref="E659:F659"/>
    <mergeCell ref="E660:F660"/>
    <mergeCell ref="E661:F661"/>
    <mergeCell ref="E647:F647"/>
    <mergeCell ref="E648:F648"/>
    <mergeCell ref="E649:F649"/>
    <mergeCell ref="E650:F650"/>
    <mergeCell ref="E651:F651"/>
    <mergeCell ref="E652:F652"/>
    <mergeCell ref="E638:F638"/>
    <mergeCell ref="E639:F639"/>
    <mergeCell ref="E640:F640"/>
    <mergeCell ref="E641:F641"/>
    <mergeCell ref="E642:F642"/>
    <mergeCell ref="H644:I644"/>
    <mergeCell ref="E725:F725"/>
    <mergeCell ref="E726:F726"/>
    <mergeCell ref="H746:I746"/>
    <mergeCell ref="F749:G749"/>
    <mergeCell ref="E750:F750"/>
    <mergeCell ref="E751:F751"/>
    <mergeCell ref="H753:I753"/>
    <mergeCell ref="H671:I671"/>
    <mergeCell ref="E674:F674"/>
    <mergeCell ref="E675:F675"/>
    <mergeCell ref="E676:F676"/>
    <mergeCell ref="E677:F677"/>
    <mergeCell ref="E702:F702"/>
    <mergeCell ref="E703:F703"/>
    <mergeCell ref="E704:F704"/>
    <mergeCell ref="E705:F705"/>
    <mergeCell ref="E706:F706"/>
    <mergeCell ref="E707:F707"/>
    <mergeCell ref="F696:G696"/>
    <mergeCell ref="E697:F697"/>
    <mergeCell ref="E698:F698"/>
    <mergeCell ref="E699:F699"/>
    <mergeCell ref="E700:F700"/>
    <mergeCell ref="E701:F701"/>
    <mergeCell ref="E687:F687"/>
    <mergeCell ref="E688:F688"/>
    <mergeCell ref="E689:F689"/>
    <mergeCell ref="E690:F690"/>
    <mergeCell ref="E691:F691"/>
    <mergeCell ref="H693:I693"/>
    <mergeCell ref="E678:F678"/>
    <mergeCell ref="H680:I680"/>
    <mergeCell ref="E794:F794"/>
    <mergeCell ref="E795:F795"/>
    <mergeCell ref="E796:F796"/>
    <mergeCell ref="E797:F797"/>
    <mergeCell ref="H799:I799"/>
    <mergeCell ref="E716:F716"/>
    <mergeCell ref="E717:F717"/>
    <mergeCell ref="E718:F718"/>
    <mergeCell ref="E719:F719"/>
    <mergeCell ref="E720:F720"/>
    <mergeCell ref="E739:F739"/>
    <mergeCell ref="E740:F740"/>
    <mergeCell ref="E741:F741"/>
    <mergeCell ref="E742:F742"/>
    <mergeCell ref="E743:F743"/>
    <mergeCell ref="E744:F744"/>
    <mergeCell ref="E733:F733"/>
    <mergeCell ref="E734:F734"/>
    <mergeCell ref="E735:F735"/>
    <mergeCell ref="E736:F736"/>
    <mergeCell ref="E737:F737"/>
    <mergeCell ref="E738:F738"/>
    <mergeCell ref="E727:F727"/>
    <mergeCell ref="E728:F728"/>
    <mergeCell ref="E729:F729"/>
    <mergeCell ref="E730:F730"/>
    <mergeCell ref="E731:F731"/>
    <mergeCell ref="E732:F732"/>
    <mergeCell ref="E721:F721"/>
    <mergeCell ref="E722:F722"/>
    <mergeCell ref="E723:F723"/>
    <mergeCell ref="E724:F724"/>
    <mergeCell ref="E848:F848"/>
    <mergeCell ref="E849:F849"/>
    <mergeCell ref="E850:F850"/>
    <mergeCell ref="E756:F756"/>
    <mergeCell ref="E757:F757"/>
    <mergeCell ref="E758:F758"/>
    <mergeCell ref="E759:F759"/>
    <mergeCell ref="E760:F760"/>
    <mergeCell ref="H786:I786"/>
    <mergeCell ref="F789:G789"/>
    <mergeCell ref="E790:F790"/>
    <mergeCell ref="E791:F791"/>
    <mergeCell ref="E792:F792"/>
    <mergeCell ref="E793:F793"/>
    <mergeCell ref="H777:I777"/>
    <mergeCell ref="E780:F780"/>
    <mergeCell ref="E781:F781"/>
    <mergeCell ref="E782:F782"/>
    <mergeCell ref="E783:F783"/>
    <mergeCell ref="E784:F784"/>
    <mergeCell ref="E770:F770"/>
    <mergeCell ref="E771:F771"/>
    <mergeCell ref="E772:F772"/>
    <mergeCell ref="E773:F773"/>
    <mergeCell ref="E774:F774"/>
    <mergeCell ref="E775:F775"/>
    <mergeCell ref="E761:F761"/>
    <mergeCell ref="E762:F762"/>
    <mergeCell ref="E763:F763"/>
    <mergeCell ref="E764:F764"/>
    <mergeCell ref="H766:I766"/>
    <mergeCell ref="E769:F769"/>
    <mergeCell ref="E902:F902"/>
    <mergeCell ref="E802:F802"/>
    <mergeCell ref="E803:F803"/>
    <mergeCell ref="E804:F804"/>
    <mergeCell ref="E805:F805"/>
    <mergeCell ref="E806:F806"/>
    <mergeCell ref="E834:F834"/>
    <mergeCell ref="H836:I836"/>
    <mergeCell ref="E839:F839"/>
    <mergeCell ref="E840:F840"/>
    <mergeCell ref="E841:F841"/>
    <mergeCell ref="E842:F842"/>
    <mergeCell ref="F828:G828"/>
    <mergeCell ref="F829:G829"/>
    <mergeCell ref="E830:F830"/>
    <mergeCell ref="E831:F831"/>
    <mergeCell ref="E832:F832"/>
    <mergeCell ref="E833:F833"/>
    <mergeCell ref="H817:I817"/>
    <mergeCell ref="E820:F820"/>
    <mergeCell ref="E821:F821"/>
    <mergeCell ref="E822:F822"/>
    <mergeCell ref="E823:F823"/>
    <mergeCell ref="H825:I825"/>
    <mergeCell ref="E807:F807"/>
    <mergeCell ref="H809:I809"/>
    <mergeCell ref="E812:F812"/>
    <mergeCell ref="E813:F813"/>
    <mergeCell ref="E814:F814"/>
    <mergeCell ref="E815:F815"/>
    <mergeCell ref="E843:F843"/>
    <mergeCell ref="H845:I845"/>
    <mergeCell ref="E885:F885"/>
    <mergeCell ref="E868:F868"/>
    <mergeCell ref="E869:F869"/>
    <mergeCell ref="E870:F870"/>
    <mergeCell ref="H872:I872"/>
    <mergeCell ref="E875:F875"/>
    <mergeCell ref="E876:F876"/>
    <mergeCell ref="E859:F859"/>
    <mergeCell ref="E860:F860"/>
    <mergeCell ref="E861:F861"/>
    <mergeCell ref="H863:I863"/>
    <mergeCell ref="E866:F866"/>
    <mergeCell ref="E867:F867"/>
    <mergeCell ref="E895:F895"/>
    <mergeCell ref="E896:F896"/>
    <mergeCell ref="E897:F897"/>
    <mergeCell ref="H899:I899"/>
    <mergeCell ref="F920:G920"/>
    <mergeCell ref="E921:F921"/>
    <mergeCell ref="E922:F922"/>
    <mergeCell ref="E923:F923"/>
    <mergeCell ref="E924:F924"/>
    <mergeCell ref="H908:I908"/>
    <mergeCell ref="E911:F911"/>
    <mergeCell ref="E912:F912"/>
    <mergeCell ref="E913:F913"/>
    <mergeCell ref="E914:F914"/>
    <mergeCell ref="E915:F915"/>
    <mergeCell ref="E944:F944"/>
    <mergeCell ref="E945:F945"/>
    <mergeCell ref="E946:F946"/>
    <mergeCell ref="E947:F947"/>
    <mergeCell ref="E948:F948"/>
    <mergeCell ref="E851:F851"/>
    <mergeCell ref="E852:F852"/>
    <mergeCell ref="H854:I854"/>
    <mergeCell ref="E857:F857"/>
    <mergeCell ref="E858:F858"/>
    <mergeCell ref="E886:F886"/>
    <mergeCell ref="E887:F887"/>
    <mergeCell ref="E888:F888"/>
    <mergeCell ref="H890:I890"/>
    <mergeCell ref="E893:F893"/>
    <mergeCell ref="E894:F894"/>
    <mergeCell ref="E877:F877"/>
    <mergeCell ref="E878:F878"/>
    <mergeCell ref="E879:F879"/>
    <mergeCell ref="H881:I881"/>
    <mergeCell ref="E884:F884"/>
    <mergeCell ref="E972:F972"/>
    <mergeCell ref="E973:F973"/>
    <mergeCell ref="E974:F974"/>
    <mergeCell ref="E960:F960"/>
    <mergeCell ref="E961:F961"/>
    <mergeCell ref="E962:F962"/>
    <mergeCell ref="E963:F963"/>
    <mergeCell ref="E964:F964"/>
    <mergeCell ref="E965:F965"/>
    <mergeCell ref="E993:F993"/>
    <mergeCell ref="E994:F994"/>
    <mergeCell ref="E995:F995"/>
    <mergeCell ref="E996:F996"/>
    <mergeCell ref="H998:I998"/>
    <mergeCell ref="E903:F903"/>
    <mergeCell ref="E904:F904"/>
    <mergeCell ref="E905:F905"/>
    <mergeCell ref="E906:F906"/>
    <mergeCell ref="E925:F925"/>
    <mergeCell ref="E935:F935"/>
    <mergeCell ref="E936:F936"/>
    <mergeCell ref="E937:F937"/>
    <mergeCell ref="E938:F938"/>
    <mergeCell ref="E939:F939"/>
    <mergeCell ref="H941:I941"/>
    <mergeCell ref="E926:F926"/>
    <mergeCell ref="E927:F927"/>
    <mergeCell ref="E928:F928"/>
    <mergeCell ref="H930:I930"/>
    <mergeCell ref="F933:G933"/>
    <mergeCell ref="E934:F934"/>
    <mergeCell ref="H917:I917"/>
    <mergeCell ref="E1023:F1023"/>
    <mergeCell ref="H1007:I1007"/>
    <mergeCell ref="E1010:F1010"/>
    <mergeCell ref="E1011:F1011"/>
    <mergeCell ref="E1012:F1012"/>
    <mergeCell ref="E1013:F1013"/>
    <mergeCell ref="E1014:F1014"/>
    <mergeCell ref="H1043:I1043"/>
    <mergeCell ref="E1046:F1046"/>
    <mergeCell ref="E1047:F1047"/>
    <mergeCell ref="E1048:F1048"/>
    <mergeCell ref="E1049:F1049"/>
    <mergeCell ref="E949:F949"/>
    <mergeCell ref="H951:I951"/>
    <mergeCell ref="E954:F954"/>
    <mergeCell ref="E955:F955"/>
    <mergeCell ref="H957:I957"/>
    <mergeCell ref="E984:F984"/>
    <mergeCell ref="E985:F985"/>
    <mergeCell ref="E986:F986"/>
    <mergeCell ref="H988:I988"/>
    <mergeCell ref="E991:F991"/>
    <mergeCell ref="E992:F992"/>
    <mergeCell ref="E975:F975"/>
    <mergeCell ref="E976:F976"/>
    <mergeCell ref="H978:I978"/>
    <mergeCell ref="E981:F981"/>
    <mergeCell ref="E982:F982"/>
    <mergeCell ref="E983:F983"/>
    <mergeCell ref="E966:F966"/>
    <mergeCell ref="H968:I968"/>
    <mergeCell ref="E971:F971"/>
    <mergeCell ref="E1001:F1001"/>
    <mergeCell ref="E1002:F1002"/>
    <mergeCell ref="E1003:F1003"/>
    <mergeCell ref="E1004:F1004"/>
    <mergeCell ref="E1005:F1005"/>
    <mergeCell ref="H1027:I1027"/>
    <mergeCell ref="E1030:F1030"/>
    <mergeCell ref="E1031:F1031"/>
    <mergeCell ref="E1032:F1032"/>
    <mergeCell ref="E1033:F1033"/>
    <mergeCell ref="H1035:I1035"/>
    <mergeCell ref="E1072:F1072"/>
    <mergeCell ref="E1073:F1073"/>
    <mergeCell ref="E1074:F1074"/>
    <mergeCell ref="E1075:F1075"/>
    <mergeCell ref="E1024:F1024"/>
    <mergeCell ref="E1025:F1025"/>
    <mergeCell ref="E1038:F1038"/>
    <mergeCell ref="E1039:F1039"/>
    <mergeCell ref="E1040:F1040"/>
    <mergeCell ref="E1041:F1041"/>
    <mergeCell ref="E1063:F1063"/>
    <mergeCell ref="E1064:F1064"/>
    <mergeCell ref="E1065:F1065"/>
    <mergeCell ref="E1066:F1066"/>
    <mergeCell ref="E1067:F1067"/>
    <mergeCell ref="H1069:I1069"/>
    <mergeCell ref="E1015:F1015"/>
    <mergeCell ref="E1016:F1016"/>
    <mergeCell ref="E1017:F1017"/>
    <mergeCell ref="H1019:I1019"/>
    <mergeCell ref="E1022:F1022"/>
    <mergeCell ref="F1099:G1099"/>
    <mergeCell ref="E1100:F1100"/>
    <mergeCell ref="E1101:F1101"/>
    <mergeCell ref="H1051:I1051"/>
    <mergeCell ref="E1054:F1054"/>
    <mergeCell ref="E1055:F1055"/>
    <mergeCell ref="E1056:F1056"/>
    <mergeCell ref="E1057:F1057"/>
    <mergeCell ref="E1058:F1058"/>
    <mergeCell ref="H1060:I1060"/>
    <mergeCell ref="E1090:F1090"/>
    <mergeCell ref="E1091:F1091"/>
    <mergeCell ref="E1092:F1092"/>
    <mergeCell ref="E1093:F1093"/>
    <mergeCell ref="E1094:F1094"/>
    <mergeCell ref="H1096:I1096"/>
    <mergeCell ref="H1124:I1124"/>
    <mergeCell ref="E1127:F1127"/>
    <mergeCell ref="E1076:F1076"/>
    <mergeCell ref="H1078:I1078"/>
    <mergeCell ref="E1081:F1081"/>
    <mergeCell ref="E1082:F1082"/>
    <mergeCell ref="E1083:F1083"/>
    <mergeCell ref="E1084:F1084"/>
    <mergeCell ref="E1085:F1085"/>
    <mergeCell ref="H1087:I1087"/>
    <mergeCell ref="H1115:I1115"/>
    <mergeCell ref="E1118:F1118"/>
    <mergeCell ref="E1119:F1119"/>
    <mergeCell ref="E1120:F1120"/>
    <mergeCell ref="E1121:F1121"/>
    <mergeCell ref="E1122:F1122"/>
    <mergeCell ref="H1151:I1151"/>
    <mergeCell ref="E1102:F1102"/>
    <mergeCell ref="E1103:F1103"/>
    <mergeCell ref="E1104:F1104"/>
    <mergeCell ref="H1106:I1106"/>
    <mergeCell ref="E1109:F1109"/>
    <mergeCell ref="E1110:F1110"/>
    <mergeCell ref="E1111:F1111"/>
    <mergeCell ref="E1112:F1112"/>
    <mergeCell ref="E1113:F1113"/>
    <mergeCell ref="H1142:I1142"/>
    <mergeCell ref="E1145:F1145"/>
    <mergeCell ref="E1146:F1146"/>
    <mergeCell ref="E1147:F1147"/>
    <mergeCell ref="E1148:F1148"/>
    <mergeCell ref="E1149:F1149"/>
    <mergeCell ref="H1133:I1133"/>
    <mergeCell ref="E1136:F1136"/>
    <mergeCell ref="E1137:F1137"/>
    <mergeCell ref="E1138:F1138"/>
    <mergeCell ref="E1139:F1139"/>
    <mergeCell ref="E1140:F1140"/>
    <mergeCell ref="E1172:F1172"/>
    <mergeCell ref="E1173:F1173"/>
    <mergeCell ref="E1174:F1174"/>
    <mergeCell ref="E1175:F1175"/>
    <mergeCell ref="E1176:F1176"/>
    <mergeCell ref="E1128:F1128"/>
    <mergeCell ref="E1129:F1129"/>
    <mergeCell ref="E1130:F1130"/>
    <mergeCell ref="E1131:F1131"/>
    <mergeCell ref="E1163:F1163"/>
    <mergeCell ref="E1164:F1164"/>
    <mergeCell ref="E1165:F1165"/>
    <mergeCell ref="E1166:F1166"/>
    <mergeCell ref="E1167:F1167"/>
    <mergeCell ref="H1169:I1169"/>
    <mergeCell ref="E1154:F1154"/>
    <mergeCell ref="E1155:F1155"/>
    <mergeCell ref="E1156:F1156"/>
    <mergeCell ref="E1157:F1157"/>
    <mergeCell ref="E1158:F1158"/>
    <mergeCell ref="H1160:I1160"/>
    <mergeCell ref="E1194:F1194"/>
    <mergeCell ref="H1196:I1196"/>
    <mergeCell ref="E1199:F1199"/>
    <mergeCell ref="E1200:F1200"/>
    <mergeCell ref="E1201:F1201"/>
    <mergeCell ref="E1202:F1202"/>
    <mergeCell ref="E1185:F1185"/>
    <mergeCell ref="H1187:I1187"/>
    <mergeCell ref="E1190:F1190"/>
    <mergeCell ref="E1191:F1191"/>
    <mergeCell ref="E1192:F1192"/>
    <mergeCell ref="E1193:F1193"/>
    <mergeCell ref="H1178:I1178"/>
    <mergeCell ref="E1181:F1181"/>
    <mergeCell ref="E1182:F1182"/>
    <mergeCell ref="E1183:F1183"/>
    <mergeCell ref="E1184:F1184"/>
    <mergeCell ref="E1212:F1212"/>
    <mergeCell ref="H1214:I1214"/>
    <mergeCell ref="F1217:G1217"/>
    <mergeCell ref="E1218:F1218"/>
    <mergeCell ref="E1219:F1219"/>
    <mergeCell ref="E1220:F1220"/>
    <mergeCell ref="E1203:F1203"/>
    <mergeCell ref="H1205:I1205"/>
    <mergeCell ref="E1208:F1208"/>
    <mergeCell ref="E1209:F1209"/>
    <mergeCell ref="E1210:F1210"/>
    <mergeCell ref="E1211:F1211"/>
    <mergeCell ref="E1258:F1258"/>
    <mergeCell ref="H1260:I1260"/>
    <mergeCell ref="E1263:F1263"/>
    <mergeCell ref="H1244:I1244"/>
    <mergeCell ref="E1247:F1247"/>
    <mergeCell ref="E1248:F1248"/>
    <mergeCell ref="E1249:F1249"/>
    <mergeCell ref="E1250:F1250"/>
    <mergeCell ref="E1251:F1251"/>
    <mergeCell ref="H1271:I1271"/>
    <mergeCell ref="E1274:F1274"/>
    <mergeCell ref="E1275:F1275"/>
    <mergeCell ref="E1276:F1276"/>
    <mergeCell ref="E1277:F1277"/>
    <mergeCell ref="E1221:F1221"/>
    <mergeCell ref="E1222:F1222"/>
    <mergeCell ref="E1223:F1223"/>
    <mergeCell ref="E1224:F1224"/>
    <mergeCell ref="H1226:I1226"/>
    <mergeCell ref="E1229:F1229"/>
    <mergeCell ref="E1230:F1230"/>
    <mergeCell ref="E1231:F1231"/>
    <mergeCell ref="E1232:F1232"/>
    <mergeCell ref="E1233:F1233"/>
    <mergeCell ref="E1341:F1341"/>
    <mergeCell ref="H1343:I1343"/>
    <mergeCell ref="E1346:F1346"/>
    <mergeCell ref="E1374:F1374"/>
    <mergeCell ref="E1375:F1375"/>
    <mergeCell ref="H1235:I1235"/>
    <mergeCell ref="E1238:F1238"/>
    <mergeCell ref="E1239:F1239"/>
    <mergeCell ref="E1240:F1240"/>
    <mergeCell ref="E1241:F1241"/>
    <mergeCell ref="E1242:F1242"/>
    <mergeCell ref="E1295:F1295"/>
    <mergeCell ref="E1296:F1296"/>
    <mergeCell ref="H1298:I1298"/>
    <mergeCell ref="E1301:F1301"/>
    <mergeCell ref="E1302:F1302"/>
    <mergeCell ref="E1303:F1303"/>
    <mergeCell ref="E1286:F1286"/>
    <mergeCell ref="E1287:F1287"/>
    <mergeCell ref="H1289:I1289"/>
    <mergeCell ref="E1292:F1292"/>
    <mergeCell ref="E1293:F1293"/>
    <mergeCell ref="E1294:F1294"/>
    <mergeCell ref="E1264:F1264"/>
    <mergeCell ref="E1265:F1265"/>
    <mergeCell ref="E1266:F1266"/>
    <mergeCell ref="E1267:F1267"/>
    <mergeCell ref="E1268:F1268"/>
    <mergeCell ref="E1269:F1269"/>
    <mergeCell ref="H1253:I1253"/>
    <mergeCell ref="E1256:F1256"/>
    <mergeCell ref="E1257:F1257"/>
    <mergeCell ref="E1376:F1376"/>
    <mergeCell ref="E1377:F1377"/>
    <mergeCell ref="H1379:I1379"/>
    <mergeCell ref="E1278:F1278"/>
    <mergeCell ref="H1280:I1280"/>
    <mergeCell ref="E1283:F1283"/>
    <mergeCell ref="E1284:F1284"/>
    <mergeCell ref="E1285:F1285"/>
    <mergeCell ref="E1313:F1313"/>
    <mergeCell ref="E1314:F1314"/>
    <mergeCell ref="H1316:I1316"/>
    <mergeCell ref="E1319:F1319"/>
    <mergeCell ref="E1320:F1320"/>
    <mergeCell ref="E1321:F1321"/>
    <mergeCell ref="E1304:F1304"/>
    <mergeCell ref="E1305:F1305"/>
    <mergeCell ref="H1307:I1307"/>
    <mergeCell ref="E1310:F1310"/>
    <mergeCell ref="E1311:F1311"/>
    <mergeCell ref="E1312:F1312"/>
    <mergeCell ref="E1322:F1322"/>
    <mergeCell ref="E1323:F1323"/>
    <mergeCell ref="H1325:I1325"/>
    <mergeCell ref="E1328:F1328"/>
    <mergeCell ref="E1329:F1329"/>
    <mergeCell ref="H1350:I1350"/>
    <mergeCell ref="E1353:F1353"/>
    <mergeCell ref="E1354:F1354"/>
    <mergeCell ref="E1355:F1355"/>
    <mergeCell ref="E1338:F1338"/>
    <mergeCell ref="E1339:F1339"/>
    <mergeCell ref="E1340:F1340"/>
    <mergeCell ref="E1400:F1400"/>
    <mergeCell ref="E1401:F1401"/>
    <mergeCell ref="H1388:I1388"/>
    <mergeCell ref="E1391:F1391"/>
    <mergeCell ref="E1392:F1392"/>
    <mergeCell ref="E1393:F1393"/>
    <mergeCell ref="E1394:F1394"/>
    <mergeCell ref="E1395:F1395"/>
    <mergeCell ref="E1420:F1420"/>
    <mergeCell ref="E1421:F1421"/>
    <mergeCell ref="E1422:F1422"/>
    <mergeCell ref="E1423:F1423"/>
    <mergeCell ref="E1424:F1424"/>
    <mergeCell ref="E1330:F1330"/>
    <mergeCell ref="E1331:F1331"/>
    <mergeCell ref="E1332:F1332"/>
    <mergeCell ref="H1334:I1334"/>
    <mergeCell ref="E1337:F1337"/>
    <mergeCell ref="E1365:F1365"/>
    <mergeCell ref="E1366:F1366"/>
    <mergeCell ref="H1368:I1368"/>
    <mergeCell ref="F1371:G1371"/>
    <mergeCell ref="F1372:G1372"/>
    <mergeCell ref="E1373:F1373"/>
    <mergeCell ref="E1356:F1356"/>
    <mergeCell ref="E1357:F1357"/>
    <mergeCell ref="H1359:I1359"/>
    <mergeCell ref="E1362:F1362"/>
    <mergeCell ref="E1363:F1363"/>
    <mergeCell ref="E1364:F1364"/>
    <mergeCell ref="E1347:F1347"/>
    <mergeCell ref="E1348:F1348"/>
    <mergeCell ref="E1433:F1433"/>
    <mergeCell ref="E1434:F1434"/>
    <mergeCell ref="E1435:F1435"/>
    <mergeCell ref="E1436:F1436"/>
    <mergeCell ref="H1438:I1438"/>
    <mergeCell ref="E1441:F1441"/>
    <mergeCell ref="E1466:F1466"/>
    <mergeCell ref="E1467:F1467"/>
    <mergeCell ref="E1468:F1468"/>
    <mergeCell ref="E1469:F1469"/>
    <mergeCell ref="H1471:I1471"/>
    <mergeCell ref="E1382:F1382"/>
    <mergeCell ref="E1383:F1383"/>
    <mergeCell ref="E1384:F1384"/>
    <mergeCell ref="E1385:F1385"/>
    <mergeCell ref="E1386:F1386"/>
    <mergeCell ref="E1411:F1411"/>
    <mergeCell ref="E1412:F1412"/>
    <mergeCell ref="E1413:F1413"/>
    <mergeCell ref="E1414:F1414"/>
    <mergeCell ref="H1416:I1416"/>
    <mergeCell ref="E1419:F1419"/>
    <mergeCell ref="H1403:I1403"/>
    <mergeCell ref="E1406:F1406"/>
    <mergeCell ref="E1407:F1407"/>
    <mergeCell ref="E1408:F1408"/>
    <mergeCell ref="E1409:F1409"/>
    <mergeCell ref="E1410:F1410"/>
    <mergeCell ref="E1396:F1396"/>
    <mergeCell ref="E1397:F1397"/>
    <mergeCell ref="E1398:F1398"/>
    <mergeCell ref="E1399:F1399"/>
    <mergeCell ref="E1452:F1452"/>
    <mergeCell ref="E1453:F1453"/>
    <mergeCell ref="E1454:F1454"/>
    <mergeCell ref="E1455:F1455"/>
    <mergeCell ref="E1456:F1456"/>
    <mergeCell ref="E1484:F1484"/>
    <mergeCell ref="E1485:F1485"/>
    <mergeCell ref="E1486:F1486"/>
    <mergeCell ref="E1487:F1487"/>
    <mergeCell ref="H1489:I1489"/>
    <mergeCell ref="E1492:F1492"/>
    <mergeCell ref="E1442:F1442"/>
    <mergeCell ref="E1443:F1443"/>
    <mergeCell ref="E1444:F1444"/>
    <mergeCell ref="E1445:F1445"/>
    <mergeCell ref="E1446:F1446"/>
    <mergeCell ref="E1447:F1447"/>
    <mergeCell ref="H1522:I1522"/>
    <mergeCell ref="E1525:F1525"/>
    <mergeCell ref="E1474:F1474"/>
    <mergeCell ref="E1475:F1475"/>
    <mergeCell ref="E1476:F1476"/>
    <mergeCell ref="E1477:F1477"/>
    <mergeCell ref="E1478:F1478"/>
    <mergeCell ref="H1480:I1480"/>
    <mergeCell ref="E1483:F1483"/>
    <mergeCell ref="H1512:I1512"/>
    <mergeCell ref="E1515:F1515"/>
    <mergeCell ref="E1516:F1516"/>
    <mergeCell ref="E1517:F1517"/>
    <mergeCell ref="E1518:F1518"/>
    <mergeCell ref="E1519:F1519"/>
    <mergeCell ref="E1547:F1547"/>
    <mergeCell ref="E1425:F1425"/>
    <mergeCell ref="E1426:F1426"/>
    <mergeCell ref="E1427:F1427"/>
    <mergeCell ref="H1429:I1429"/>
    <mergeCell ref="E1432:F1432"/>
    <mergeCell ref="E1457:F1457"/>
    <mergeCell ref="E1458:F1458"/>
    <mergeCell ref="H1460:I1460"/>
    <mergeCell ref="E1463:F1463"/>
    <mergeCell ref="E1464:F1464"/>
    <mergeCell ref="E1465:F1465"/>
    <mergeCell ref="E1493:F1493"/>
    <mergeCell ref="H1495:I1495"/>
    <mergeCell ref="E1498:F1498"/>
    <mergeCell ref="E1499:F1499"/>
    <mergeCell ref="H1449:I1449"/>
    <mergeCell ref="H1501:I1501"/>
    <mergeCell ref="F1504:G1504"/>
    <mergeCell ref="E1505:F1505"/>
    <mergeCell ref="E1506:F1506"/>
    <mergeCell ref="E1507:F1507"/>
    <mergeCell ref="E1508:F1508"/>
    <mergeCell ref="E1509:F1509"/>
    <mergeCell ref="E1510:F1510"/>
    <mergeCell ref="E1538:F1538"/>
    <mergeCell ref="E1539:F1539"/>
    <mergeCell ref="E1540:F1540"/>
    <mergeCell ref="H1542:I1542"/>
    <mergeCell ref="E1545:F1545"/>
    <mergeCell ref="E1546:F1546"/>
    <mergeCell ref="H1572:I1572"/>
    <mergeCell ref="E1526:F1526"/>
    <mergeCell ref="E1527:F1527"/>
    <mergeCell ref="E1528:F1528"/>
    <mergeCell ref="E1529:F1529"/>
    <mergeCell ref="E1530:F1530"/>
    <mergeCell ref="H1532:I1532"/>
    <mergeCell ref="E1535:F1535"/>
    <mergeCell ref="E1536:F1536"/>
    <mergeCell ref="E1537:F1537"/>
    <mergeCell ref="H1562:I1562"/>
    <mergeCell ref="E1565:F1565"/>
    <mergeCell ref="E1566:F1566"/>
    <mergeCell ref="E1567:F1567"/>
    <mergeCell ref="E1568:F1568"/>
    <mergeCell ref="E1569:F1569"/>
    <mergeCell ref="H1552:I1552"/>
    <mergeCell ref="E1520:F1520"/>
    <mergeCell ref="E1549:F1549"/>
    <mergeCell ref="E1550:F1550"/>
    <mergeCell ref="E1560:F1560"/>
    <mergeCell ref="E1570:F1570"/>
    <mergeCell ref="H1582:I1582"/>
    <mergeCell ref="F1585:G1585"/>
    <mergeCell ref="E1586:F1586"/>
    <mergeCell ref="E1587:F1587"/>
    <mergeCell ref="E1588:F1588"/>
    <mergeCell ref="E1589:F1589"/>
    <mergeCell ref="E1575:F1575"/>
    <mergeCell ref="E1576:F1576"/>
    <mergeCell ref="E1577:F1577"/>
    <mergeCell ref="E1578:F1578"/>
    <mergeCell ref="E1579:F1579"/>
    <mergeCell ref="E1580:F1580"/>
    <mergeCell ref="E1548:F1548"/>
    <mergeCell ref="E1615:F1615"/>
    <mergeCell ref="H1617:I1617"/>
    <mergeCell ref="E1620:F1620"/>
    <mergeCell ref="E1603:F1603"/>
    <mergeCell ref="E1604:F1604"/>
    <mergeCell ref="E1605:F1605"/>
    <mergeCell ref="E1606:F1606"/>
    <mergeCell ref="H1608:I1608"/>
    <mergeCell ref="E1611:F1611"/>
    <mergeCell ref="E1636:F1636"/>
    <mergeCell ref="E1637:F1637"/>
    <mergeCell ref="E1638:F1638"/>
    <mergeCell ref="E1639:F1639"/>
    <mergeCell ref="H1641:I1641"/>
    <mergeCell ref="E1555:F1555"/>
    <mergeCell ref="E1556:F1556"/>
    <mergeCell ref="E1557:F1557"/>
    <mergeCell ref="E1558:F1558"/>
    <mergeCell ref="E1559:F1559"/>
    <mergeCell ref="E1590:F1590"/>
    <mergeCell ref="E1591:F1591"/>
    <mergeCell ref="E1592:F1592"/>
    <mergeCell ref="E1593:F1593"/>
    <mergeCell ref="E1594:F1594"/>
    <mergeCell ref="E1660:F1660"/>
    <mergeCell ref="E1649:F1649"/>
    <mergeCell ref="E1650:F1650"/>
    <mergeCell ref="E1651:F1651"/>
    <mergeCell ref="E1652:F1652"/>
    <mergeCell ref="E1653:F1653"/>
    <mergeCell ref="E1654:F1654"/>
    <mergeCell ref="E1673:F1673"/>
    <mergeCell ref="E1674:F1674"/>
    <mergeCell ref="E1675:F1675"/>
    <mergeCell ref="H1677:I1677"/>
    <mergeCell ref="E1680:F1680"/>
    <mergeCell ref="E1595:F1595"/>
    <mergeCell ref="E1596:F1596"/>
    <mergeCell ref="E1597:F1597"/>
    <mergeCell ref="H1599:I1599"/>
    <mergeCell ref="E1602:F1602"/>
    <mergeCell ref="E1630:F1630"/>
    <mergeCell ref="E1631:F1631"/>
    <mergeCell ref="E1632:F1632"/>
    <mergeCell ref="E1633:F1633"/>
    <mergeCell ref="E1634:F1634"/>
    <mergeCell ref="E1635:F1635"/>
    <mergeCell ref="E1621:F1621"/>
    <mergeCell ref="E1622:F1622"/>
    <mergeCell ref="E1623:F1623"/>
    <mergeCell ref="E1624:F1624"/>
    <mergeCell ref="H1626:I1626"/>
    <mergeCell ref="E1629:F1629"/>
    <mergeCell ref="E1612:F1612"/>
    <mergeCell ref="E1613:F1613"/>
    <mergeCell ref="E1614:F1614"/>
    <mergeCell ref="E1689:F1689"/>
    <mergeCell ref="E1690:F1690"/>
    <mergeCell ref="E1691:F1691"/>
    <mergeCell ref="E1692:F1692"/>
    <mergeCell ref="E1693:F1693"/>
    <mergeCell ref="H1695:I1695"/>
    <mergeCell ref="A1712:F1712"/>
    <mergeCell ref="G1712:I1712"/>
    <mergeCell ref="G1713:I1713"/>
    <mergeCell ref="G1714:I1714"/>
    <mergeCell ref="E1644:F1644"/>
    <mergeCell ref="E1645:F1645"/>
    <mergeCell ref="E1646:F1646"/>
    <mergeCell ref="E1647:F1647"/>
    <mergeCell ref="E1648:F1648"/>
    <mergeCell ref="E1667:F1667"/>
    <mergeCell ref="E1668:F1668"/>
    <mergeCell ref="E1669:F1669"/>
    <mergeCell ref="E1670:F1670"/>
    <mergeCell ref="E1671:F1671"/>
    <mergeCell ref="E1672:F1672"/>
    <mergeCell ref="E1661:F1661"/>
    <mergeCell ref="E1662:F1662"/>
    <mergeCell ref="E1663:F1663"/>
    <mergeCell ref="E1664:F1664"/>
    <mergeCell ref="E1665:F1665"/>
    <mergeCell ref="E1666:F1666"/>
    <mergeCell ref="E1655:F1655"/>
    <mergeCell ref="E1656:F1656"/>
    <mergeCell ref="E1657:F1657"/>
    <mergeCell ref="E1658:F1658"/>
    <mergeCell ref="E1659:F1659"/>
    <mergeCell ref="E1726:F1726"/>
    <mergeCell ref="E1727:F1727"/>
    <mergeCell ref="E1755:F1755"/>
    <mergeCell ref="E1756:F1756"/>
    <mergeCell ref="H1758:I1758"/>
    <mergeCell ref="E1761:F1761"/>
    <mergeCell ref="E1762:F1762"/>
    <mergeCell ref="G1715:I1715"/>
    <mergeCell ref="E1681:F1681"/>
    <mergeCell ref="E1682:F1682"/>
    <mergeCell ref="E1683:F1683"/>
    <mergeCell ref="E1684:F1684"/>
    <mergeCell ref="H1686:I1686"/>
    <mergeCell ref="A1708:F1708"/>
    <mergeCell ref="G1708:I1708"/>
    <mergeCell ref="A1709:F1709"/>
    <mergeCell ref="G1709:I1709"/>
    <mergeCell ref="G1710:I1710"/>
    <mergeCell ref="G1711:I1711"/>
    <mergeCell ref="A1705:F1705"/>
    <mergeCell ref="G1705:I1705"/>
    <mergeCell ref="A1706:F1706"/>
    <mergeCell ref="G1706:I1706"/>
    <mergeCell ref="A1707:F1707"/>
    <mergeCell ref="G1707:I1707"/>
    <mergeCell ref="E1698:F1698"/>
    <mergeCell ref="E1699:F1699"/>
    <mergeCell ref="F1700:I1700"/>
    <mergeCell ref="A1703:F1703"/>
    <mergeCell ref="G1703:I1703"/>
    <mergeCell ref="A1704:F1704"/>
    <mergeCell ref="G1704:I1704"/>
    <mergeCell ref="E1807:F1807"/>
    <mergeCell ref="E1808:F1808"/>
    <mergeCell ref="E1809:F1809"/>
    <mergeCell ref="E1810:F1810"/>
    <mergeCell ref="H1812:I1812"/>
    <mergeCell ref="A1716:F1716"/>
    <mergeCell ref="G1716:I1716"/>
    <mergeCell ref="H1717:I1717"/>
    <mergeCell ref="H1718:I1718"/>
    <mergeCell ref="H1719:I1719"/>
    <mergeCell ref="E1746:F1746"/>
    <mergeCell ref="E1747:F1747"/>
    <mergeCell ref="H1749:I1749"/>
    <mergeCell ref="E1752:F1752"/>
    <mergeCell ref="E1753:F1753"/>
    <mergeCell ref="E1754:F1754"/>
    <mergeCell ref="E1737:F1737"/>
    <mergeCell ref="E1738:F1738"/>
    <mergeCell ref="H1740:I1740"/>
    <mergeCell ref="E1743:F1743"/>
    <mergeCell ref="E1744:F1744"/>
    <mergeCell ref="E1745:F1745"/>
    <mergeCell ref="E1728:F1728"/>
    <mergeCell ref="H1730:I1730"/>
    <mergeCell ref="F1733:G1733"/>
    <mergeCell ref="E1734:F1734"/>
    <mergeCell ref="E1735:F1735"/>
    <mergeCell ref="E1736:F1736"/>
    <mergeCell ref="A1720:F1720"/>
    <mergeCell ref="G1720:I1720"/>
    <mergeCell ref="H1722:I1722"/>
    <mergeCell ref="E1725:F1725"/>
    <mergeCell ref="E1763:F1763"/>
    <mergeCell ref="E1764:F1764"/>
    <mergeCell ref="E1765:F1765"/>
    <mergeCell ref="H1767:I1767"/>
    <mergeCell ref="E1770:F1770"/>
    <mergeCell ref="E1798:F1798"/>
    <mergeCell ref="E1799:F1799"/>
    <mergeCell ref="E1800:F1800"/>
    <mergeCell ref="E1801:F1801"/>
    <mergeCell ref="H1803:I1803"/>
    <mergeCell ref="E1806:F1806"/>
    <mergeCell ref="E1789:F1789"/>
    <mergeCell ref="E1790:F1790"/>
    <mergeCell ref="E1791:F1791"/>
    <mergeCell ref="E1792:F1792"/>
    <mergeCell ref="H1794:I1794"/>
    <mergeCell ref="E1797:F1797"/>
    <mergeCell ref="E1780:F1780"/>
    <mergeCell ref="E1781:F1781"/>
    <mergeCell ref="E1782:F1782"/>
    <mergeCell ref="E1783:F1783"/>
    <mergeCell ref="H1785:I1785"/>
    <mergeCell ref="E1788:F1788"/>
    <mergeCell ref="E1771:F1771"/>
    <mergeCell ref="E1772:F1772"/>
    <mergeCell ref="E1773:F1773"/>
    <mergeCell ref="E1774:F1774"/>
    <mergeCell ref="H1776:I1776"/>
    <mergeCell ref="E1779:F1779"/>
    <mergeCell ref="H1830:I1830"/>
    <mergeCell ref="E1833:F1833"/>
    <mergeCell ref="E1834:F1834"/>
    <mergeCell ref="E1835:F1835"/>
    <mergeCell ref="E1836:F1836"/>
    <mergeCell ref="E1837:F1837"/>
    <mergeCell ref="H1821:I1821"/>
    <mergeCell ref="E1824:F1824"/>
    <mergeCell ref="E1825:F1825"/>
    <mergeCell ref="E1826:F1826"/>
    <mergeCell ref="E1827:F1827"/>
    <mergeCell ref="E1828:F1828"/>
    <mergeCell ref="E1861:F1861"/>
    <mergeCell ref="E1862:F1862"/>
    <mergeCell ref="E1863:F1863"/>
    <mergeCell ref="E1815:F1815"/>
    <mergeCell ref="E1816:F1816"/>
    <mergeCell ref="E1817:F1817"/>
    <mergeCell ref="E1818:F1818"/>
    <mergeCell ref="E1819:F1819"/>
    <mergeCell ref="E1852:F1852"/>
    <mergeCell ref="E1853:F1853"/>
    <mergeCell ref="E1854:F1854"/>
    <mergeCell ref="E1855:F1855"/>
    <mergeCell ref="H1857:I1857"/>
    <mergeCell ref="E1860:F1860"/>
    <mergeCell ref="H1839:I1839"/>
    <mergeCell ref="E1842:F1842"/>
    <mergeCell ref="E1843:F1843"/>
    <mergeCell ref="E1844:F1844"/>
    <mergeCell ref="E1845:F1845"/>
    <mergeCell ref="E1846:F1846"/>
    <mergeCell ref="H1848:I1848"/>
    <mergeCell ref="E1851:F1851"/>
    <mergeCell ref="H1876:I1876"/>
    <mergeCell ref="E1879:F1879"/>
    <mergeCell ref="E1880:F1880"/>
    <mergeCell ref="E1881:F1881"/>
    <mergeCell ref="E1882:F1882"/>
    <mergeCell ref="E1883:F1883"/>
    <mergeCell ref="H1866:I1866"/>
    <mergeCell ref="F1869:G1869"/>
    <mergeCell ref="E1870:F1870"/>
    <mergeCell ref="E1871:F1871"/>
    <mergeCell ref="E1872:F1872"/>
    <mergeCell ref="E1873:F1873"/>
    <mergeCell ref="E1957:F1957"/>
    <mergeCell ref="H1959:I1959"/>
    <mergeCell ref="E1962:F1962"/>
    <mergeCell ref="E1963:F1963"/>
    <mergeCell ref="E1964:F1964"/>
    <mergeCell ref="E1908:F1908"/>
    <mergeCell ref="E1909:F1909"/>
    <mergeCell ref="E1910:F1910"/>
    <mergeCell ref="E1911:F1911"/>
    <mergeCell ref="E1912:F1912"/>
    <mergeCell ref="E1864:F1864"/>
    <mergeCell ref="E1874:F1874"/>
    <mergeCell ref="E1884:F1884"/>
    <mergeCell ref="E1899:F1899"/>
    <mergeCell ref="E1900:F1900"/>
    <mergeCell ref="E1901:F1901"/>
    <mergeCell ref="E1902:F1902"/>
    <mergeCell ref="E1903:F1903"/>
    <mergeCell ref="H1905:I1905"/>
    <mergeCell ref="E1890:F1890"/>
    <mergeCell ref="E1891:F1891"/>
    <mergeCell ref="E1892:F1892"/>
    <mergeCell ref="E1893:F1893"/>
    <mergeCell ref="E1894:F1894"/>
    <mergeCell ref="H1896:I1896"/>
    <mergeCell ref="H1886:I1886"/>
    <mergeCell ref="F1889:G1889"/>
    <mergeCell ref="E2011:F2011"/>
    <mergeCell ref="E2012:F2012"/>
    <mergeCell ref="E2013:F2013"/>
    <mergeCell ref="H1914:I1914"/>
    <mergeCell ref="E1917:F1917"/>
    <mergeCell ref="E1918:F1918"/>
    <mergeCell ref="E1919:F1919"/>
    <mergeCell ref="E1920:F1920"/>
    <mergeCell ref="E1948:F1948"/>
    <mergeCell ref="H1950:I1950"/>
    <mergeCell ref="E1953:F1953"/>
    <mergeCell ref="E1954:F1954"/>
    <mergeCell ref="E1955:F1955"/>
    <mergeCell ref="E1956:F1956"/>
    <mergeCell ref="E1939:F1939"/>
    <mergeCell ref="H1941:I1941"/>
    <mergeCell ref="E1944:F1944"/>
    <mergeCell ref="E1945:F1945"/>
    <mergeCell ref="E1946:F1946"/>
    <mergeCell ref="E1947:F1947"/>
    <mergeCell ref="E1930:F1930"/>
    <mergeCell ref="H1932:I1932"/>
    <mergeCell ref="E1935:F1935"/>
    <mergeCell ref="E1936:F1936"/>
    <mergeCell ref="E1937:F1937"/>
    <mergeCell ref="E1938:F1938"/>
    <mergeCell ref="E1921:F1921"/>
    <mergeCell ref="H1923:I1923"/>
    <mergeCell ref="E1926:F1926"/>
    <mergeCell ref="E1927:F1927"/>
    <mergeCell ref="E1928:F1928"/>
    <mergeCell ref="E1929:F1929"/>
    <mergeCell ref="H2054:I2054"/>
    <mergeCell ref="E1965:F1965"/>
    <mergeCell ref="E1966:F1966"/>
    <mergeCell ref="H1968:I1968"/>
    <mergeCell ref="E1971:F1971"/>
    <mergeCell ref="E1972:F1972"/>
    <mergeCell ref="E2000:F2000"/>
    <mergeCell ref="E2001:F2001"/>
    <mergeCell ref="E2002:F2002"/>
    <mergeCell ref="E2003:F2003"/>
    <mergeCell ref="E2004:F2004"/>
    <mergeCell ref="E2005:F2005"/>
    <mergeCell ref="E1991:F1991"/>
    <mergeCell ref="E1992:F1992"/>
    <mergeCell ref="E1993:F1993"/>
    <mergeCell ref="E1994:F1994"/>
    <mergeCell ref="E1995:F1995"/>
    <mergeCell ref="H1997:I1997"/>
    <mergeCell ref="E1982:F1982"/>
    <mergeCell ref="E1983:F1983"/>
    <mergeCell ref="E1984:F1984"/>
    <mergeCell ref="E1985:F1985"/>
    <mergeCell ref="H1987:I1987"/>
    <mergeCell ref="E1990:F1990"/>
    <mergeCell ref="E1973:F1973"/>
    <mergeCell ref="E1974:F1974"/>
    <mergeCell ref="E1975:F1975"/>
    <mergeCell ref="H1977:I1977"/>
    <mergeCell ref="E1980:F1980"/>
    <mergeCell ref="E1981:F1981"/>
    <mergeCell ref="H2007:I2007"/>
    <mergeCell ref="E2010:F2010"/>
    <mergeCell ref="H2044:I2044"/>
    <mergeCell ref="E2047:F2047"/>
    <mergeCell ref="E2048:F2048"/>
    <mergeCell ref="E2031:F2031"/>
    <mergeCell ref="E2032:F2032"/>
    <mergeCell ref="H2034:I2034"/>
    <mergeCell ref="E2037:F2037"/>
    <mergeCell ref="E2038:F2038"/>
    <mergeCell ref="E2039:F2039"/>
    <mergeCell ref="E2025:F2025"/>
    <mergeCell ref="E2026:F2026"/>
    <mergeCell ref="E2027:F2027"/>
    <mergeCell ref="E2028:F2028"/>
    <mergeCell ref="E2029:F2029"/>
    <mergeCell ref="E2030:F2030"/>
    <mergeCell ref="E2019:F2019"/>
    <mergeCell ref="E2020:F2020"/>
    <mergeCell ref="E2021:F2021"/>
    <mergeCell ref="E2022:F2022"/>
    <mergeCell ref="E2023:F2023"/>
    <mergeCell ref="E2024:F2024"/>
    <mergeCell ref="E2067:F2067"/>
    <mergeCell ref="E2068:F2068"/>
    <mergeCell ref="E2069:F2069"/>
    <mergeCell ref="E2070:F2070"/>
    <mergeCell ref="E2098:F2098"/>
    <mergeCell ref="E2099:F2099"/>
    <mergeCell ref="E2100:F2100"/>
    <mergeCell ref="E2101:F2101"/>
    <mergeCell ref="E2102:F2102"/>
    <mergeCell ref="E2014:F2014"/>
    <mergeCell ref="E2015:F2015"/>
    <mergeCell ref="E2016:F2016"/>
    <mergeCell ref="E2017:F2017"/>
    <mergeCell ref="E2018:F2018"/>
    <mergeCell ref="E2040:F2040"/>
    <mergeCell ref="E2041:F2041"/>
    <mergeCell ref="E2042:F2042"/>
    <mergeCell ref="E2049:F2049"/>
    <mergeCell ref="E2050:F2050"/>
    <mergeCell ref="E2051:F2051"/>
    <mergeCell ref="E2052:F2052"/>
    <mergeCell ref="E2113:F2113"/>
    <mergeCell ref="E2114:F2114"/>
    <mergeCell ref="E2141:F2141"/>
    <mergeCell ref="E2142:F2142"/>
    <mergeCell ref="E2143:F2143"/>
    <mergeCell ref="E2144:F2144"/>
    <mergeCell ref="E2145:F2145"/>
    <mergeCell ref="F2057:G2057"/>
    <mergeCell ref="E2058:F2058"/>
    <mergeCell ref="E2059:F2059"/>
    <mergeCell ref="E2060:F2060"/>
    <mergeCell ref="E2061:F2061"/>
    <mergeCell ref="E2089:F2089"/>
    <mergeCell ref="E2090:F2090"/>
    <mergeCell ref="E2091:F2091"/>
    <mergeCell ref="E2092:F2092"/>
    <mergeCell ref="H2094:I2094"/>
    <mergeCell ref="F2097:G2097"/>
    <mergeCell ref="E2080:F2080"/>
    <mergeCell ref="E2081:F2081"/>
    <mergeCell ref="E2082:F2082"/>
    <mergeCell ref="E2083:F2083"/>
    <mergeCell ref="H2085:I2085"/>
    <mergeCell ref="E2088:F2088"/>
    <mergeCell ref="E2071:F2071"/>
    <mergeCell ref="E2072:F2072"/>
    <mergeCell ref="E2073:F2073"/>
    <mergeCell ref="H2075:I2075"/>
    <mergeCell ref="E2078:F2078"/>
    <mergeCell ref="E2079:F2079"/>
    <mergeCell ref="E2062:F2062"/>
    <mergeCell ref="H2064:I2064"/>
    <mergeCell ref="H2182:I2182"/>
    <mergeCell ref="E2185:F2185"/>
    <mergeCell ref="E2186:F2186"/>
    <mergeCell ref="E2187:F2187"/>
    <mergeCell ref="H2189:I2189"/>
    <mergeCell ref="E2103:F2103"/>
    <mergeCell ref="E2104:F2104"/>
    <mergeCell ref="E2105:F2105"/>
    <mergeCell ref="E2115:F2115"/>
    <mergeCell ref="E2116:F2116"/>
    <mergeCell ref="E2132:F2132"/>
    <mergeCell ref="E2133:F2133"/>
    <mergeCell ref="E2134:F2134"/>
    <mergeCell ref="H2136:I2136"/>
    <mergeCell ref="E2139:F2139"/>
    <mergeCell ref="E2140:F2140"/>
    <mergeCell ref="E2126:F2126"/>
    <mergeCell ref="E2127:F2127"/>
    <mergeCell ref="E2128:F2128"/>
    <mergeCell ref="E2129:F2129"/>
    <mergeCell ref="E2130:F2130"/>
    <mergeCell ref="E2131:F2131"/>
    <mergeCell ref="E2117:F2117"/>
    <mergeCell ref="H2119:I2119"/>
    <mergeCell ref="E2122:F2122"/>
    <mergeCell ref="E2123:F2123"/>
    <mergeCell ref="E2124:F2124"/>
    <mergeCell ref="E2125:F2125"/>
    <mergeCell ref="H2107:I2107"/>
    <mergeCell ref="E2110:F2110"/>
    <mergeCell ref="E2111:F2111"/>
    <mergeCell ref="E2112:F2112"/>
    <mergeCell ref="E2146:F2146"/>
    <mergeCell ref="E2147:F2147"/>
    <mergeCell ref="E2148:F2148"/>
    <mergeCell ref="E2149:F2149"/>
    <mergeCell ref="E2150:F2150"/>
    <mergeCell ref="H2173:I2173"/>
    <mergeCell ref="E2176:F2176"/>
    <mergeCell ref="E2177:F2177"/>
    <mergeCell ref="E2178:F2178"/>
    <mergeCell ref="E2179:F2179"/>
    <mergeCell ref="E2180:F2180"/>
    <mergeCell ref="E2166:F2166"/>
    <mergeCell ref="E2167:F2167"/>
    <mergeCell ref="E2168:F2168"/>
    <mergeCell ref="E2169:F2169"/>
    <mergeCell ref="E2170:F2170"/>
    <mergeCell ref="E2171:F2171"/>
    <mergeCell ref="E2157:F2157"/>
    <mergeCell ref="E2158:F2158"/>
    <mergeCell ref="E2159:F2159"/>
    <mergeCell ref="E2160:F2160"/>
    <mergeCell ref="H2162:I2162"/>
    <mergeCell ref="E2165:F2165"/>
    <mergeCell ref="E2151:F2151"/>
    <mergeCell ref="E2152:F2152"/>
    <mergeCell ref="E2153:F2153"/>
    <mergeCell ref="E2154:F2154"/>
    <mergeCell ref="E2155:F2155"/>
    <mergeCell ref="E2156:F2156"/>
    <mergeCell ref="H2207:I2207"/>
    <mergeCell ref="E2210:F2210"/>
    <mergeCell ref="E2211:F2211"/>
    <mergeCell ref="E2212:F2212"/>
    <mergeCell ref="E2213:F2213"/>
    <mergeCell ref="E2214:F2214"/>
    <mergeCell ref="H2196:I2196"/>
    <mergeCell ref="F2199:G2199"/>
    <mergeCell ref="E2200:F2200"/>
    <mergeCell ref="E2201:F2201"/>
    <mergeCell ref="E2202:F2202"/>
    <mergeCell ref="E2203:F2203"/>
    <mergeCell ref="E2233:F2233"/>
    <mergeCell ref="E2234:F2234"/>
    <mergeCell ref="E2235:F2235"/>
    <mergeCell ref="E2236:F2236"/>
    <mergeCell ref="E2237:F2237"/>
    <mergeCell ref="E2257:F2257"/>
    <mergeCell ref="H2259:I2259"/>
    <mergeCell ref="E2262:F2262"/>
    <mergeCell ref="E2263:F2263"/>
    <mergeCell ref="E2246:F2246"/>
    <mergeCell ref="E2247:F2247"/>
    <mergeCell ref="H2249:I2249"/>
    <mergeCell ref="E2252:F2252"/>
    <mergeCell ref="E2253:F2253"/>
    <mergeCell ref="E2254:F2254"/>
    <mergeCell ref="H2280:I2280"/>
    <mergeCell ref="E2283:F2283"/>
    <mergeCell ref="E2284:F2284"/>
    <mergeCell ref="E2285:F2285"/>
    <mergeCell ref="E2286:F2286"/>
    <mergeCell ref="E2192:F2192"/>
    <mergeCell ref="E2193:F2193"/>
    <mergeCell ref="E2194:F2194"/>
    <mergeCell ref="E2204:F2204"/>
    <mergeCell ref="E2205:F2205"/>
    <mergeCell ref="E2224:F2224"/>
    <mergeCell ref="E2225:F2225"/>
    <mergeCell ref="E2226:F2226"/>
    <mergeCell ref="H2228:I2228"/>
    <mergeCell ref="E2231:F2231"/>
    <mergeCell ref="E2232:F2232"/>
    <mergeCell ref="E2215:F2215"/>
    <mergeCell ref="E2216:F2216"/>
    <mergeCell ref="H2218:I2218"/>
    <mergeCell ref="E2221:F2221"/>
    <mergeCell ref="E2222:F2222"/>
    <mergeCell ref="E2223:F2223"/>
    <mergeCell ref="E2308:F2308"/>
    <mergeCell ref="E2309:F2309"/>
    <mergeCell ref="E2295:F2295"/>
    <mergeCell ref="E2296:F2296"/>
    <mergeCell ref="E2297:F2297"/>
    <mergeCell ref="E2298:F2298"/>
    <mergeCell ref="E2299:F2299"/>
    <mergeCell ref="E2300:F2300"/>
    <mergeCell ref="E2328:F2328"/>
    <mergeCell ref="E2329:F2329"/>
    <mergeCell ref="E2330:F2330"/>
    <mergeCell ref="E2331:F2331"/>
    <mergeCell ref="H2333:I2333"/>
    <mergeCell ref="H2239:I2239"/>
    <mergeCell ref="E2242:F2242"/>
    <mergeCell ref="E2243:F2243"/>
    <mergeCell ref="E2244:F2244"/>
    <mergeCell ref="E2245:F2245"/>
    <mergeCell ref="E2273:F2273"/>
    <mergeCell ref="E2274:F2274"/>
    <mergeCell ref="E2275:F2275"/>
    <mergeCell ref="E2276:F2276"/>
    <mergeCell ref="E2277:F2277"/>
    <mergeCell ref="E2278:F2278"/>
    <mergeCell ref="E2264:F2264"/>
    <mergeCell ref="E2265:F2265"/>
    <mergeCell ref="H2267:I2267"/>
    <mergeCell ref="E2270:F2270"/>
    <mergeCell ref="E2271:F2271"/>
    <mergeCell ref="E2272:F2272"/>
    <mergeCell ref="E2255:F2255"/>
    <mergeCell ref="E2256:F2256"/>
    <mergeCell ref="H2342:I2342"/>
    <mergeCell ref="F2345:G2345"/>
    <mergeCell ref="E2346:F2346"/>
    <mergeCell ref="E2347:F2347"/>
    <mergeCell ref="E2348:F2348"/>
    <mergeCell ref="E2349:F2349"/>
    <mergeCell ref="E2374:F2374"/>
    <mergeCell ref="H2376:I2376"/>
    <mergeCell ref="E2379:F2379"/>
    <mergeCell ref="E2380:F2380"/>
    <mergeCell ref="E2381:F2381"/>
    <mergeCell ref="E2287:F2287"/>
    <mergeCell ref="E2288:F2288"/>
    <mergeCell ref="E2289:F2289"/>
    <mergeCell ref="H2291:I2291"/>
    <mergeCell ref="F2294:G2294"/>
    <mergeCell ref="E2319:F2319"/>
    <mergeCell ref="E2320:F2320"/>
    <mergeCell ref="H2322:I2322"/>
    <mergeCell ref="E2325:F2325"/>
    <mergeCell ref="E2326:F2326"/>
    <mergeCell ref="E2327:F2327"/>
    <mergeCell ref="E2310:F2310"/>
    <mergeCell ref="E2311:F2311"/>
    <mergeCell ref="H2313:I2313"/>
    <mergeCell ref="E2316:F2316"/>
    <mergeCell ref="E2317:F2317"/>
    <mergeCell ref="E2318:F2318"/>
    <mergeCell ref="H2302:I2302"/>
    <mergeCell ref="E2305:F2305"/>
    <mergeCell ref="E2306:F2306"/>
    <mergeCell ref="E2307:F2307"/>
    <mergeCell ref="E2392:F2392"/>
    <mergeCell ref="H2394:I2394"/>
    <mergeCell ref="E2397:F2397"/>
    <mergeCell ref="E2398:F2398"/>
    <mergeCell ref="E2423:F2423"/>
    <mergeCell ref="E2424:F2424"/>
    <mergeCell ref="E2425:F2425"/>
    <mergeCell ref="H2427:I2427"/>
    <mergeCell ref="E2430:F2430"/>
    <mergeCell ref="E2336:F2336"/>
    <mergeCell ref="E2337:F2337"/>
    <mergeCell ref="E2338:F2338"/>
    <mergeCell ref="E2339:F2339"/>
    <mergeCell ref="E2340:F2340"/>
    <mergeCell ref="E2365:F2365"/>
    <mergeCell ref="H2367:I2367"/>
    <mergeCell ref="E2370:F2370"/>
    <mergeCell ref="E2371:F2371"/>
    <mergeCell ref="E2372:F2372"/>
    <mergeCell ref="E2373:F2373"/>
    <mergeCell ref="E2359:F2359"/>
    <mergeCell ref="E2360:F2360"/>
    <mergeCell ref="E2361:F2361"/>
    <mergeCell ref="E2362:F2362"/>
    <mergeCell ref="E2363:F2363"/>
    <mergeCell ref="E2364:F2364"/>
    <mergeCell ref="E2350:F2350"/>
    <mergeCell ref="E2351:F2351"/>
    <mergeCell ref="E2352:F2352"/>
    <mergeCell ref="E2353:F2353"/>
    <mergeCell ref="H2355:I2355"/>
    <mergeCell ref="E2358:F2358"/>
    <mergeCell ref="E2443:F2443"/>
    <mergeCell ref="H2445:I2445"/>
    <mergeCell ref="E2469:F2469"/>
    <mergeCell ref="H2471:I2471"/>
    <mergeCell ref="E2474:F2474"/>
    <mergeCell ref="E2475:F2475"/>
    <mergeCell ref="E2476:F2476"/>
    <mergeCell ref="E2382:F2382"/>
    <mergeCell ref="E2383:F2383"/>
    <mergeCell ref="E2384:F2384"/>
    <mergeCell ref="H2386:I2386"/>
    <mergeCell ref="E2389:F2389"/>
    <mergeCell ref="H2415:I2415"/>
    <mergeCell ref="F2418:G2418"/>
    <mergeCell ref="E2419:F2419"/>
    <mergeCell ref="E2420:F2420"/>
    <mergeCell ref="E2421:F2421"/>
    <mergeCell ref="E2422:F2422"/>
    <mergeCell ref="E2408:F2408"/>
    <mergeCell ref="E2409:F2409"/>
    <mergeCell ref="E2410:F2410"/>
    <mergeCell ref="E2411:F2411"/>
    <mergeCell ref="E2412:F2412"/>
    <mergeCell ref="E2413:F2413"/>
    <mergeCell ref="E2399:F2399"/>
    <mergeCell ref="E2400:F2400"/>
    <mergeCell ref="E2401:F2401"/>
    <mergeCell ref="E2402:F2402"/>
    <mergeCell ref="H2404:I2404"/>
    <mergeCell ref="E2407:F2407"/>
    <mergeCell ref="E2390:F2390"/>
    <mergeCell ref="E2391:F2391"/>
    <mergeCell ref="E2515:F2515"/>
    <mergeCell ref="E2516:F2516"/>
    <mergeCell ref="E2517:F2517"/>
    <mergeCell ref="E2518:F2518"/>
    <mergeCell ref="H2520:I2520"/>
    <mergeCell ref="E2431:F2431"/>
    <mergeCell ref="E2432:F2432"/>
    <mergeCell ref="E2433:F2433"/>
    <mergeCell ref="E2434:F2434"/>
    <mergeCell ref="E2435:F2435"/>
    <mergeCell ref="E2463:F2463"/>
    <mergeCell ref="E2464:F2464"/>
    <mergeCell ref="E2465:F2465"/>
    <mergeCell ref="E2466:F2466"/>
    <mergeCell ref="E2467:F2467"/>
    <mergeCell ref="E2468:F2468"/>
    <mergeCell ref="E2454:F2454"/>
    <mergeCell ref="E2455:F2455"/>
    <mergeCell ref="E2456:F2456"/>
    <mergeCell ref="H2458:I2458"/>
    <mergeCell ref="E2461:F2461"/>
    <mergeCell ref="E2462:F2462"/>
    <mergeCell ref="E2448:F2448"/>
    <mergeCell ref="E2449:F2449"/>
    <mergeCell ref="E2450:F2450"/>
    <mergeCell ref="E2451:F2451"/>
    <mergeCell ref="E2452:F2452"/>
    <mergeCell ref="E2453:F2453"/>
    <mergeCell ref="E2436:F2436"/>
    <mergeCell ref="H2438:I2438"/>
    <mergeCell ref="E2441:F2441"/>
    <mergeCell ref="E2442:F2442"/>
    <mergeCell ref="E2477:F2477"/>
    <mergeCell ref="E2478:F2478"/>
    <mergeCell ref="H2480:I2480"/>
    <mergeCell ref="E2483:F2483"/>
    <mergeCell ref="E2484:F2484"/>
    <mergeCell ref="E2506:F2506"/>
    <mergeCell ref="H2508:I2508"/>
    <mergeCell ref="E2511:F2511"/>
    <mergeCell ref="E2512:F2512"/>
    <mergeCell ref="E2513:F2513"/>
    <mergeCell ref="E2514:F2514"/>
    <mergeCell ref="E2500:F2500"/>
    <mergeCell ref="E2501:F2501"/>
    <mergeCell ref="E2502:F2502"/>
    <mergeCell ref="E2503:F2503"/>
    <mergeCell ref="E2504:F2504"/>
    <mergeCell ref="E2505:F2505"/>
    <mergeCell ref="E2491:F2491"/>
    <mergeCell ref="E2492:F2492"/>
    <mergeCell ref="H2494:I2494"/>
    <mergeCell ref="E2497:F2497"/>
    <mergeCell ref="E2498:F2498"/>
    <mergeCell ref="E2499:F2499"/>
    <mergeCell ref="E2485:F2485"/>
    <mergeCell ref="E2486:F2486"/>
    <mergeCell ref="E2487:F2487"/>
    <mergeCell ref="E2488:F2488"/>
    <mergeCell ref="E2489:F2489"/>
    <mergeCell ref="E2490:F2490"/>
    <mergeCell ref="E2537:F2537"/>
    <mergeCell ref="E2538:F2538"/>
    <mergeCell ref="E2539:F2539"/>
    <mergeCell ref="E2540:F2540"/>
    <mergeCell ref="E2541:F2541"/>
    <mergeCell ref="E2542:F2542"/>
    <mergeCell ref="E2528:F2528"/>
    <mergeCell ref="E2529:F2529"/>
    <mergeCell ref="E2530:F2530"/>
    <mergeCell ref="E2531:F2531"/>
    <mergeCell ref="E2532:F2532"/>
    <mergeCell ref="H2534:I2534"/>
    <mergeCell ref="E2561:F2561"/>
    <mergeCell ref="E2562:F2562"/>
    <mergeCell ref="E2563:F2563"/>
    <mergeCell ref="E2564:F2564"/>
    <mergeCell ref="E2565:F2565"/>
    <mergeCell ref="H2583:I2583"/>
    <mergeCell ref="E2586:F2586"/>
    <mergeCell ref="E2587:F2587"/>
    <mergeCell ref="E2588:F2588"/>
    <mergeCell ref="F2574:G2574"/>
    <mergeCell ref="E2575:F2575"/>
    <mergeCell ref="E2576:F2576"/>
    <mergeCell ref="E2577:F2577"/>
    <mergeCell ref="E2578:F2578"/>
    <mergeCell ref="E2579:F2579"/>
    <mergeCell ref="H2605:I2605"/>
    <mergeCell ref="E2608:F2608"/>
    <mergeCell ref="E2609:F2609"/>
    <mergeCell ref="E2610:F2610"/>
    <mergeCell ref="E2611:F2611"/>
    <mergeCell ref="E2523:F2523"/>
    <mergeCell ref="E2524:F2524"/>
    <mergeCell ref="E2525:F2525"/>
    <mergeCell ref="E2526:F2526"/>
    <mergeCell ref="E2527:F2527"/>
    <mergeCell ref="E2552:F2552"/>
    <mergeCell ref="E2553:F2553"/>
    <mergeCell ref="E2554:F2554"/>
    <mergeCell ref="E2555:F2555"/>
    <mergeCell ref="E2556:F2556"/>
    <mergeCell ref="H2558:I2558"/>
    <mergeCell ref="E2543:F2543"/>
    <mergeCell ref="E2544:F2544"/>
    <mergeCell ref="E2545:F2545"/>
    <mergeCell ref="H2547:I2547"/>
    <mergeCell ref="E2550:F2550"/>
    <mergeCell ref="E2551:F2551"/>
    <mergeCell ref="E2633:F2633"/>
    <mergeCell ref="E2634:F2634"/>
    <mergeCell ref="H2616:I2616"/>
    <mergeCell ref="E2619:F2619"/>
    <mergeCell ref="E2620:F2620"/>
    <mergeCell ref="E2621:F2621"/>
    <mergeCell ref="E2622:F2622"/>
    <mergeCell ref="E2623:F2623"/>
    <mergeCell ref="E2653:F2653"/>
    <mergeCell ref="E2654:F2654"/>
    <mergeCell ref="E2655:F2655"/>
    <mergeCell ref="E2656:F2656"/>
    <mergeCell ref="E2657:F2657"/>
    <mergeCell ref="E2566:F2566"/>
    <mergeCell ref="E2567:F2567"/>
    <mergeCell ref="E2568:F2568"/>
    <mergeCell ref="H2570:I2570"/>
    <mergeCell ref="F2573:G2573"/>
    <mergeCell ref="E2598:F2598"/>
    <mergeCell ref="E2599:F2599"/>
    <mergeCell ref="E2600:F2600"/>
    <mergeCell ref="E2601:F2601"/>
    <mergeCell ref="E2602:F2602"/>
    <mergeCell ref="E2603:F2603"/>
    <mergeCell ref="E2589:F2589"/>
    <mergeCell ref="E2590:F2590"/>
    <mergeCell ref="E2591:F2591"/>
    <mergeCell ref="E2592:F2592"/>
    <mergeCell ref="H2594:I2594"/>
    <mergeCell ref="E2597:F2597"/>
    <mergeCell ref="E2580:F2580"/>
    <mergeCell ref="E2581:F2581"/>
    <mergeCell ref="E2666:F2666"/>
    <mergeCell ref="E2667:F2667"/>
    <mergeCell ref="E2668:F2668"/>
    <mergeCell ref="E2669:F2669"/>
    <mergeCell ref="H2671:I2671"/>
    <mergeCell ref="E2674:F2674"/>
    <mergeCell ref="E2699:F2699"/>
    <mergeCell ref="E2700:F2700"/>
    <mergeCell ref="E2701:F2701"/>
    <mergeCell ref="E2702:F2702"/>
    <mergeCell ref="H2704:I2704"/>
    <mergeCell ref="E2612:F2612"/>
    <mergeCell ref="E2613:F2613"/>
    <mergeCell ref="E2614:F2614"/>
    <mergeCell ref="E2624:F2624"/>
    <mergeCell ref="E2625:F2625"/>
    <mergeCell ref="E2644:F2644"/>
    <mergeCell ref="E2645:F2645"/>
    <mergeCell ref="E2646:F2646"/>
    <mergeCell ref="E2647:F2647"/>
    <mergeCell ref="H2649:I2649"/>
    <mergeCell ref="E2652:F2652"/>
    <mergeCell ref="E2635:F2635"/>
    <mergeCell ref="E2636:F2636"/>
    <mergeCell ref="H2638:I2638"/>
    <mergeCell ref="E2641:F2641"/>
    <mergeCell ref="E2642:F2642"/>
    <mergeCell ref="E2643:F2643"/>
    <mergeCell ref="H2627:I2627"/>
    <mergeCell ref="E2630:F2630"/>
    <mergeCell ref="E2631:F2631"/>
    <mergeCell ref="E2632:F2632"/>
    <mergeCell ref="H2715:I2715"/>
    <mergeCell ref="E2718:F2718"/>
    <mergeCell ref="E2719:F2719"/>
    <mergeCell ref="E2720:F2720"/>
    <mergeCell ref="E2745:F2745"/>
    <mergeCell ref="E2746:F2746"/>
    <mergeCell ref="H2748:I2748"/>
    <mergeCell ref="E2751:F2751"/>
    <mergeCell ref="E2752:F2752"/>
    <mergeCell ref="E2658:F2658"/>
    <mergeCell ref="H2660:I2660"/>
    <mergeCell ref="E2663:F2663"/>
    <mergeCell ref="E2664:F2664"/>
    <mergeCell ref="E2665:F2665"/>
    <mergeCell ref="E2690:F2690"/>
    <mergeCell ref="E2691:F2691"/>
    <mergeCell ref="H2693:I2693"/>
    <mergeCell ref="E2696:F2696"/>
    <mergeCell ref="E2697:F2697"/>
    <mergeCell ref="E2698:F2698"/>
    <mergeCell ref="H2682:I2682"/>
    <mergeCell ref="E2685:F2685"/>
    <mergeCell ref="E2686:F2686"/>
    <mergeCell ref="E2687:F2687"/>
    <mergeCell ref="E2688:F2688"/>
    <mergeCell ref="E2689:F2689"/>
    <mergeCell ref="E2675:F2675"/>
    <mergeCell ref="E2676:F2676"/>
    <mergeCell ref="E2677:F2677"/>
    <mergeCell ref="E2678:F2678"/>
    <mergeCell ref="E2679:F2679"/>
    <mergeCell ref="E2680:F2680"/>
    <mergeCell ref="E2768:F2768"/>
    <mergeCell ref="E2769:F2769"/>
    <mergeCell ref="E2791:F2791"/>
    <mergeCell ref="E2792:F2792"/>
    <mergeCell ref="E2793:F2793"/>
    <mergeCell ref="E2794:F2794"/>
    <mergeCell ref="H2796:I2796"/>
    <mergeCell ref="E2707:F2707"/>
    <mergeCell ref="E2708:F2708"/>
    <mergeCell ref="E2709:F2709"/>
    <mergeCell ref="E2710:F2710"/>
    <mergeCell ref="E2711:F2711"/>
    <mergeCell ref="H2737:I2737"/>
    <mergeCell ref="E2740:F2740"/>
    <mergeCell ref="E2741:F2741"/>
    <mergeCell ref="E2742:F2742"/>
    <mergeCell ref="E2743:F2743"/>
    <mergeCell ref="E2744:F2744"/>
    <mergeCell ref="E2730:F2730"/>
    <mergeCell ref="E2731:F2731"/>
    <mergeCell ref="E2732:F2732"/>
    <mergeCell ref="E2733:F2733"/>
    <mergeCell ref="E2734:F2734"/>
    <mergeCell ref="E2735:F2735"/>
    <mergeCell ref="E2721:F2721"/>
    <mergeCell ref="E2722:F2722"/>
    <mergeCell ref="E2723:F2723"/>
    <mergeCell ref="E2724:F2724"/>
    <mergeCell ref="H2726:I2726"/>
    <mergeCell ref="E2729:F2729"/>
    <mergeCell ref="E2712:F2712"/>
    <mergeCell ref="E2713:F2713"/>
    <mergeCell ref="E2840:F2840"/>
    <mergeCell ref="H2842:I2842"/>
    <mergeCell ref="E2845:F2845"/>
    <mergeCell ref="E2846:F2846"/>
    <mergeCell ref="E2847:F2847"/>
    <mergeCell ref="E2753:F2753"/>
    <mergeCell ref="E2754:F2754"/>
    <mergeCell ref="E2755:F2755"/>
    <mergeCell ref="H2757:I2757"/>
    <mergeCell ref="E2760:F2760"/>
    <mergeCell ref="E2785:F2785"/>
    <mergeCell ref="E2786:F2786"/>
    <mergeCell ref="E2787:F2787"/>
    <mergeCell ref="E2788:F2788"/>
    <mergeCell ref="E2789:F2789"/>
    <mergeCell ref="E2790:F2790"/>
    <mergeCell ref="E2779:F2779"/>
    <mergeCell ref="E2780:F2780"/>
    <mergeCell ref="E2781:F2781"/>
    <mergeCell ref="E2782:F2782"/>
    <mergeCell ref="E2783:F2783"/>
    <mergeCell ref="E2784:F2784"/>
    <mergeCell ref="E2770:F2770"/>
    <mergeCell ref="E2771:F2771"/>
    <mergeCell ref="E2772:F2772"/>
    <mergeCell ref="H2774:I2774"/>
    <mergeCell ref="E2777:F2777"/>
    <mergeCell ref="E2778:F2778"/>
    <mergeCell ref="E2761:F2761"/>
    <mergeCell ref="E2762:F2762"/>
    <mergeCell ref="E2763:F2763"/>
    <mergeCell ref="H2765:I2765"/>
    <mergeCell ref="E2799:F2799"/>
    <mergeCell ref="E2800:F2800"/>
    <mergeCell ref="H2802:I2802"/>
    <mergeCell ref="E2805:F2805"/>
    <mergeCell ref="E2806:F2806"/>
    <mergeCell ref="E2834:F2834"/>
    <mergeCell ref="E2835:F2835"/>
    <mergeCell ref="E2836:F2836"/>
    <mergeCell ref="E2837:F2837"/>
    <mergeCell ref="E2838:F2838"/>
    <mergeCell ref="E2839:F2839"/>
    <mergeCell ref="E2825:F2825"/>
    <mergeCell ref="E2826:F2826"/>
    <mergeCell ref="E2827:F2827"/>
    <mergeCell ref="E2828:F2828"/>
    <mergeCell ref="E2829:F2829"/>
    <mergeCell ref="H2831:I2831"/>
    <mergeCell ref="E2816:F2816"/>
    <mergeCell ref="E2817:F2817"/>
    <mergeCell ref="E2818:F2818"/>
    <mergeCell ref="H2820:I2820"/>
    <mergeCell ref="E2823:F2823"/>
    <mergeCell ref="E2824:F2824"/>
    <mergeCell ref="H2808:I2808"/>
    <mergeCell ref="F2811:G2811"/>
    <mergeCell ref="E2812:F2812"/>
    <mergeCell ref="E2813:F2813"/>
    <mergeCell ref="E2814:F2814"/>
    <mergeCell ref="E2815:F2815"/>
    <mergeCell ref="H2886:I2886"/>
    <mergeCell ref="E2871:F2871"/>
    <mergeCell ref="E2872:F2872"/>
    <mergeCell ref="E2873:F2873"/>
    <mergeCell ref="H2875:I2875"/>
    <mergeCell ref="E2878:F2878"/>
    <mergeCell ref="E2879:F2879"/>
    <mergeCell ref="E2862:F2862"/>
    <mergeCell ref="H2864:I2864"/>
    <mergeCell ref="E2867:F2867"/>
    <mergeCell ref="E2868:F2868"/>
    <mergeCell ref="E2869:F2869"/>
    <mergeCell ref="E2870:F2870"/>
    <mergeCell ref="H2853:I2853"/>
    <mergeCell ref="E2856:F2856"/>
    <mergeCell ref="E2857:F2857"/>
    <mergeCell ref="E2858:F2858"/>
    <mergeCell ref="E2859:F2859"/>
    <mergeCell ref="E2860:F2860"/>
    <mergeCell ref="E2903:F2903"/>
    <mergeCell ref="E2904:F2904"/>
    <mergeCell ref="E2935:F2935"/>
    <mergeCell ref="E2936:F2936"/>
    <mergeCell ref="E2937:F2937"/>
    <mergeCell ref="E2938:F2938"/>
    <mergeCell ref="E2939:F2939"/>
    <mergeCell ref="E2848:F2848"/>
    <mergeCell ref="E2849:F2849"/>
    <mergeCell ref="E2850:F2850"/>
    <mergeCell ref="E2851:F2851"/>
    <mergeCell ref="E2861:F2861"/>
    <mergeCell ref="E2880:F2880"/>
    <mergeCell ref="E2881:F2881"/>
    <mergeCell ref="E2882:F2882"/>
    <mergeCell ref="E2883:F2883"/>
    <mergeCell ref="E2884:F2884"/>
    <mergeCell ref="E2889:F2889"/>
    <mergeCell ref="E2890:F2890"/>
    <mergeCell ref="E2891:F2891"/>
    <mergeCell ref="E2892:F2892"/>
    <mergeCell ref="E2893:F2893"/>
    <mergeCell ref="E2981:F2981"/>
    <mergeCell ref="E2982:F2982"/>
    <mergeCell ref="E2983:F2983"/>
    <mergeCell ref="H2985:I2985"/>
    <mergeCell ref="E2988:F2988"/>
    <mergeCell ref="E2894:F2894"/>
    <mergeCell ref="E2895:F2895"/>
    <mergeCell ref="E2905:F2905"/>
    <mergeCell ref="E2906:F2906"/>
    <mergeCell ref="E2916:F2916"/>
    <mergeCell ref="E2926:F2926"/>
    <mergeCell ref="E2927:F2927"/>
    <mergeCell ref="E2928:F2928"/>
    <mergeCell ref="H2930:I2930"/>
    <mergeCell ref="E2933:F2933"/>
    <mergeCell ref="E2934:F2934"/>
    <mergeCell ref="E2917:F2917"/>
    <mergeCell ref="H2919:I2919"/>
    <mergeCell ref="E2922:F2922"/>
    <mergeCell ref="E2923:F2923"/>
    <mergeCell ref="E2924:F2924"/>
    <mergeCell ref="E2925:F2925"/>
    <mergeCell ref="H2908:I2908"/>
    <mergeCell ref="E2911:F2911"/>
    <mergeCell ref="E2912:F2912"/>
    <mergeCell ref="E2913:F2913"/>
    <mergeCell ref="E2914:F2914"/>
    <mergeCell ref="E2915:F2915"/>
    <mergeCell ref="H2897:I2897"/>
    <mergeCell ref="E2900:F2900"/>
    <mergeCell ref="E2901:F2901"/>
    <mergeCell ref="E2902:F2902"/>
    <mergeCell ref="H2941:I2941"/>
    <mergeCell ref="E2944:F2944"/>
    <mergeCell ref="E2945:F2945"/>
    <mergeCell ref="E2946:F2946"/>
    <mergeCell ref="E2947:F2947"/>
    <mergeCell ref="E2972:F2972"/>
    <mergeCell ref="H2974:I2974"/>
    <mergeCell ref="E2977:F2977"/>
    <mergeCell ref="E2978:F2978"/>
    <mergeCell ref="E2979:F2979"/>
    <mergeCell ref="E2980:F2980"/>
    <mergeCell ref="E2966:F2966"/>
    <mergeCell ref="E2967:F2967"/>
    <mergeCell ref="E2968:F2968"/>
    <mergeCell ref="E2969:F2969"/>
    <mergeCell ref="E2970:F2970"/>
    <mergeCell ref="E2971:F2971"/>
    <mergeCell ref="E2957:F2957"/>
    <mergeCell ref="E2958:F2958"/>
    <mergeCell ref="E2959:F2959"/>
    <mergeCell ref="E2960:F2960"/>
    <mergeCell ref="E2961:F2961"/>
    <mergeCell ref="H2963:I2963"/>
    <mergeCell ref="E2948:F2948"/>
    <mergeCell ref="E2949:F2949"/>
    <mergeCell ref="E2950:F2950"/>
    <mergeCell ref="H2952:I2952"/>
    <mergeCell ref="E2955:F2955"/>
    <mergeCell ref="E2956:F2956"/>
    <mergeCell ref="H3017:I3017"/>
    <mergeCell ref="E3020:F3020"/>
    <mergeCell ref="E3003:F3003"/>
    <mergeCell ref="E3004:F3004"/>
    <mergeCell ref="E3005:F3005"/>
    <mergeCell ref="H3007:I3007"/>
    <mergeCell ref="E3010:F3010"/>
    <mergeCell ref="E3011:F3011"/>
    <mergeCell ref="E2994:F2994"/>
    <mergeCell ref="H2996:I2996"/>
    <mergeCell ref="E2999:F2999"/>
    <mergeCell ref="E3000:F3000"/>
    <mergeCell ref="E3001:F3001"/>
    <mergeCell ref="E3002:F3002"/>
    <mergeCell ref="E3027:F3027"/>
    <mergeCell ref="E3028:F3028"/>
    <mergeCell ref="E3029:F3029"/>
    <mergeCell ref="E3044:F3044"/>
    <mergeCell ref="E3045:F3045"/>
    <mergeCell ref="F3073:G3073"/>
    <mergeCell ref="E3074:F3074"/>
    <mergeCell ref="E3075:F3075"/>
    <mergeCell ref="E3076:F3076"/>
    <mergeCell ref="E3077:F3077"/>
    <mergeCell ref="E2989:F2989"/>
    <mergeCell ref="E2990:F2990"/>
    <mergeCell ref="E2991:F2991"/>
    <mergeCell ref="E2992:F2992"/>
    <mergeCell ref="E2993:F2993"/>
    <mergeCell ref="E3021:F3021"/>
    <mergeCell ref="E3022:F3022"/>
    <mergeCell ref="E3023:F3023"/>
    <mergeCell ref="E3024:F3024"/>
    <mergeCell ref="E3025:F3025"/>
    <mergeCell ref="E3026:F3026"/>
    <mergeCell ref="E3012:F3012"/>
    <mergeCell ref="E3013:F3013"/>
    <mergeCell ref="E3014:F3014"/>
    <mergeCell ref="E3015:F3015"/>
    <mergeCell ref="E3030:F3030"/>
    <mergeCell ref="E3031:F3031"/>
    <mergeCell ref="E3116:F3116"/>
    <mergeCell ref="H3118:I3118"/>
    <mergeCell ref="F3121:G3121"/>
    <mergeCell ref="E3122:F3122"/>
    <mergeCell ref="E3123:F3123"/>
    <mergeCell ref="E3032:F3032"/>
    <mergeCell ref="E3033:F3033"/>
    <mergeCell ref="E3034:F3034"/>
    <mergeCell ref="E3035:F3035"/>
    <mergeCell ref="E3036:F3036"/>
    <mergeCell ref="E3061:F3061"/>
    <mergeCell ref="H3063:I3063"/>
    <mergeCell ref="E3066:F3066"/>
    <mergeCell ref="E3067:F3067"/>
    <mergeCell ref="E3068:F3068"/>
    <mergeCell ref="H3070:I3070"/>
    <mergeCell ref="E3055:F3055"/>
    <mergeCell ref="E3056:F3056"/>
    <mergeCell ref="E3057:F3057"/>
    <mergeCell ref="E3058:F3058"/>
    <mergeCell ref="E3059:F3059"/>
    <mergeCell ref="E3060:F3060"/>
    <mergeCell ref="E3046:F3046"/>
    <mergeCell ref="E3047:F3047"/>
    <mergeCell ref="E3048:F3048"/>
    <mergeCell ref="E3049:F3049"/>
    <mergeCell ref="H3051:I3051"/>
    <mergeCell ref="F3054:G3054"/>
    <mergeCell ref="E3037:F3037"/>
    <mergeCell ref="H3039:I3039"/>
    <mergeCell ref="E3042:F3042"/>
    <mergeCell ref="E3043:F3043"/>
    <mergeCell ref="E3167:F3167"/>
    <mergeCell ref="E3168:F3168"/>
    <mergeCell ref="E3169:F3169"/>
    <mergeCell ref="E3078:F3078"/>
    <mergeCell ref="E3079:F3079"/>
    <mergeCell ref="E3080:F3080"/>
    <mergeCell ref="E3081:F3081"/>
    <mergeCell ref="H3083:I3083"/>
    <mergeCell ref="E3107:F3107"/>
    <mergeCell ref="E3108:F3108"/>
    <mergeCell ref="E3109:F3109"/>
    <mergeCell ref="H3111:I3111"/>
    <mergeCell ref="E3114:F3114"/>
    <mergeCell ref="E3115:F3115"/>
    <mergeCell ref="E3101:F3101"/>
    <mergeCell ref="E3102:F3102"/>
    <mergeCell ref="E3103:F3103"/>
    <mergeCell ref="E3104:F3104"/>
    <mergeCell ref="E3105:F3105"/>
    <mergeCell ref="E3106:F3106"/>
    <mergeCell ref="F3095:G3095"/>
    <mergeCell ref="F3096:G3096"/>
    <mergeCell ref="E3097:F3097"/>
    <mergeCell ref="E3098:F3098"/>
    <mergeCell ref="E3099:F3099"/>
    <mergeCell ref="E3100:F3100"/>
    <mergeCell ref="E3086:F3086"/>
    <mergeCell ref="E3087:F3087"/>
    <mergeCell ref="E3088:F3088"/>
    <mergeCell ref="E3089:F3089"/>
    <mergeCell ref="E3090:F3090"/>
    <mergeCell ref="H3092:I3092"/>
    <mergeCell ref="E3218:F3218"/>
    <mergeCell ref="E3124:F3124"/>
    <mergeCell ref="E3125:F3125"/>
    <mergeCell ref="E3126:F3126"/>
    <mergeCell ref="E3127:F3127"/>
    <mergeCell ref="E3128:F3128"/>
    <mergeCell ref="E3156:F3156"/>
    <mergeCell ref="E3157:F3157"/>
    <mergeCell ref="E3158:F3158"/>
    <mergeCell ref="E3159:F3159"/>
    <mergeCell ref="E3160:F3160"/>
    <mergeCell ref="H3162:I3162"/>
    <mergeCell ref="E3147:F3147"/>
    <mergeCell ref="E3148:F3148"/>
    <mergeCell ref="E3149:F3149"/>
    <mergeCell ref="E3150:F3150"/>
    <mergeCell ref="H3152:I3152"/>
    <mergeCell ref="E3155:F3155"/>
    <mergeCell ref="E3138:F3138"/>
    <mergeCell ref="E3139:F3139"/>
    <mergeCell ref="H3141:I3141"/>
    <mergeCell ref="E3144:F3144"/>
    <mergeCell ref="E3145:F3145"/>
    <mergeCell ref="E3146:F3146"/>
    <mergeCell ref="E3129:F3129"/>
    <mergeCell ref="H3131:I3131"/>
    <mergeCell ref="E3134:F3134"/>
    <mergeCell ref="E3135:F3135"/>
    <mergeCell ref="E3136:F3136"/>
    <mergeCell ref="E3137:F3137"/>
    <mergeCell ref="E3165:F3165"/>
    <mergeCell ref="E3166:F3166"/>
    <mergeCell ref="E3204:F3204"/>
    <mergeCell ref="E3187:F3187"/>
    <mergeCell ref="E3188:F3188"/>
    <mergeCell ref="E3189:F3189"/>
    <mergeCell ref="H3191:I3191"/>
    <mergeCell ref="E3194:F3194"/>
    <mergeCell ref="E3195:F3195"/>
    <mergeCell ref="H3173:I3173"/>
    <mergeCell ref="E3176:F3176"/>
    <mergeCell ref="E3177:F3177"/>
    <mergeCell ref="E3178:F3178"/>
    <mergeCell ref="E3179:F3179"/>
    <mergeCell ref="H3181:I3181"/>
    <mergeCell ref="E3214:F3214"/>
    <mergeCell ref="E3215:F3215"/>
    <mergeCell ref="E3216:F3216"/>
    <mergeCell ref="E3217:F3217"/>
    <mergeCell ref="E3234:F3234"/>
    <mergeCell ref="E3235:F3235"/>
    <mergeCell ref="E3236:F3236"/>
    <mergeCell ref="E3237:F3237"/>
    <mergeCell ref="E3238:F3238"/>
    <mergeCell ref="E3227:F3227"/>
    <mergeCell ref="E3228:F3228"/>
    <mergeCell ref="E3229:F3229"/>
    <mergeCell ref="E3230:F3230"/>
    <mergeCell ref="E3231:F3231"/>
    <mergeCell ref="E3232:F3232"/>
    <mergeCell ref="E3254:F3254"/>
    <mergeCell ref="E3255:F3255"/>
    <mergeCell ref="E3256:F3256"/>
    <mergeCell ref="E3257:F3257"/>
    <mergeCell ref="H3259:I3259"/>
    <mergeCell ref="E3170:F3170"/>
    <mergeCell ref="E3171:F3171"/>
    <mergeCell ref="E3184:F3184"/>
    <mergeCell ref="E3185:F3185"/>
    <mergeCell ref="E3186:F3186"/>
    <mergeCell ref="E3205:F3205"/>
    <mergeCell ref="E3206:F3206"/>
    <mergeCell ref="E3207:F3207"/>
    <mergeCell ref="E3208:F3208"/>
    <mergeCell ref="H3210:I3210"/>
    <mergeCell ref="E3213:F3213"/>
    <mergeCell ref="E3196:F3196"/>
    <mergeCell ref="E3197:F3197"/>
    <mergeCell ref="E3198:F3198"/>
    <mergeCell ref="E3199:F3199"/>
    <mergeCell ref="H3201:I3201"/>
    <mergeCell ref="E3279:F3279"/>
    <mergeCell ref="E3280:F3280"/>
    <mergeCell ref="E3281:F3281"/>
    <mergeCell ref="E3267:F3267"/>
    <mergeCell ref="E3268:F3268"/>
    <mergeCell ref="E3269:F3269"/>
    <mergeCell ref="E3270:F3270"/>
    <mergeCell ref="E3271:F3271"/>
    <mergeCell ref="E3272:F3272"/>
    <mergeCell ref="E3300:F3300"/>
    <mergeCell ref="E3301:F3301"/>
    <mergeCell ref="E3302:F3302"/>
    <mergeCell ref="E3303:F3303"/>
    <mergeCell ref="H3305:I3305"/>
    <mergeCell ref="H3220:I3220"/>
    <mergeCell ref="F3223:G3223"/>
    <mergeCell ref="E3224:F3224"/>
    <mergeCell ref="E3225:F3225"/>
    <mergeCell ref="E3226:F3226"/>
    <mergeCell ref="E3248:F3248"/>
    <mergeCell ref="E3249:F3249"/>
    <mergeCell ref="E3250:F3250"/>
    <mergeCell ref="E3251:F3251"/>
    <mergeCell ref="E3252:F3252"/>
    <mergeCell ref="E3253:F3253"/>
    <mergeCell ref="E3239:F3239"/>
    <mergeCell ref="E3240:F3240"/>
    <mergeCell ref="H3242:I3242"/>
    <mergeCell ref="E3245:F3245"/>
    <mergeCell ref="E3246:F3246"/>
    <mergeCell ref="E3247:F3247"/>
    <mergeCell ref="E3233:F3233"/>
    <mergeCell ref="E3330:F3330"/>
    <mergeCell ref="E3313:F3313"/>
    <mergeCell ref="E3314:F3314"/>
    <mergeCell ref="E3315:F3315"/>
    <mergeCell ref="H3317:I3317"/>
    <mergeCell ref="E3320:F3320"/>
    <mergeCell ref="E3321:F3321"/>
    <mergeCell ref="E3349:F3349"/>
    <mergeCell ref="E3350:F3350"/>
    <mergeCell ref="E3351:F3351"/>
    <mergeCell ref="E3352:F3352"/>
    <mergeCell ref="H3354:I3354"/>
    <mergeCell ref="E3262:F3262"/>
    <mergeCell ref="E3263:F3263"/>
    <mergeCell ref="E3264:F3264"/>
    <mergeCell ref="E3265:F3265"/>
    <mergeCell ref="E3266:F3266"/>
    <mergeCell ref="E3291:F3291"/>
    <mergeCell ref="E3292:F3292"/>
    <mergeCell ref="H3294:I3294"/>
    <mergeCell ref="E3297:F3297"/>
    <mergeCell ref="E3298:F3298"/>
    <mergeCell ref="E3299:F3299"/>
    <mergeCell ref="H3283:I3283"/>
    <mergeCell ref="E3286:F3286"/>
    <mergeCell ref="E3287:F3287"/>
    <mergeCell ref="E3288:F3288"/>
    <mergeCell ref="E3289:F3289"/>
    <mergeCell ref="E3290:F3290"/>
    <mergeCell ref="H3274:I3274"/>
    <mergeCell ref="E3277:F3277"/>
    <mergeCell ref="E3278:F3278"/>
    <mergeCell ref="E3308:F3308"/>
    <mergeCell ref="E3309:F3309"/>
    <mergeCell ref="E3310:F3310"/>
    <mergeCell ref="E3311:F3311"/>
    <mergeCell ref="E3312:F3312"/>
    <mergeCell ref="E3340:F3340"/>
    <mergeCell ref="E3341:F3341"/>
    <mergeCell ref="H3343:I3343"/>
    <mergeCell ref="E3346:F3346"/>
    <mergeCell ref="E3347:F3347"/>
    <mergeCell ref="E3348:F3348"/>
    <mergeCell ref="A3360:C3360"/>
    <mergeCell ref="F3360:G3360"/>
    <mergeCell ref="H3360:J3360"/>
    <mergeCell ref="A3362:J3362"/>
    <mergeCell ref="E3331:F3331"/>
    <mergeCell ref="E3332:F3332"/>
    <mergeCell ref="E3333:F3333"/>
    <mergeCell ref="E3334:F3334"/>
    <mergeCell ref="H3336:I3336"/>
    <mergeCell ref="E3339:F3339"/>
    <mergeCell ref="A3358:C3358"/>
    <mergeCell ref="F3358:G3358"/>
    <mergeCell ref="H3358:J3358"/>
    <mergeCell ref="A3359:C3359"/>
    <mergeCell ref="F3359:G3359"/>
    <mergeCell ref="H3359:J3359"/>
    <mergeCell ref="E3322:F3322"/>
    <mergeCell ref="E3323:F3323"/>
    <mergeCell ref="E3324:F3324"/>
    <mergeCell ref="E3325:F3325"/>
    <mergeCell ref="H3327:I3327"/>
  </mergeCells>
  <pageMargins left="0.51181102362204722" right="0.51181102362204722" top="0.98425196850393704" bottom="0.98425196850393704" header="0.51181102362204722" footer="0.51181102362204722"/>
  <pageSetup paperSize="9" scale="70" fitToHeight="0" orientation="landscape" r:id="rId1"/>
  <headerFooter>
    <oddFooter>&amp;L&amp;A&amp;CPágina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OutlineSymbols="0" showWhiteSpace="0" view="pageBreakPreview" zoomScale="60" zoomScaleNormal="100" workbookViewId="0">
      <selection activeCell="H360" sqref="H360:J360"/>
    </sheetView>
  </sheetViews>
  <sheetFormatPr defaultColWidth="8.75" defaultRowHeight="14.25" x14ac:dyDescent="0.2"/>
  <cols>
    <col min="1" max="1" width="20" style="96" bestFit="1" customWidth="1"/>
    <col min="2" max="2" width="60" style="96" bestFit="1" customWidth="1"/>
    <col min="3" max="3" width="28.75" style="96" customWidth="1"/>
    <col min="4" max="6" width="12" style="96" bestFit="1" customWidth="1"/>
    <col min="7" max="7" width="13.375" style="96" bestFit="1" customWidth="1"/>
    <col min="8" max="8" width="13.75" style="96" bestFit="1" customWidth="1"/>
    <col min="9" max="30" width="12" style="96" bestFit="1" customWidth="1"/>
    <col min="31" max="16384" width="8.75" style="96"/>
  </cols>
  <sheetData>
    <row r="1" spans="1:8" ht="15" x14ac:dyDescent="0.2">
      <c r="A1" s="93"/>
      <c r="B1" s="93" t="s">
        <v>0</v>
      </c>
      <c r="C1" s="93" t="s">
        <v>1</v>
      </c>
      <c r="D1" s="135" t="s">
        <v>2</v>
      </c>
      <c r="E1" s="135"/>
      <c r="F1" s="135"/>
      <c r="G1" s="135"/>
    </row>
    <row r="2" spans="1:8" ht="103.15" customHeight="1" x14ac:dyDescent="0.2">
      <c r="A2" s="94"/>
      <c r="B2" s="94" t="s">
        <v>1606</v>
      </c>
      <c r="C2" s="101" t="s">
        <v>2844</v>
      </c>
      <c r="D2" s="131" t="s">
        <v>1337</v>
      </c>
      <c r="E2" s="131"/>
      <c r="F2" s="131"/>
      <c r="G2" s="131"/>
    </row>
    <row r="3" spans="1:8" ht="13.9" customHeight="1" x14ac:dyDescent="0.25">
      <c r="A3" s="133" t="s">
        <v>1350</v>
      </c>
      <c r="B3" s="134"/>
      <c r="C3" s="134"/>
      <c r="D3" s="134"/>
      <c r="E3" s="134"/>
      <c r="F3" s="134"/>
      <c r="G3" s="134"/>
      <c r="H3" s="103"/>
    </row>
    <row r="4" spans="1:8" ht="15" x14ac:dyDescent="0.2">
      <c r="A4" s="117" t="s">
        <v>4</v>
      </c>
      <c r="B4" s="117" t="s">
        <v>7</v>
      </c>
      <c r="C4" s="126" t="s">
        <v>1349</v>
      </c>
      <c r="D4" s="126" t="s">
        <v>1348</v>
      </c>
      <c r="E4" s="126" t="s">
        <v>1347</v>
      </c>
      <c r="F4" s="126" t="s">
        <v>1346</v>
      </c>
      <c r="G4" s="126" t="s">
        <v>1345</v>
      </c>
      <c r="H4" s="126" t="s">
        <v>1344</v>
      </c>
    </row>
    <row r="5" spans="1:8" ht="24" customHeight="1" thickBot="1" x14ac:dyDescent="0.25">
      <c r="A5" s="123" t="s">
        <v>14</v>
      </c>
      <c r="B5" s="123" t="s">
        <v>15</v>
      </c>
      <c r="C5" s="3" t="s">
        <v>2855</v>
      </c>
      <c r="D5" s="64" t="s">
        <v>2856</v>
      </c>
      <c r="E5" s="64" t="s">
        <v>2857</v>
      </c>
      <c r="F5" s="64" t="s">
        <v>2857</v>
      </c>
      <c r="G5" s="64" t="s">
        <v>2857</v>
      </c>
      <c r="H5" s="64" t="s">
        <v>2857</v>
      </c>
    </row>
    <row r="6" spans="1:8" ht="24" customHeight="1" thickTop="1" thickBot="1" x14ac:dyDescent="0.25">
      <c r="A6" s="123" t="s">
        <v>68</v>
      </c>
      <c r="B6" s="123" t="s">
        <v>69</v>
      </c>
      <c r="C6" s="3" t="s">
        <v>2858</v>
      </c>
      <c r="D6" s="64" t="s">
        <v>2858</v>
      </c>
      <c r="E6" s="3" t="s">
        <v>1343</v>
      </c>
      <c r="F6" s="3" t="s">
        <v>1343</v>
      </c>
      <c r="G6" s="3" t="s">
        <v>1343</v>
      </c>
      <c r="H6" s="3" t="s">
        <v>1343</v>
      </c>
    </row>
    <row r="7" spans="1:8" ht="24" customHeight="1" thickTop="1" thickBot="1" x14ac:dyDescent="0.25">
      <c r="A7" s="123" t="s">
        <v>141</v>
      </c>
      <c r="B7" s="123" t="s">
        <v>142</v>
      </c>
      <c r="C7" s="3" t="s">
        <v>2859</v>
      </c>
      <c r="D7" s="64" t="s">
        <v>2860</v>
      </c>
      <c r="E7" s="64" t="s">
        <v>2861</v>
      </c>
      <c r="F7" s="3" t="s">
        <v>1343</v>
      </c>
      <c r="G7" s="3" t="s">
        <v>1343</v>
      </c>
      <c r="H7" s="3" t="s">
        <v>1343</v>
      </c>
    </row>
    <row r="8" spans="1:8" ht="24" customHeight="1" thickTop="1" thickBot="1" x14ac:dyDescent="0.25">
      <c r="A8" s="123" t="s">
        <v>191</v>
      </c>
      <c r="B8" s="123" t="s">
        <v>192</v>
      </c>
      <c r="C8" s="3" t="s">
        <v>2862</v>
      </c>
      <c r="D8" s="3" t="s">
        <v>1343</v>
      </c>
      <c r="E8" s="64" t="s">
        <v>2863</v>
      </c>
      <c r="F8" s="64" t="s">
        <v>2863</v>
      </c>
      <c r="G8" s="64" t="s">
        <v>2863</v>
      </c>
      <c r="H8" s="64" t="s">
        <v>2863</v>
      </c>
    </row>
    <row r="9" spans="1:8" ht="24" customHeight="1" thickTop="1" thickBot="1" x14ac:dyDescent="0.25">
      <c r="A9" s="123" t="s">
        <v>329</v>
      </c>
      <c r="B9" s="123" t="s">
        <v>330</v>
      </c>
      <c r="C9" s="3" t="s">
        <v>2864</v>
      </c>
      <c r="D9" s="3" t="s">
        <v>1343</v>
      </c>
      <c r="E9" s="64" t="s">
        <v>2865</v>
      </c>
      <c r="F9" s="64" t="s">
        <v>2865</v>
      </c>
      <c r="G9" s="64" t="s">
        <v>2865</v>
      </c>
      <c r="H9" s="64" t="s">
        <v>2865</v>
      </c>
    </row>
    <row r="10" spans="1:8" ht="24" customHeight="1" thickTop="1" thickBot="1" x14ac:dyDescent="0.25">
      <c r="A10" s="123" t="s">
        <v>515</v>
      </c>
      <c r="B10" s="123" t="s">
        <v>516</v>
      </c>
      <c r="C10" s="3" t="s">
        <v>2866</v>
      </c>
      <c r="D10" s="64" t="s">
        <v>2867</v>
      </c>
      <c r="E10" s="64" t="s">
        <v>2868</v>
      </c>
      <c r="F10" s="64" t="s">
        <v>2868</v>
      </c>
      <c r="G10" s="3" t="s">
        <v>1343</v>
      </c>
      <c r="H10" s="3" t="s">
        <v>1343</v>
      </c>
    </row>
    <row r="11" spans="1:8" ht="24" customHeight="1" thickTop="1" thickBot="1" x14ac:dyDescent="0.25">
      <c r="A11" s="123" t="s">
        <v>536</v>
      </c>
      <c r="B11" s="123" t="s">
        <v>537</v>
      </c>
      <c r="C11" s="3" t="s">
        <v>2869</v>
      </c>
      <c r="D11" s="3" t="s">
        <v>1343</v>
      </c>
      <c r="E11" s="64" t="s">
        <v>2870</v>
      </c>
      <c r="F11" s="64" t="s">
        <v>2871</v>
      </c>
      <c r="G11" s="64" t="s">
        <v>2871</v>
      </c>
      <c r="H11" s="3" t="s">
        <v>1343</v>
      </c>
    </row>
    <row r="12" spans="1:8" ht="24" customHeight="1" thickTop="1" thickBot="1" x14ac:dyDescent="0.25">
      <c r="A12" s="123" t="s">
        <v>565</v>
      </c>
      <c r="B12" s="123" t="s">
        <v>566</v>
      </c>
      <c r="C12" s="3" t="s">
        <v>2872</v>
      </c>
      <c r="D12" s="3" t="s">
        <v>1343</v>
      </c>
      <c r="E12" s="3" t="s">
        <v>1343</v>
      </c>
      <c r="F12" s="64" t="s">
        <v>2873</v>
      </c>
      <c r="G12" s="64" t="s">
        <v>2873</v>
      </c>
      <c r="H12" s="3" t="s">
        <v>1343</v>
      </c>
    </row>
    <row r="13" spans="1:8" ht="24" customHeight="1" thickTop="1" thickBot="1" x14ac:dyDescent="0.25">
      <c r="A13" s="123" t="s">
        <v>579</v>
      </c>
      <c r="B13" s="123" t="s">
        <v>580</v>
      </c>
      <c r="C13" s="3" t="s">
        <v>2874</v>
      </c>
      <c r="D13" s="3" t="s">
        <v>1343</v>
      </c>
      <c r="E13" s="3" t="s">
        <v>1343</v>
      </c>
      <c r="F13" s="64" t="s">
        <v>2875</v>
      </c>
      <c r="G13" s="64" t="s">
        <v>2876</v>
      </c>
      <c r="H13" s="64" t="s">
        <v>2876</v>
      </c>
    </row>
    <row r="14" spans="1:8" ht="24" customHeight="1" thickTop="1" thickBot="1" x14ac:dyDescent="0.25">
      <c r="A14" s="123" t="s">
        <v>597</v>
      </c>
      <c r="B14" s="123" t="s">
        <v>598</v>
      </c>
      <c r="C14" s="3" t="s">
        <v>2877</v>
      </c>
      <c r="D14" s="3" t="s">
        <v>1343</v>
      </c>
      <c r="E14" s="64" t="s">
        <v>2878</v>
      </c>
      <c r="F14" s="64" t="s">
        <v>2879</v>
      </c>
      <c r="G14" s="64" t="s">
        <v>2879</v>
      </c>
      <c r="H14" s="64" t="s">
        <v>2878</v>
      </c>
    </row>
    <row r="15" spans="1:8" ht="24" customHeight="1" thickTop="1" thickBot="1" x14ac:dyDescent="0.25">
      <c r="A15" s="123" t="s">
        <v>633</v>
      </c>
      <c r="B15" s="123" t="s">
        <v>634</v>
      </c>
      <c r="C15" s="3" t="s">
        <v>2880</v>
      </c>
      <c r="D15" s="3" t="s">
        <v>1343</v>
      </c>
      <c r="E15" s="3" t="s">
        <v>1343</v>
      </c>
      <c r="F15" s="64" t="s">
        <v>2881</v>
      </c>
      <c r="G15" s="64" t="s">
        <v>2881</v>
      </c>
      <c r="H15" s="64" t="s">
        <v>2882</v>
      </c>
    </row>
    <row r="16" spans="1:8" ht="24" customHeight="1" thickTop="1" thickBot="1" x14ac:dyDescent="0.25">
      <c r="A16" s="123" t="s">
        <v>725</v>
      </c>
      <c r="B16" s="123" t="s">
        <v>726</v>
      </c>
      <c r="C16" s="3" t="s">
        <v>2883</v>
      </c>
      <c r="D16" s="3" t="s">
        <v>1343</v>
      </c>
      <c r="E16" s="3" t="s">
        <v>1343</v>
      </c>
      <c r="F16" s="3" t="s">
        <v>1343</v>
      </c>
      <c r="G16" s="64" t="s">
        <v>2884</v>
      </c>
      <c r="H16" s="64" t="s">
        <v>2884</v>
      </c>
    </row>
    <row r="17" spans="1:8" ht="24" customHeight="1" thickTop="1" thickBot="1" x14ac:dyDescent="0.25">
      <c r="A17" s="123" t="s">
        <v>731</v>
      </c>
      <c r="B17" s="123" t="s">
        <v>1236</v>
      </c>
      <c r="C17" s="3" t="s">
        <v>2885</v>
      </c>
      <c r="D17" s="3" t="s">
        <v>1343</v>
      </c>
      <c r="E17" s="3" t="s">
        <v>1343</v>
      </c>
      <c r="F17" s="3" t="s">
        <v>1343</v>
      </c>
      <c r="G17" s="3" t="s">
        <v>1343</v>
      </c>
      <c r="H17" s="64" t="s">
        <v>2885</v>
      </c>
    </row>
    <row r="18" spans="1:8" ht="24" customHeight="1" thickTop="1" thickBot="1" x14ac:dyDescent="0.25">
      <c r="A18" s="123" t="s">
        <v>1216</v>
      </c>
      <c r="B18" s="123" t="s">
        <v>732</v>
      </c>
      <c r="C18" s="3" t="s">
        <v>2886</v>
      </c>
      <c r="D18" s="3" t="s">
        <v>1343</v>
      </c>
      <c r="E18" s="3" t="s">
        <v>1343</v>
      </c>
      <c r="F18" s="64" t="s">
        <v>2887</v>
      </c>
      <c r="G18" s="64" t="s">
        <v>2888</v>
      </c>
      <c r="H18" s="64" t="s">
        <v>2888</v>
      </c>
    </row>
    <row r="19" spans="1:8" ht="15" thickTop="1" x14ac:dyDescent="0.2">
      <c r="A19" s="131" t="s">
        <v>1342</v>
      </c>
      <c r="B19" s="131"/>
      <c r="C19" s="101"/>
      <c r="D19" s="100" t="s">
        <v>2889</v>
      </c>
      <c r="E19" s="100" t="s">
        <v>2890</v>
      </c>
      <c r="F19" s="100" t="s">
        <v>2891</v>
      </c>
      <c r="G19" s="100" t="s">
        <v>2892</v>
      </c>
      <c r="H19" s="100" t="s">
        <v>2893</v>
      </c>
    </row>
    <row r="20" spans="1:8" x14ac:dyDescent="0.2">
      <c r="A20" s="131" t="s">
        <v>1341</v>
      </c>
      <c r="B20" s="131"/>
      <c r="C20" s="101"/>
      <c r="D20" s="100" t="s">
        <v>2894</v>
      </c>
      <c r="E20" s="100" t="s">
        <v>2895</v>
      </c>
      <c r="F20" s="100" t="s">
        <v>2896</v>
      </c>
      <c r="G20" s="100" t="s">
        <v>2897</v>
      </c>
      <c r="H20" s="100" t="s">
        <v>2898</v>
      </c>
    </row>
    <row r="21" spans="1:8" ht="13.9" customHeight="1" x14ac:dyDescent="0.2">
      <c r="A21" s="131" t="s">
        <v>1340</v>
      </c>
      <c r="B21" s="131"/>
      <c r="C21" s="101"/>
      <c r="D21" s="100" t="s">
        <v>2889</v>
      </c>
      <c r="E21" s="100" t="s">
        <v>2899</v>
      </c>
      <c r="F21" s="100" t="s">
        <v>2900</v>
      </c>
      <c r="G21" s="100" t="s">
        <v>2901</v>
      </c>
      <c r="H21" s="100" t="s">
        <v>1339</v>
      </c>
    </row>
    <row r="22" spans="1:8" x14ac:dyDescent="0.2">
      <c r="A22" s="131" t="s">
        <v>1338</v>
      </c>
      <c r="B22" s="131"/>
      <c r="C22" s="101"/>
      <c r="D22" s="100" t="s">
        <v>2894</v>
      </c>
      <c r="E22" s="100" t="s">
        <v>2902</v>
      </c>
      <c r="F22" s="102">
        <v>762746.76</v>
      </c>
      <c r="G22" s="100" t="s">
        <v>2903</v>
      </c>
      <c r="H22" s="100" t="s">
        <v>2904</v>
      </c>
    </row>
    <row r="23" spans="1:8" x14ac:dyDescent="0.2">
      <c r="A23" s="95"/>
      <c r="B23" s="95"/>
      <c r="C23" s="95"/>
      <c r="D23" s="95"/>
      <c r="E23" s="95"/>
      <c r="F23" s="95"/>
      <c r="G23" s="95"/>
    </row>
  </sheetData>
  <mergeCells count="9">
    <mergeCell ref="A20:B20"/>
    <mergeCell ref="A21:B21"/>
    <mergeCell ref="A22:B22"/>
    <mergeCell ref="D1:E1"/>
    <mergeCell ref="F1:G1"/>
    <mergeCell ref="D2:E2"/>
    <mergeCell ref="F2:G2"/>
    <mergeCell ref="A3:G3"/>
    <mergeCell ref="A19:B19"/>
  </mergeCells>
  <pageMargins left="0.51181102362204722" right="0.51181102362204722" top="0.98425196850393704" bottom="0.98425196850393704" header="0.51181102362204722" footer="0.51181102362204722"/>
  <pageSetup paperSize="9" scale="72" fitToHeight="0" orientation="landscape" r:id="rId1"/>
  <headerFooter>
    <oddFooter>&amp;L&amp;A&amp;CPágina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9"/>
  <sheetViews>
    <sheetView showOutlineSymbols="0" showWhiteSpace="0" view="pageBreakPreview" zoomScale="60" zoomScaleNormal="100" workbookViewId="0">
      <selection activeCell="H360" sqref="H360:J360"/>
    </sheetView>
  </sheetViews>
  <sheetFormatPr defaultColWidth="8.75" defaultRowHeight="14.25" x14ac:dyDescent="0.2"/>
  <cols>
    <col min="1" max="2" width="10" style="96" bestFit="1" customWidth="1"/>
    <col min="3" max="3" width="60" style="96" bestFit="1" customWidth="1"/>
    <col min="4" max="4" width="33.5" style="96" customWidth="1"/>
    <col min="5" max="9" width="10" style="96" bestFit="1" customWidth="1"/>
    <col min="10" max="12" width="15" style="96" bestFit="1" customWidth="1"/>
    <col min="13" max="16384" width="8.75" style="96"/>
  </cols>
  <sheetData>
    <row r="1" spans="1:10" ht="15" x14ac:dyDescent="0.2">
      <c r="A1" s="93"/>
      <c r="B1" s="93"/>
      <c r="C1" s="93" t="s">
        <v>0</v>
      </c>
      <c r="D1" s="93" t="s">
        <v>1</v>
      </c>
      <c r="E1" s="135" t="s">
        <v>2</v>
      </c>
      <c r="F1" s="135"/>
      <c r="G1" s="135"/>
      <c r="H1" s="135"/>
      <c r="I1" s="135"/>
      <c r="J1" s="134"/>
    </row>
    <row r="2" spans="1:10" ht="82.9" customHeight="1" x14ac:dyDescent="0.2">
      <c r="A2" s="94"/>
      <c r="B2" s="94"/>
      <c r="C2" s="94" t="s">
        <v>1606</v>
      </c>
      <c r="D2" s="101" t="s">
        <v>2844</v>
      </c>
      <c r="E2" s="131" t="s">
        <v>1337</v>
      </c>
      <c r="F2" s="131"/>
      <c r="G2" s="131"/>
      <c r="H2" s="131"/>
      <c r="I2" s="131"/>
      <c r="J2" s="134"/>
    </row>
    <row r="3" spans="1:10" ht="15" x14ac:dyDescent="0.25">
      <c r="A3" s="133" t="s">
        <v>1506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ht="30" customHeight="1" x14ac:dyDescent="0.2">
      <c r="A4" s="126" t="s">
        <v>5</v>
      </c>
      <c r="B4" s="117" t="s">
        <v>6</v>
      </c>
      <c r="C4" s="117" t="s">
        <v>7</v>
      </c>
      <c r="D4" s="117" t="s">
        <v>1113</v>
      </c>
      <c r="E4" s="7" t="s">
        <v>8</v>
      </c>
      <c r="F4" s="126" t="s">
        <v>9</v>
      </c>
      <c r="G4" s="126" t="s">
        <v>1505</v>
      </c>
      <c r="H4" s="126" t="s">
        <v>12</v>
      </c>
      <c r="I4" s="126" t="s">
        <v>13</v>
      </c>
      <c r="J4" s="126" t="s">
        <v>1504</v>
      </c>
    </row>
    <row r="5" spans="1:10" ht="24" customHeight="1" x14ac:dyDescent="0.2">
      <c r="A5" s="1" t="s">
        <v>1608</v>
      </c>
      <c r="B5" s="116" t="s">
        <v>20</v>
      </c>
      <c r="C5" s="116" t="s">
        <v>1622</v>
      </c>
      <c r="D5" s="116">
        <v>18</v>
      </c>
      <c r="E5" s="2" t="s">
        <v>22</v>
      </c>
      <c r="F5" s="1" t="s">
        <v>1501</v>
      </c>
      <c r="G5" s="1" t="s">
        <v>2905</v>
      </c>
      <c r="H5" s="1" t="s">
        <v>2906</v>
      </c>
      <c r="I5" s="1" t="s">
        <v>2907</v>
      </c>
      <c r="J5" s="1" t="s">
        <v>2907</v>
      </c>
    </row>
    <row r="6" spans="1:10" ht="24" customHeight="1" x14ac:dyDescent="0.2">
      <c r="A6" s="1" t="s">
        <v>1625</v>
      </c>
      <c r="B6" s="116" t="s">
        <v>25</v>
      </c>
      <c r="C6" s="116" t="s">
        <v>1624</v>
      </c>
      <c r="D6" s="116" t="s">
        <v>1465</v>
      </c>
      <c r="E6" s="2" t="s">
        <v>22</v>
      </c>
      <c r="F6" s="1" t="s">
        <v>818</v>
      </c>
      <c r="G6" s="1" t="s">
        <v>2908</v>
      </c>
      <c r="H6" s="1" t="s">
        <v>2909</v>
      </c>
      <c r="I6" s="1" t="s">
        <v>2910</v>
      </c>
      <c r="J6" s="1" t="s">
        <v>2911</v>
      </c>
    </row>
    <row r="7" spans="1:10" ht="24" customHeight="1" x14ac:dyDescent="0.2">
      <c r="A7" s="1" t="s">
        <v>59</v>
      </c>
      <c r="B7" s="116" t="s">
        <v>20</v>
      </c>
      <c r="C7" s="116" t="s">
        <v>60</v>
      </c>
      <c r="D7" s="116">
        <v>25</v>
      </c>
      <c r="E7" s="2" t="s">
        <v>61</v>
      </c>
      <c r="F7" s="1" t="s">
        <v>1657</v>
      </c>
      <c r="G7" s="1" t="s">
        <v>1745</v>
      </c>
      <c r="H7" s="1" t="s">
        <v>1746</v>
      </c>
      <c r="I7" s="1" t="s">
        <v>2912</v>
      </c>
      <c r="J7" s="1" t="s">
        <v>2913</v>
      </c>
    </row>
    <row r="8" spans="1:10" ht="24" customHeight="1" x14ac:dyDescent="0.2">
      <c r="A8" s="1" t="s">
        <v>1213</v>
      </c>
      <c r="B8" s="116" t="s">
        <v>244</v>
      </c>
      <c r="C8" s="116" t="s">
        <v>1212</v>
      </c>
      <c r="D8" s="116" t="s">
        <v>1503</v>
      </c>
      <c r="E8" s="2" t="s">
        <v>213</v>
      </c>
      <c r="F8" s="1" t="s">
        <v>763</v>
      </c>
      <c r="G8" s="1" t="s">
        <v>2914</v>
      </c>
      <c r="H8" s="1" t="s">
        <v>2915</v>
      </c>
      <c r="I8" s="1" t="s">
        <v>2916</v>
      </c>
      <c r="J8" s="1" t="s">
        <v>2917</v>
      </c>
    </row>
    <row r="9" spans="1:10" ht="36" customHeight="1" x14ac:dyDescent="0.2">
      <c r="A9" s="1" t="s">
        <v>585</v>
      </c>
      <c r="B9" s="116" t="s">
        <v>25</v>
      </c>
      <c r="C9" s="116" t="s">
        <v>586</v>
      </c>
      <c r="D9" s="116" t="s">
        <v>1481</v>
      </c>
      <c r="E9" s="2" t="s">
        <v>22</v>
      </c>
      <c r="F9" s="1" t="s">
        <v>824</v>
      </c>
      <c r="G9" s="1" t="s">
        <v>2918</v>
      </c>
      <c r="H9" s="1" t="s">
        <v>2919</v>
      </c>
      <c r="I9" s="1" t="s">
        <v>2920</v>
      </c>
      <c r="J9" s="1" t="s">
        <v>2921</v>
      </c>
    </row>
    <row r="10" spans="1:10" ht="24" customHeight="1" x14ac:dyDescent="0.2">
      <c r="A10" s="1" t="s">
        <v>638</v>
      </c>
      <c r="B10" s="116" t="s">
        <v>20</v>
      </c>
      <c r="C10" s="116" t="s">
        <v>639</v>
      </c>
      <c r="D10" s="116">
        <v>18</v>
      </c>
      <c r="E10" s="2" t="s">
        <v>22</v>
      </c>
      <c r="F10" s="1" t="s">
        <v>1499</v>
      </c>
      <c r="G10" s="1" t="s">
        <v>2922</v>
      </c>
      <c r="H10" s="1" t="s">
        <v>2923</v>
      </c>
      <c r="I10" s="1" t="s">
        <v>786</v>
      </c>
      <c r="J10" s="1" t="s">
        <v>2924</v>
      </c>
    </row>
    <row r="11" spans="1:10" ht="24" customHeight="1" x14ac:dyDescent="0.2">
      <c r="A11" s="1" t="s">
        <v>704</v>
      </c>
      <c r="B11" s="116" t="s">
        <v>25</v>
      </c>
      <c r="C11" s="116" t="s">
        <v>705</v>
      </c>
      <c r="D11" s="116" t="s">
        <v>1398</v>
      </c>
      <c r="E11" s="2" t="s">
        <v>22</v>
      </c>
      <c r="F11" s="1" t="s">
        <v>1502</v>
      </c>
      <c r="G11" s="1" t="s">
        <v>2925</v>
      </c>
      <c r="H11" s="1" t="s">
        <v>2926</v>
      </c>
      <c r="I11" s="1" t="s">
        <v>2927</v>
      </c>
      <c r="J11" s="1" t="s">
        <v>2928</v>
      </c>
    </row>
    <row r="12" spans="1:10" ht="24" customHeight="1" x14ac:dyDescent="0.2">
      <c r="A12" s="1" t="s">
        <v>1240</v>
      </c>
      <c r="B12" s="116" t="s">
        <v>20</v>
      </c>
      <c r="C12" s="116" t="s">
        <v>1239</v>
      </c>
      <c r="D12" s="116">
        <v>21</v>
      </c>
      <c r="E12" s="2" t="s">
        <v>22</v>
      </c>
      <c r="F12" s="1" t="s">
        <v>1500</v>
      </c>
      <c r="G12" s="1" t="s">
        <v>2929</v>
      </c>
      <c r="H12" s="1" t="s">
        <v>2930</v>
      </c>
      <c r="I12" s="1" t="s">
        <v>2931</v>
      </c>
      <c r="J12" s="1" t="s">
        <v>2932</v>
      </c>
    </row>
    <row r="13" spans="1:10" ht="24" customHeight="1" x14ac:dyDescent="0.2">
      <c r="A13" s="1" t="s">
        <v>723</v>
      </c>
      <c r="B13" s="116" t="s">
        <v>25</v>
      </c>
      <c r="C13" s="116" t="s">
        <v>724</v>
      </c>
      <c r="D13" s="116" t="s">
        <v>1398</v>
      </c>
      <c r="E13" s="2" t="s">
        <v>22</v>
      </c>
      <c r="F13" s="1" t="s">
        <v>767</v>
      </c>
      <c r="G13" s="1" t="s">
        <v>2933</v>
      </c>
      <c r="H13" s="1" t="s">
        <v>2934</v>
      </c>
      <c r="I13" s="1" t="s">
        <v>2935</v>
      </c>
      <c r="J13" s="1" t="s">
        <v>2936</v>
      </c>
    </row>
    <row r="14" spans="1:10" ht="48" customHeight="1" x14ac:dyDescent="0.2">
      <c r="A14" s="1" t="s">
        <v>1627</v>
      </c>
      <c r="B14" s="116" t="s">
        <v>25</v>
      </c>
      <c r="C14" s="116" t="s">
        <v>1626</v>
      </c>
      <c r="D14" s="116" t="s">
        <v>1465</v>
      </c>
      <c r="E14" s="2" t="s">
        <v>22</v>
      </c>
      <c r="F14" s="1" t="s">
        <v>1653</v>
      </c>
      <c r="G14" s="1" t="s">
        <v>2937</v>
      </c>
      <c r="H14" s="1" t="s">
        <v>2938</v>
      </c>
      <c r="I14" s="1" t="s">
        <v>2939</v>
      </c>
      <c r="J14" s="1" t="s">
        <v>2940</v>
      </c>
    </row>
    <row r="15" spans="1:10" ht="24" customHeight="1" x14ac:dyDescent="0.2">
      <c r="A15" s="1" t="s">
        <v>63</v>
      </c>
      <c r="B15" s="116" t="s">
        <v>20</v>
      </c>
      <c r="C15" s="116" t="s">
        <v>64</v>
      </c>
      <c r="D15" s="116">
        <v>25</v>
      </c>
      <c r="E15" s="2" t="s">
        <v>61</v>
      </c>
      <c r="F15" s="1" t="s">
        <v>1657</v>
      </c>
      <c r="G15" s="1" t="s">
        <v>1497</v>
      </c>
      <c r="H15" s="1" t="s">
        <v>1678</v>
      </c>
      <c r="I15" s="1" t="s">
        <v>2941</v>
      </c>
      <c r="J15" s="1" t="s">
        <v>2942</v>
      </c>
    </row>
    <row r="16" spans="1:10" ht="24" customHeight="1" x14ac:dyDescent="0.2">
      <c r="A16" s="1" t="s">
        <v>211</v>
      </c>
      <c r="B16" s="116" t="s">
        <v>20</v>
      </c>
      <c r="C16" s="116" t="s">
        <v>212</v>
      </c>
      <c r="D16" s="116">
        <v>7</v>
      </c>
      <c r="E16" s="2" t="s">
        <v>213</v>
      </c>
      <c r="F16" s="1" t="s">
        <v>893</v>
      </c>
      <c r="G16" s="1" t="s">
        <v>2943</v>
      </c>
      <c r="H16" s="1" t="s">
        <v>2944</v>
      </c>
      <c r="I16" s="1" t="s">
        <v>2945</v>
      </c>
      <c r="J16" s="1" t="s">
        <v>2946</v>
      </c>
    </row>
    <row r="17" spans="1:10" ht="24" customHeight="1" x14ac:dyDescent="0.2">
      <c r="A17" s="1" t="s">
        <v>734</v>
      </c>
      <c r="B17" s="116" t="s">
        <v>20</v>
      </c>
      <c r="C17" s="116" t="s">
        <v>735</v>
      </c>
      <c r="D17" s="116">
        <v>18</v>
      </c>
      <c r="E17" s="2" t="s">
        <v>22</v>
      </c>
      <c r="F17" s="1" t="s">
        <v>765</v>
      </c>
      <c r="G17" s="1" t="s">
        <v>2947</v>
      </c>
      <c r="H17" s="1" t="s">
        <v>2948</v>
      </c>
      <c r="I17" s="1" t="s">
        <v>2949</v>
      </c>
      <c r="J17" s="1" t="s">
        <v>2950</v>
      </c>
    </row>
    <row r="18" spans="1:10" ht="24" customHeight="1" x14ac:dyDescent="0.2">
      <c r="A18" s="1" t="s">
        <v>1227</v>
      </c>
      <c r="B18" s="116" t="s">
        <v>249</v>
      </c>
      <c r="C18" s="116" t="s">
        <v>1226</v>
      </c>
      <c r="D18" s="116">
        <v>150</v>
      </c>
      <c r="E18" s="2" t="s">
        <v>22</v>
      </c>
      <c r="F18" s="1" t="s">
        <v>1498</v>
      </c>
      <c r="G18" s="1" t="s">
        <v>2951</v>
      </c>
      <c r="H18" s="1" t="s">
        <v>2952</v>
      </c>
      <c r="I18" s="1" t="s">
        <v>2953</v>
      </c>
      <c r="J18" s="1" t="s">
        <v>2954</v>
      </c>
    </row>
    <row r="19" spans="1:10" ht="24" customHeight="1" x14ac:dyDescent="0.2">
      <c r="A19" s="1" t="s">
        <v>542</v>
      </c>
      <c r="B19" s="116" t="s">
        <v>20</v>
      </c>
      <c r="C19" s="116" t="s">
        <v>543</v>
      </c>
      <c r="D19" s="116">
        <v>20</v>
      </c>
      <c r="E19" s="2" t="s">
        <v>22</v>
      </c>
      <c r="F19" s="1" t="s">
        <v>1496</v>
      </c>
      <c r="G19" s="1" t="s">
        <v>2955</v>
      </c>
      <c r="H19" s="1" t="s">
        <v>2956</v>
      </c>
      <c r="I19" s="1" t="s">
        <v>1747</v>
      </c>
      <c r="J19" s="1" t="s">
        <v>2957</v>
      </c>
    </row>
    <row r="20" spans="1:10" ht="24" customHeight="1" x14ac:dyDescent="0.2">
      <c r="A20" s="1" t="s">
        <v>1281</v>
      </c>
      <c r="B20" s="116" t="s">
        <v>411</v>
      </c>
      <c r="C20" s="116" t="s">
        <v>1280</v>
      </c>
      <c r="D20" s="116" t="s">
        <v>1495</v>
      </c>
      <c r="E20" s="2" t="s">
        <v>1279</v>
      </c>
      <c r="F20" s="1" t="s">
        <v>756</v>
      </c>
      <c r="G20" s="1" t="s">
        <v>2958</v>
      </c>
      <c r="H20" s="1" t="s">
        <v>2959</v>
      </c>
      <c r="I20" s="1" t="s">
        <v>1414</v>
      </c>
      <c r="J20" s="1" t="s">
        <v>2960</v>
      </c>
    </row>
    <row r="21" spans="1:10" ht="24" customHeight="1" x14ac:dyDescent="0.2">
      <c r="A21" s="1" t="s">
        <v>1243</v>
      </c>
      <c r="B21" s="116" t="s">
        <v>25</v>
      </c>
      <c r="C21" s="116" t="s">
        <v>1242</v>
      </c>
      <c r="D21" s="116" t="s">
        <v>1398</v>
      </c>
      <c r="E21" s="2" t="s">
        <v>22</v>
      </c>
      <c r="F21" s="1" t="s">
        <v>773</v>
      </c>
      <c r="G21" s="1" t="s">
        <v>2961</v>
      </c>
      <c r="H21" s="1" t="s">
        <v>2962</v>
      </c>
      <c r="I21" s="1" t="s">
        <v>1748</v>
      </c>
      <c r="J21" s="1" t="s">
        <v>2963</v>
      </c>
    </row>
    <row r="22" spans="1:10" ht="24" customHeight="1" x14ac:dyDescent="0.2">
      <c r="A22" s="1" t="s">
        <v>184</v>
      </c>
      <c r="B22" s="116" t="s">
        <v>20</v>
      </c>
      <c r="C22" s="116" t="s">
        <v>185</v>
      </c>
      <c r="D22" s="116">
        <v>6</v>
      </c>
      <c r="E22" s="2" t="s">
        <v>22</v>
      </c>
      <c r="F22" s="1" t="s">
        <v>1494</v>
      </c>
      <c r="G22" s="1" t="s">
        <v>2964</v>
      </c>
      <c r="H22" s="1" t="s">
        <v>2965</v>
      </c>
      <c r="I22" s="1" t="s">
        <v>1749</v>
      </c>
      <c r="J22" s="1" t="s">
        <v>2966</v>
      </c>
    </row>
    <row r="23" spans="1:10" ht="24" customHeight="1" x14ac:dyDescent="0.2">
      <c r="A23" s="1" t="s">
        <v>189</v>
      </c>
      <c r="B23" s="116" t="s">
        <v>20</v>
      </c>
      <c r="C23" s="116" t="s">
        <v>190</v>
      </c>
      <c r="D23" s="116">
        <v>6</v>
      </c>
      <c r="E23" s="2" t="s">
        <v>22</v>
      </c>
      <c r="F23" s="1" t="s">
        <v>1490</v>
      </c>
      <c r="G23" s="1" t="s">
        <v>2967</v>
      </c>
      <c r="H23" s="1" t="s">
        <v>2968</v>
      </c>
      <c r="I23" s="1" t="s">
        <v>2969</v>
      </c>
      <c r="J23" s="1" t="s">
        <v>2970</v>
      </c>
    </row>
    <row r="24" spans="1:10" ht="24" customHeight="1" x14ac:dyDescent="0.2">
      <c r="A24" s="1" t="s">
        <v>534</v>
      </c>
      <c r="B24" s="116" t="s">
        <v>20</v>
      </c>
      <c r="C24" s="116" t="s">
        <v>535</v>
      </c>
      <c r="D24" s="116">
        <v>19</v>
      </c>
      <c r="E24" s="2" t="s">
        <v>22</v>
      </c>
      <c r="F24" s="1" t="s">
        <v>1493</v>
      </c>
      <c r="G24" s="1" t="s">
        <v>1492</v>
      </c>
      <c r="H24" s="1" t="s">
        <v>1491</v>
      </c>
      <c r="I24" s="1" t="s">
        <v>1750</v>
      </c>
      <c r="J24" s="1" t="s">
        <v>2971</v>
      </c>
    </row>
    <row r="25" spans="1:10" ht="24" customHeight="1" x14ac:dyDescent="0.2">
      <c r="A25" s="1" t="s">
        <v>66</v>
      </c>
      <c r="B25" s="116" t="s">
        <v>20</v>
      </c>
      <c r="C25" s="116" t="s">
        <v>67</v>
      </c>
      <c r="D25" s="116">
        <v>25</v>
      </c>
      <c r="E25" s="2" t="s">
        <v>61</v>
      </c>
      <c r="F25" s="1" t="s">
        <v>1655</v>
      </c>
      <c r="G25" s="1" t="s">
        <v>2972</v>
      </c>
      <c r="H25" s="1" t="s">
        <v>2973</v>
      </c>
      <c r="I25" s="1" t="s">
        <v>2974</v>
      </c>
      <c r="J25" s="1" t="s">
        <v>2975</v>
      </c>
    </row>
    <row r="26" spans="1:10" ht="24" customHeight="1" x14ac:dyDescent="0.2">
      <c r="A26" s="1" t="s">
        <v>738</v>
      </c>
      <c r="B26" s="116" t="s">
        <v>25</v>
      </c>
      <c r="C26" s="116" t="s">
        <v>739</v>
      </c>
      <c r="D26" s="116" t="s">
        <v>1398</v>
      </c>
      <c r="E26" s="2" t="s">
        <v>92</v>
      </c>
      <c r="F26" s="1" t="s">
        <v>762</v>
      </c>
      <c r="G26" s="1" t="s">
        <v>2976</v>
      </c>
      <c r="H26" s="1" t="s">
        <v>2977</v>
      </c>
      <c r="I26" s="1" t="s">
        <v>1751</v>
      </c>
      <c r="J26" s="1" t="s">
        <v>2978</v>
      </c>
    </row>
    <row r="27" spans="1:10" ht="60" customHeight="1" x14ac:dyDescent="0.2">
      <c r="A27" s="1" t="s">
        <v>622</v>
      </c>
      <c r="B27" s="116" t="s">
        <v>20</v>
      </c>
      <c r="C27" s="116" t="s">
        <v>623</v>
      </c>
      <c r="D27" s="116">
        <v>22</v>
      </c>
      <c r="E27" s="2" t="s">
        <v>22</v>
      </c>
      <c r="F27" s="1" t="s">
        <v>814</v>
      </c>
      <c r="G27" s="1" t="s">
        <v>2979</v>
      </c>
      <c r="H27" s="1" t="s">
        <v>2980</v>
      </c>
      <c r="I27" s="1" t="s">
        <v>2981</v>
      </c>
      <c r="J27" s="1" t="s">
        <v>2982</v>
      </c>
    </row>
    <row r="28" spans="1:10" ht="36" customHeight="1" x14ac:dyDescent="0.2">
      <c r="A28" s="1" t="s">
        <v>554</v>
      </c>
      <c r="B28" s="116" t="s">
        <v>20</v>
      </c>
      <c r="C28" s="116" t="s">
        <v>555</v>
      </c>
      <c r="D28" s="116">
        <v>26</v>
      </c>
      <c r="E28" s="2" t="s">
        <v>22</v>
      </c>
      <c r="F28" s="1" t="s">
        <v>1455</v>
      </c>
      <c r="G28" s="1" t="s">
        <v>1418</v>
      </c>
      <c r="H28" s="1" t="s">
        <v>2983</v>
      </c>
      <c r="I28" s="1" t="s">
        <v>1677</v>
      </c>
      <c r="J28" s="1" t="s">
        <v>2984</v>
      </c>
    </row>
    <row r="29" spans="1:10" ht="24" customHeight="1" x14ac:dyDescent="0.2">
      <c r="A29" s="1" t="s">
        <v>146</v>
      </c>
      <c r="B29" s="116" t="s">
        <v>20</v>
      </c>
      <c r="C29" s="116" t="s">
        <v>147</v>
      </c>
      <c r="D29" s="116">
        <v>6</v>
      </c>
      <c r="E29" s="2" t="s">
        <v>22</v>
      </c>
      <c r="F29" s="1" t="s">
        <v>1489</v>
      </c>
      <c r="G29" s="1" t="s">
        <v>2985</v>
      </c>
      <c r="H29" s="1" t="s">
        <v>2986</v>
      </c>
      <c r="I29" s="1" t="s">
        <v>2987</v>
      </c>
      <c r="J29" s="1" t="s">
        <v>2988</v>
      </c>
    </row>
    <row r="30" spans="1:10" ht="24" customHeight="1" x14ac:dyDescent="0.2">
      <c r="A30" s="1" t="s">
        <v>1238</v>
      </c>
      <c r="B30" s="116" t="s">
        <v>20</v>
      </c>
      <c r="C30" s="116" t="s">
        <v>1237</v>
      </c>
      <c r="D30" s="116">
        <v>21</v>
      </c>
      <c r="E30" s="2" t="s">
        <v>213</v>
      </c>
      <c r="F30" s="1" t="s">
        <v>1484</v>
      </c>
      <c r="G30" s="1" t="s">
        <v>2989</v>
      </c>
      <c r="H30" s="1" t="s">
        <v>2990</v>
      </c>
      <c r="I30" s="1" t="s">
        <v>1752</v>
      </c>
      <c r="J30" s="1" t="s">
        <v>2991</v>
      </c>
    </row>
    <row r="31" spans="1:10" ht="24" customHeight="1" x14ac:dyDescent="0.2">
      <c r="A31" s="1" t="s">
        <v>684</v>
      </c>
      <c r="B31" s="116" t="s">
        <v>20</v>
      </c>
      <c r="C31" s="116" t="s">
        <v>685</v>
      </c>
      <c r="D31" s="116">
        <v>6</v>
      </c>
      <c r="E31" s="2" t="s">
        <v>49</v>
      </c>
      <c r="F31" s="1" t="s">
        <v>1488</v>
      </c>
      <c r="G31" s="1" t="s">
        <v>2992</v>
      </c>
      <c r="H31" s="1" t="s">
        <v>2993</v>
      </c>
      <c r="I31" s="1" t="s">
        <v>2994</v>
      </c>
      <c r="J31" s="1" t="s">
        <v>2995</v>
      </c>
    </row>
    <row r="32" spans="1:10" ht="24" customHeight="1" x14ac:dyDescent="0.2">
      <c r="A32" s="1" t="s">
        <v>563</v>
      </c>
      <c r="B32" s="116" t="s">
        <v>20</v>
      </c>
      <c r="C32" s="116" t="s">
        <v>564</v>
      </c>
      <c r="D32" s="116">
        <v>26</v>
      </c>
      <c r="E32" s="2" t="s">
        <v>22</v>
      </c>
      <c r="F32" s="1" t="s">
        <v>1487</v>
      </c>
      <c r="G32" s="1" t="s">
        <v>2996</v>
      </c>
      <c r="H32" s="1" t="s">
        <v>2997</v>
      </c>
      <c r="I32" s="1" t="s">
        <v>1754</v>
      </c>
      <c r="J32" s="1" t="s">
        <v>2998</v>
      </c>
    </row>
    <row r="33" spans="1:10" ht="24" customHeight="1" x14ac:dyDescent="0.2">
      <c r="A33" s="1" t="s">
        <v>647</v>
      </c>
      <c r="B33" s="116" t="s">
        <v>20</v>
      </c>
      <c r="C33" s="116" t="s">
        <v>648</v>
      </c>
      <c r="D33" s="116">
        <v>17</v>
      </c>
      <c r="E33" s="2" t="s">
        <v>246</v>
      </c>
      <c r="F33" s="1" t="s">
        <v>1480</v>
      </c>
      <c r="G33" s="1" t="s">
        <v>2999</v>
      </c>
      <c r="H33" s="1" t="s">
        <v>3000</v>
      </c>
      <c r="I33" s="1" t="s">
        <v>1755</v>
      </c>
      <c r="J33" s="1" t="s">
        <v>3001</v>
      </c>
    </row>
    <row r="34" spans="1:10" ht="24" customHeight="1" x14ac:dyDescent="0.2">
      <c r="A34" s="1" t="s">
        <v>551</v>
      </c>
      <c r="B34" s="116" t="s">
        <v>20</v>
      </c>
      <c r="C34" s="116" t="s">
        <v>552</v>
      </c>
      <c r="D34" s="116">
        <v>26</v>
      </c>
      <c r="E34" s="2" t="s">
        <v>22</v>
      </c>
      <c r="F34" s="1" t="s">
        <v>1455</v>
      </c>
      <c r="G34" s="1" t="s">
        <v>3002</v>
      </c>
      <c r="H34" s="1" t="s">
        <v>3003</v>
      </c>
      <c r="I34" s="1" t="s">
        <v>1756</v>
      </c>
      <c r="J34" s="1" t="s">
        <v>3004</v>
      </c>
    </row>
    <row r="35" spans="1:10" ht="24" customHeight="1" x14ac:dyDescent="0.2">
      <c r="A35" s="1" t="s">
        <v>518</v>
      </c>
      <c r="B35" s="116" t="s">
        <v>20</v>
      </c>
      <c r="C35" s="116" t="s">
        <v>519</v>
      </c>
      <c r="D35" s="116">
        <v>10</v>
      </c>
      <c r="E35" s="2" t="s">
        <v>22</v>
      </c>
      <c r="F35" s="1" t="s">
        <v>845</v>
      </c>
      <c r="G35" s="1" t="s">
        <v>3005</v>
      </c>
      <c r="H35" s="1" t="s">
        <v>3006</v>
      </c>
      <c r="I35" s="1" t="s">
        <v>1757</v>
      </c>
      <c r="J35" s="1" t="s">
        <v>3007</v>
      </c>
    </row>
    <row r="36" spans="1:10" ht="24" customHeight="1" x14ac:dyDescent="0.2">
      <c r="A36" s="1" t="s">
        <v>750</v>
      </c>
      <c r="B36" s="116" t="s">
        <v>20</v>
      </c>
      <c r="C36" s="116" t="s">
        <v>751</v>
      </c>
      <c r="D36" s="116">
        <v>27</v>
      </c>
      <c r="E36" s="2" t="s">
        <v>213</v>
      </c>
      <c r="F36" s="1" t="s">
        <v>795</v>
      </c>
      <c r="G36" s="1" t="s">
        <v>3008</v>
      </c>
      <c r="H36" s="1" t="s">
        <v>3009</v>
      </c>
      <c r="I36" s="1" t="s">
        <v>1757</v>
      </c>
      <c r="J36" s="1" t="s">
        <v>3010</v>
      </c>
    </row>
    <row r="37" spans="1:10" ht="24" customHeight="1" x14ac:dyDescent="0.2">
      <c r="A37" s="1" t="s">
        <v>1278</v>
      </c>
      <c r="B37" s="116" t="s">
        <v>244</v>
      </c>
      <c r="C37" s="116" t="s">
        <v>1277</v>
      </c>
      <c r="D37" s="116" t="s">
        <v>1483</v>
      </c>
      <c r="E37" s="2" t="s">
        <v>213</v>
      </c>
      <c r="F37" s="1" t="s">
        <v>1482</v>
      </c>
      <c r="G37" s="1" t="s">
        <v>3011</v>
      </c>
      <c r="H37" s="1" t="s">
        <v>3012</v>
      </c>
      <c r="I37" s="1" t="s">
        <v>1758</v>
      </c>
      <c r="J37" s="1" t="s">
        <v>3013</v>
      </c>
    </row>
    <row r="38" spans="1:10" ht="24" customHeight="1" x14ac:dyDescent="0.2">
      <c r="A38" s="1" t="s">
        <v>531</v>
      </c>
      <c r="B38" s="116" t="s">
        <v>20</v>
      </c>
      <c r="C38" s="116" t="s">
        <v>532</v>
      </c>
      <c r="D38" s="116">
        <v>15</v>
      </c>
      <c r="E38" s="2" t="s">
        <v>96</v>
      </c>
      <c r="F38" s="1" t="s">
        <v>838</v>
      </c>
      <c r="G38" s="1" t="s">
        <v>3014</v>
      </c>
      <c r="H38" s="1" t="s">
        <v>3015</v>
      </c>
      <c r="I38" s="1" t="s">
        <v>921</v>
      </c>
      <c r="J38" s="1" t="s">
        <v>3016</v>
      </c>
    </row>
    <row r="39" spans="1:10" ht="48" customHeight="1" x14ac:dyDescent="0.2">
      <c r="A39" s="1" t="s">
        <v>582</v>
      </c>
      <c r="B39" s="116" t="s">
        <v>25</v>
      </c>
      <c r="C39" s="116" t="s">
        <v>583</v>
      </c>
      <c r="D39" s="116" t="s">
        <v>1481</v>
      </c>
      <c r="E39" s="2" t="s">
        <v>22</v>
      </c>
      <c r="F39" s="1" t="s">
        <v>824</v>
      </c>
      <c r="G39" s="1" t="s">
        <v>3017</v>
      </c>
      <c r="H39" s="1" t="s">
        <v>3018</v>
      </c>
      <c r="I39" s="1" t="s">
        <v>1473</v>
      </c>
      <c r="J39" s="1"/>
    </row>
    <row r="40" spans="1:10" ht="24" customHeight="1" x14ac:dyDescent="0.2">
      <c r="A40" s="1" t="s">
        <v>524</v>
      </c>
      <c r="B40" s="116" t="s">
        <v>25</v>
      </c>
      <c r="C40" s="116" t="s">
        <v>525</v>
      </c>
      <c r="D40" s="116" t="s">
        <v>1479</v>
      </c>
      <c r="E40" s="2" t="s">
        <v>22</v>
      </c>
      <c r="F40" s="1" t="s">
        <v>842</v>
      </c>
      <c r="G40" s="1" t="s">
        <v>3019</v>
      </c>
      <c r="H40" s="1" t="s">
        <v>3020</v>
      </c>
      <c r="I40" s="1" t="s">
        <v>928</v>
      </c>
      <c r="J40" s="1" t="s">
        <v>3021</v>
      </c>
    </row>
    <row r="41" spans="1:10" ht="24" customHeight="1" x14ac:dyDescent="0.2">
      <c r="A41" s="1" t="s">
        <v>713</v>
      </c>
      <c r="B41" s="116" t="s">
        <v>25</v>
      </c>
      <c r="C41" s="116" t="s">
        <v>714</v>
      </c>
      <c r="D41" s="116" t="s">
        <v>1474</v>
      </c>
      <c r="E41" s="2" t="s">
        <v>92</v>
      </c>
      <c r="F41" s="1" t="s">
        <v>771</v>
      </c>
      <c r="G41" s="1" t="s">
        <v>3022</v>
      </c>
      <c r="H41" s="1" t="s">
        <v>3023</v>
      </c>
      <c r="I41" s="1" t="s">
        <v>1471</v>
      </c>
      <c r="J41" s="1" t="s">
        <v>3024</v>
      </c>
    </row>
    <row r="42" spans="1:10" ht="48" customHeight="1" x14ac:dyDescent="0.2">
      <c r="A42" s="1" t="s">
        <v>560</v>
      </c>
      <c r="B42" s="116" t="s">
        <v>244</v>
      </c>
      <c r="C42" s="116" t="s">
        <v>561</v>
      </c>
      <c r="D42" s="116" t="s">
        <v>1478</v>
      </c>
      <c r="E42" s="2" t="s">
        <v>22</v>
      </c>
      <c r="F42" s="1" t="s">
        <v>833</v>
      </c>
      <c r="G42" s="1" t="s">
        <v>3025</v>
      </c>
      <c r="H42" s="1" t="s">
        <v>3026</v>
      </c>
      <c r="I42" s="1" t="s">
        <v>1471</v>
      </c>
      <c r="J42" s="1" t="s">
        <v>3027</v>
      </c>
    </row>
    <row r="43" spans="1:10" ht="24" customHeight="1" x14ac:dyDescent="0.2">
      <c r="A43" s="1" t="s">
        <v>607</v>
      </c>
      <c r="B43" s="116" t="s">
        <v>20</v>
      </c>
      <c r="C43" s="116" t="s">
        <v>608</v>
      </c>
      <c r="D43" s="116">
        <v>22</v>
      </c>
      <c r="E43" s="2" t="s">
        <v>22</v>
      </c>
      <c r="F43" s="1" t="s">
        <v>1475</v>
      </c>
      <c r="G43" s="1" t="s">
        <v>3028</v>
      </c>
      <c r="H43" s="1" t="s">
        <v>3029</v>
      </c>
      <c r="I43" s="1" t="s">
        <v>1760</v>
      </c>
      <c r="J43" s="1" t="s">
        <v>3030</v>
      </c>
    </row>
    <row r="44" spans="1:10" ht="36" customHeight="1" x14ac:dyDescent="0.2">
      <c r="A44" s="1" t="s">
        <v>1209</v>
      </c>
      <c r="B44" s="116" t="s">
        <v>25</v>
      </c>
      <c r="C44" s="116" t="s">
        <v>1208</v>
      </c>
      <c r="D44" s="116" t="s">
        <v>1424</v>
      </c>
      <c r="E44" s="2" t="s">
        <v>22</v>
      </c>
      <c r="F44" s="1" t="s">
        <v>1476</v>
      </c>
      <c r="G44" s="1" t="s">
        <v>3031</v>
      </c>
      <c r="H44" s="1" t="s">
        <v>3032</v>
      </c>
      <c r="I44" s="1" t="s">
        <v>1469</v>
      </c>
      <c r="J44" s="1" t="s">
        <v>3033</v>
      </c>
    </row>
    <row r="45" spans="1:10" ht="24" customHeight="1" x14ac:dyDescent="0.2">
      <c r="A45" s="1" t="s">
        <v>657</v>
      </c>
      <c r="B45" s="116" t="s">
        <v>20</v>
      </c>
      <c r="C45" s="116" t="s">
        <v>658</v>
      </c>
      <c r="D45" s="116">
        <v>18</v>
      </c>
      <c r="E45" s="2" t="s">
        <v>22</v>
      </c>
      <c r="F45" s="1" t="s">
        <v>1467</v>
      </c>
      <c r="G45" s="1" t="s">
        <v>3034</v>
      </c>
      <c r="H45" s="1" t="s">
        <v>3035</v>
      </c>
      <c r="I45" s="1" t="s">
        <v>1676</v>
      </c>
      <c r="J45" s="1" t="s">
        <v>3036</v>
      </c>
    </row>
    <row r="46" spans="1:10" ht="24" customHeight="1" x14ac:dyDescent="0.2">
      <c r="A46" s="1" t="s">
        <v>360</v>
      </c>
      <c r="B46" s="116" t="s">
        <v>20</v>
      </c>
      <c r="C46" s="116" t="s">
        <v>361</v>
      </c>
      <c r="D46" s="116">
        <v>8</v>
      </c>
      <c r="E46" s="2" t="s">
        <v>246</v>
      </c>
      <c r="F46" s="1" t="s">
        <v>871</v>
      </c>
      <c r="G46" s="1" t="s">
        <v>1761</v>
      </c>
      <c r="H46" s="1" t="s">
        <v>1762</v>
      </c>
      <c r="I46" s="1" t="s">
        <v>3037</v>
      </c>
      <c r="J46" s="1" t="s">
        <v>3038</v>
      </c>
    </row>
    <row r="47" spans="1:10" ht="24" customHeight="1" x14ac:dyDescent="0.2">
      <c r="A47" s="1" t="s">
        <v>548</v>
      </c>
      <c r="B47" s="116" t="s">
        <v>20</v>
      </c>
      <c r="C47" s="116" t="s">
        <v>549</v>
      </c>
      <c r="D47" s="116">
        <v>20</v>
      </c>
      <c r="E47" s="2" t="s">
        <v>22</v>
      </c>
      <c r="F47" s="1" t="s">
        <v>834</v>
      </c>
      <c r="G47" s="1" t="s">
        <v>3039</v>
      </c>
      <c r="H47" s="1" t="s">
        <v>3040</v>
      </c>
      <c r="I47" s="1" t="s">
        <v>1763</v>
      </c>
      <c r="J47" s="1" t="s">
        <v>3041</v>
      </c>
    </row>
    <row r="48" spans="1:10" ht="36" customHeight="1" x14ac:dyDescent="0.2">
      <c r="A48" s="1" t="s">
        <v>1647</v>
      </c>
      <c r="B48" s="116" t="s">
        <v>20</v>
      </c>
      <c r="C48" s="116" t="s">
        <v>1646</v>
      </c>
      <c r="D48" s="116">
        <v>7</v>
      </c>
      <c r="E48" s="2" t="s">
        <v>92</v>
      </c>
      <c r="F48" s="1" t="s">
        <v>1707</v>
      </c>
      <c r="G48" s="1" t="s">
        <v>3042</v>
      </c>
      <c r="H48" s="1" t="s">
        <v>3043</v>
      </c>
      <c r="I48" s="1" t="s">
        <v>1764</v>
      </c>
      <c r="J48" s="1" t="s">
        <v>3044</v>
      </c>
    </row>
    <row r="49" spans="1:10" ht="24" customHeight="1" x14ac:dyDescent="0.2">
      <c r="A49" s="1" t="s">
        <v>2842</v>
      </c>
      <c r="B49" s="116" t="s">
        <v>411</v>
      </c>
      <c r="C49" s="116" t="s">
        <v>1335</v>
      </c>
      <c r="D49" s="116">
        <v>203</v>
      </c>
      <c r="E49" s="2" t="s">
        <v>22</v>
      </c>
      <c r="F49" s="1" t="s">
        <v>1459</v>
      </c>
      <c r="G49" s="1" t="s">
        <v>3045</v>
      </c>
      <c r="H49" s="1" t="s">
        <v>3046</v>
      </c>
      <c r="I49" s="1" t="s">
        <v>1764</v>
      </c>
      <c r="J49" s="1" t="s">
        <v>3047</v>
      </c>
    </row>
    <row r="50" spans="1:10" ht="24" customHeight="1" x14ac:dyDescent="0.2">
      <c r="A50" s="1" t="s">
        <v>29</v>
      </c>
      <c r="B50" s="116" t="s">
        <v>25</v>
      </c>
      <c r="C50" s="116" t="s">
        <v>30</v>
      </c>
      <c r="D50" s="116" t="s">
        <v>1472</v>
      </c>
      <c r="E50" s="2" t="s">
        <v>22</v>
      </c>
      <c r="F50" s="1" t="s">
        <v>793</v>
      </c>
      <c r="G50" s="1" t="s">
        <v>3048</v>
      </c>
      <c r="H50" s="1" t="s">
        <v>3049</v>
      </c>
      <c r="I50" s="1" t="s">
        <v>1675</v>
      </c>
      <c r="J50" s="1" t="s">
        <v>3050</v>
      </c>
    </row>
    <row r="51" spans="1:10" ht="24" customHeight="1" x14ac:dyDescent="0.2">
      <c r="A51" s="1" t="s">
        <v>409</v>
      </c>
      <c r="B51" s="116" t="s">
        <v>25</v>
      </c>
      <c r="C51" s="116" t="s">
        <v>410</v>
      </c>
      <c r="D51" s="116" t="s">
        <v>1477</v>
      </c>
      <c r="E51" s="2" t="s">
        <v>92</v>
      </c>
      <c r="F51" s="1" t="s">
        <v>795</v>
      </c>
      <c r="G51" s="1" t="s">
        <v>3051</v>
      </c>
      <c r="H51" s="1" t="s">
        <v>3052</v>
      </c>
      <c r="I51" s="1" t="s">
        <v>3053</v>
      </c>
      <c r="J51" s="1" t="s">
        <v>3054</v>
      </c>
    </row>
    <row r="52" spans="1:10" ht="24" customHeight="1" x14ac:dyDescent="0.2">
      <c r="A52" s="1" t="s">
        <v>252</v>
      </c>
      <c r="B52" s="116" t="s">
        <v>249</v>
      </c>
      <c r="C52" s="116" t="s">
        <v>253</v>
      </c>
      <c r="D52" s="116">
        <v>60</v>
      </c>
      <c r="E52" s="2" t="s">
        <v>236</v>
      </c>
      <c r="F52" s="1" t="s">
        <v>1470</v>
      </c>
      <c r="G52" s="1" t="s">
        <v>3055</v>
      </c>
      <c r="H52" s="1" t="s">
        <v>3056</v>
      </c>
      <c r="I52" s="1" t="s">
        <v>1765</v>
      </c>
      <c r="J52" s="1" t="s">
        <v>3057</v>
      </c>
    </row>
    <row r="53" spans="1:10" ht="24" customHeight="1" x14ac:dyDescent="0.2">
      <c r="A53" s="1" t="s">
        <v>601</v>
      </c>
      <c r="B53" s="116" t="s">
        <v>20</v>
      </c>
      <c r="C53" s="116" t="s">
        <v>602</v>
      </c>
      <c r="D53" s="116">
        <v>22</v>
      </c>
      <c r="E53" s="2" t="s">
        <v>213</v>
      </c>
      <c r="F53" s="1" t="s">
        <v>817</v>
      </c>
      <c r="G53" s="1" t="s">
        <v>1766</v>
      </c>
      <c r="H53" s="1" t="s">
        <v>1767</v>
      </c>
      <c r="I53" s="1" t="s">
        <v>1466</v>
      </c>
      <c r="J53" s="1" t="s">
        <v>3058</v>
      </c>
    </row>
    <row r="54" spans="1:10" ht="24" customHeight="1" x14ac:dyDescent="0.2">
      <c r="A54" s="1" t="s">
        <v>619</v>
      </c>
      <c r="B54" s="116" t="s">
        <v>20</v>
      </c>
      <c r="C54" s="116" t="s">
        <v>620</v>
      </c>
      <c r="D54" s="116">
        <v>27</v>
      </c>
      <c r="E54" s="2" t="s">
        <v>22</v>
      </c>
      <c r="F54" s="1" t="s">
        <v>815</v>
      </c>
      <c r="G54" s="1" t="s">
        <v>3059</v>
      </c>
      <c r="H54" s="1" t="s">
        <v>3060</v>
      </c>
      <c r="I54" s="1" t="s">
        <v>1674</v>
      </c>
      <c r="J54" s="1" t="s">
        <v>3061</v>
      </c>
    </row>
    <row r="55" spans="1:10" ht="24" customHeight="1" x14ac:dyDescent="0.2">
      <c r="A55" s="1" t="s">
        <v>196</v>
      </c>
      <c r="B55" s="116" t="s">
        <v>20</v>
      </c>
      <c r="C55" s="116" t="s">
        <v>197</v>
      </c>
      <c r="D55" s="116">
        <v>7</v>
      </c>
      <c r="E55" s="2" t="s">
        <v>92</v>
      </c>
      <c r="F55" s="1" t="s">
        <v>895</v>
      </c>
      <c r="G55" s="1" t="s">
        <v>3062</v>
      </c>
      <c r="H55" s="1" t="s">
        <v>3063</v>
      </c>
      <c r="I55" s="1" t="s">
        <v>1461</v>
      </c>
      <c r="J55" s="1" t="s">
        <v>3064</v>
      </c>
    </row>
    <row r="56" spans="1:10" ht="24" customHeight="1" x14ac:dyDescent="0.2">
      <c r="A56" s="1" t="s">
        <v>592</v>
      </c>
      <c r="B56" s="116" t="s">
        <v>20</v>
      </c>
      <c r="C56" s="116" t="s">
        <v>593</v>
      </c>
      <c r="D56" s="116">
        <v>16</v>
      </c>
      <c r="E56" s="2" t="s">
        <v>22</v>
      </c>
      <c r="F56" s="1" t="s">
        <v>821</v>
      </c>
      <c r="G56" s="1" t="s">
        <v>3065</v>
      </c>
      <c r="H56" s="1" t="s">
        <v>3066</v>
      </c>
      <c r="I56" s="1" t="s">
        <v>1673</v>
      </c>
      <c r="J56" s="1" t="s">
        <v>3067</v>
      </c>
    </row>
    <row r="57" spans="1:10" ht="24" customHeight="1" x14ac:dyDescent="0.2">
      <c r="A57" s="1" t="s">
        <v>571</v>
      </c>
      <c r="B57" s="116" t="s">
        <v>20</v>
      </c>
      <c r="C57" s="116" t="s">
        <v>572</v>
      </c>
      <c r="D57" s="116">
        <v>12</v>
      </c>
      <c r="E57" s="2" t="s">
        <v>22</v>
      </c>
      <c r="F57" s="1" t="s">
        <v>829</v>
      </c>
      <c r="G57" s="1" t="s">
        <v>3068</v>
      </c>
      <c r="H57" s="1" t="s">
        <v>3069</v>
      </c>
      <c r="I57" s="1" t="s">
        <v>1672</v>
      </c>
      <c r="J57" s="1" t="s">
        <v>3070</v>
      </c>
    </row>
    <row r="58" spans="1:10" ht="36" customHeight="1" x14ac:dyDescent="0.2">
      <c r="A58" s="1" t="s">
        <v>1327</v>
      </c>
      <c r="B58" s="116" t="s">
        <v>25</v>
      </c>
      <c r="C58" s="116" t="s">
        <v>1326</v>
      </c>
      <c r="D58" s="116" t="s">
        <v>1415</v>
      </c>
      <c r="E58" s="2" t="s">
        <v>92</v>
      </c>
      <c r="F58" s="1" t="s">
        <v>1468</v>
      </c>
      <c r="G58" s="1" t="s">
        <v>3071</v>
      </c>
      <c r="H58" s="1" t="s">
        <v>3072</v>
      </c>
      <c r="I58" s="1" t="s">
        <v>1672</v>
      </c>
      <c r="J58" s="1" t="s">
        <v>3073</v>
      </c>
    </row>
    <row r="59" spans="1:10" ht="24" customHeight="1" x14ac:dyDescent="0.2">
      <c r="A59" s="1" t="s">
        <v>392</v>
      </c>
      <c r="B59" s="116" t="s">
        <v>20</v>
      </c>
      <c r="C59" s="116" t="s">
        <v>393</v>
      </c>
      <c r="D59" s="116">
        <v>8</v>
      </c>
      <c r="E59" s="2" t="s">
        <v>92</v>
      </c>
      <c r="F59" s="1" t="s">
        <v>1438</v>
      </c>
      <c r="G59" s="1" t="s">
        <v>3074</v>
      </c>
      <c r="H59" s="1" t="s">
        <v>3075</v>
      </c>
      <c r="I59" s="1" t="s">
        <v>1672</v>
      </c>
      <c r="J59" s="1" t="s">
        <v>3076</v>
      </c>
    </row>
    <row r="60" spans="1:10" ht="24" customHeight="1" x14ac:dyDescent="0.2">
      <c r="A60" s="1" t="s">
        <v>343</v>
      </c>
      <c r="B60" s="116" t="s">
        <v>20</v>
      </c>
      <c r="C60" s="116" t="s">
        <v>344</v>
      </c>
      <c r="D60" s="116">
        <v>8</v>
      </c>
      <c r="E60" s="2" t="s">
        <v>246</v>
      </c>
      <c r="F60" s="1" t="s">
        <v>858</v>
      </c>
      <c r="G60" s="1" t="s">
        <v>3077</v>
      </c>
      <c r="H60" s="1" t="s">
        <v>3078</v>
      </c>
      <c r="I60" s="1" t="s">
        <v>1460</v>
      </c>
      <c r="J60" s="1" t="s">
        <v>3079</v>
      </c>
    </row>
    <row r="61" spans="1:10" ht="24" customHeight="1" x14ac:dyDescent="0.2">
      <c r="A61" s="1" t="s">
        <v>616</v>
      </c>
      <c r="B61" s="116" t="s">
        <v>25</v>
      </c>
      <c r="C61" s="116" t="s">
        <v>617</v>
      </c>
      <c r="D61" s="116" t="s">
        <v>1465</v>
      </c>
      <c r="E61" s="2" t="s">
        <v>22</v>
      </c>
      <c r="F61" s="1" t="s">
        <v>1464</v>
      </c>
      <c r="G61" s="1" t="s">
        <v>3080</v>
      </c>
      <c r="H61" s="1" t="s">
        <v>3081</v>
      </c>
      <c r="I61" s="1" t="s">
        <v>1844</v>
      </c>
      <c r="J61" s="1" t="s">
        <v>3082</v>
      </c>
    </row>
    <row r="62" spans="1:10" ht="24" customHeight="1" x14ac:dyDescent="0.2">
      <c r="A62" s="1" t="s">
        <v>741</v>
      </c>
      <c r="B62" s="116" t="s">
        <v>20</v>
      </c>
      <c r="C62" s="116" t="s">
        <v>742</v>
      </c>
      <c r="D62" s="116">
        <v>27</v>
      </c>
      <c r="E62" s="2" t="s">
        <v>22</v>
      </c>
      <c r="F62" s="1" t="s">
        <v>760</v>
      </c>
      <c r="G62" s="1" t="s">
        <v>3083</v>
      </c>
      <c r="H62" s="1" t="s">
        <v>3084</v>
      </c>
      <c r="I62" s="1" t="s">
        <v>1731</v>
      </c>
      <c r="J62" s="1" t="s">
        <v>3085</v>
      </c>
    </row>
    <row r="63" spans="1:10" ht="24" customHeight="1" x14ac:dyDescent="0.2">
      <c r="A63" s="1" t="s">
        <v>1206</v>
      </c>
      <c r="B63" s="116" t="s">
        <v>25</v>
      </c>
      <c r="C63" s="116" t="s">
        <v>1205</v>
      </c>
      <c r="D63" s="116" t="s">
        <v>1463</v>
      </c>
      <c r="E63" s="2" t="s">
        <v>236</v>
      </c>
      <c r="F63" s="1" t="s">
        <v>1462</v>
      </c>
      <c r="G63" s="1" t="s">
        <v>3086</v>
      </c>
      <c r="H63" s="1" t="s">
        <v>3087</v>
      </c>
      <c r="I63" s="1" t="s">
        <v>1768</v>
      </c>
      <c r="J63" s="1" t="s">
        <v>3088</v>
      </c>
    </row>
    <row r="64" spans="1:10" ht="48" customHeight="1" x14ac:dyDescent="0.2">
      <c r="A64" s="1" t="s">
        <v>39</v>
      </c>
      <c r="B64" s="116" t="s">
        <v>20</v>
      </c>
      <c r="C64" s="116" t="s">
        <v>40</v>
      </c>
      <c r="D64" s="116">
        <v>2</v>
      </c>
      <c r="E64" s="2" t="s">
        <v>37</v>
      </c>
      <c r="F64" s="1" t="s">
        <v>802</v>
      </c>
      <c r="G64" s="1" t="s">
        <v>3089</v>
      </c>
      <c r="H64" s="1" t="s">
        <v>3089</v>
      </c>
      <c r="I64" s="1" t="s">
        <v>1736</v>
      </c>
      <c r="J64" s="1" t="s">
        <v>3090</v>
      </c>
    </row>
    <row r="65" spans="1:10" ht="24" customHeight="1" x14ac:dyDescent="0.2">
      <c r="A65" s="1" t="s">
        <v>528</v>
      </c>
      <c r="B65" s="116" t="s">
        <v>20</v>
      </c>
      <c r="C65" s="116" t="s">
        <v>529</v>
      </c>
      <c r="D65" s="116">
        <v>10</v>
      </c>
      <c r="E65" s="2" t="s">
        <v>22</v>
      </c>
      <c r="F65" s="1" t="s">
        <v>840</v>
      </c>
      <c r="G65" s="1" t="s">
        <v>3091</v>
      </c>
      <c r="H65" s="1" t="s">
        <v>3092</v>
      </c>
      <c r="I65" s="1" t="s">
        <v>1454</v>
      </c>
      <c r="J65" s="1" t="s">
        <v>3093</v>
      </c>
    </row>
    <row r="66" spans="1:10" ht="24" customHeight="1" x14ac:dyDescent="0.2">
      <c r="A66" s="1" t="s">
        <v>224</v>
      </c>
      <c r="B66" s="116" t="s">
        <v>20</v>
      </c>
      <c r="C66" s="116" t="s">
        <v>225</v>
      </c>
      <c r="D66" s="116">
        <v>7</v>
      </c>
      <c r="E66" s="2" t="s">
        <v>92</v>
      </c>
      <c r="F66" s="1" t="s">
        <v>890</v>
      </c>
      <c r="G66" s="1" t="s">
        <v>3094</v>
      </c>
      <c r="H66" s="1" t="s">
        <v>3095</v>
      </c>
      <c r="I66" s="1" t="s">
        <v>1671</v>
      </c>
      <c r="J66" s="1" t="s">
        <v>3096</v>
      </c>
    </row>
    <row r="67" spans="1:10" ht="24" customHeight="1" x14ac:dyDescent="0.2">
      <c r="A67" s="1" t="s">
        <v>150</v>
      </c>
      <c r="B67" s="116" t="s">
        <v>20</v>
      </c>
      <c r="C67" s="116" t="s">
        <v>99</v>
      </c>
      <c r="D67" s="116">
        <v>6</v>
      </c>
      <c r="E67" s="2" t="s">
        <v>96</v>
      </c>
      <c r="F67" s="1" t="s">
        <v>1458</v>
      </c>
      <c r="G67" s="1" t="s">
        <v>3097</v>
      </c>
      <c r="H67" s="1" t="s">
        <v>3098</v>
      </c>
      <c r="I67" s="1" t="s">
        <v>1671</v>
      </c>
      <c r="J67" s="1" t="s">
        <v>3099</v>
      </c>
    </row>
    <row r="68" spans="1:10" ht="24" customHeight="1" x14ac:dyDescent="0.2">
      <c r="A68" s="1" t="s">
        <v>161</v>
      </c>
      <c r="B68" s="116" t="s">
        <v>20</v>
      </c>
      <c r="C68" s="116" t="s">
        <v>131</v>
      </c>
      <c r="D68" s="116">
        <v>6</v>
      </c>
      <c r="E68" s="2" t="s">
        <v>49</v>
      </c>
      <c r="F68" s="1" t="s">
        <v>1397</v>
      </c>
      <c r="G68" s="1" t="s">
        <v>1770</v>
      </c>
      <c r="H68" s="1" t="s">
        <v>1771</v>
      </c>
      <c r="I68" s="1" t="s">
        <v>1772</v>
      </c>
      <c r="J68" s="1" t="s">
        <v>1773</v>
      </c>
    </row>
    <row r="69" spans="1:10" ht="24" customHeight="1" x14ac:dyDescent="0.2">
      <c r="A69" s="1" t="s">
        <v>589</v>
      </c>
      <c r="B69" s="116" t="s">
        <v>20</v>
      </c>
      <c r="C69" s="116" t="s">
        <v>590</v>
      </c>
      <c r="D69" s="116">
        <v>16</v>
      </c>
      <c r="E69" s="2" t="s">
        <v>22</v>
      </c>
      <c r="F69" s="1" t="s">
        <v>822</v>
      </c>
      <c r="G69" s="1" t="s">
        <v>3100</v>
      </c>
      <c r="H69" s="1" t="s">
        <v>3101</v>
      </c>
      <c r="I69" s="1" t="s">
        <v>1451</v>
      </c>
      <c r="J69" s="1" t="s">
        <v>1774</v>
      </c>
    </row>
    <row r="70" spans="1:10" ht="24" customHeight="1" x14ac:dyDescent="0.2">
      <c r="A70" s="1" t="s">
        <v>652</v>
      </c>
      <c r="B70" s="116" t="s">
        <v>20</v>
      </c>
      <c r="C70" s="116" t="s">
        <v>653</v>
      </c>
      <c r="D70" s="116">
        <v>17</v>
      </c>
      <c r="E70" s="2" t="s">
        <v>246</v>
      </c>
      <c r="F70" s="1" t="s">
        <v>851</v>
      </c>
      <c r="G70" s="1" t="s">
        <v>3102</v>
      </c>
      <c r="H70" s="1" t="s">
        <v>3103</v>
      </c>
      <c r="I70" s="1" t="s">
        <v>1451</v>
      </c>
      <c r="J70" s="1" t="s">
        <v>3104</v>
      </c>
    </row>
    <row r="71" spans="1:10" ht="24" customHeight="1" x14ac:dyDescent="0.2">
      <c r="A71" s="1" t="s">
        <v>1313</v>
      </c>
      <c r="B71" s="116" t="s">
        <v>249</v>
      </c>
      <c r="C71" s="116" t="s">
        <v>1312</v>
      </c>
      <c r="D71" s="116">
        <v>21</v>
      </c>
      <c r="E71" s="2" t="s">
        <v>22</v>
      </c>
      <c r="F71" s="1" t="s">
        <v>1440</v>
      </c>
      <c r="G71" s="1" t="s">
        <v>3105</v>
      </c>
      <c r="H71" s="1" t="s">
        <v>3106</v>
      </c>
      <c r="I71" s="1" t="s">
        <v>1775</v>
      </c>
      <c r="J71" s="1" t="s">
        <v>1776</v>
      </c>
    </row>
    <row r="72" spans="1:10" ht="24" customHeight="1" x14ac:dyDescent="0.2">
      <c r="A72" s="1" t="s">
        <v>1305</v>
      </c>
      <c r="B72" s="116" t="s">
        <v>25</v>
      </c>
      <c r="C72" s="116" t="s">
        <v>1304</v>
      </c>
      <c r="D72" s="116" t="s">
        <v>1457</v>
      </c>
      <c r="E72" s="2" t="s">
        <v>1303</v>
      </c>
      <c r="F72" s="1" t="s">
        <v>1456</v>
      </c>
      <c r="G72" s="1" t="s">
        <v>3107</v>
      </c>
      <c r="H72" s="1" t="s">
        <v>3108</v>
      </c>
      <c r="I72" s="1" t="s">
        <v>1775</v>
      </c>
      <c r="J72" s="1" t="s">
        <v>1777</v>
      </c>
    </row>
    <row r="73" spans="1:10" ht="24" customHeight="1" x14ac:dyDescent="0.2">
      <c r="A73" s="1" t="s">
        <v>136</v>
      </c>
      <c r="B73" s="116" t="s">
        <v>25</v>
      </c>
      <c r="C73" s="116" t="s">
        <v>137</v>
      </c>
      <c r="D73" s="116" t="s">
        <v>1369</v>
      </c>
      <c r="E73" s="2" t="s">
        <v>49</v>
      </c>
      <c r="F73" s="1" t="s">
        <v>919</v>
      </c>
      <c r="G73" s="1" t="s">
        <v>3109</v>
      </c>
      <c r="H73" s="1" t="s">
        <v>3110</v>
      </c>
      <c r="I73" s="1" t="s">
        <v>1448</v>
      </c>
      <c r="J73" s="1" t="s">
        <v>1778</v>
      </c>
    </row>
    <row r="74" spans="1:10" ht="24" customHeight="1" x14ac:dyDescent="0.2">
      <c r="A74" s="1" t="s">
        <v>340</v>
      </c>
      <c r="B74" s="116" t="s">
        <v>249</v>
      </c>
      <c r="C74" s="116" t="s">
        <v>341</v>
      </c>
      <c r="D74" s="116">
        <v>190</v>
      </c>
      <c r="E74" s="2" t="s">
        <v>236</v>
      </c>
      <c r="F74" s="1" t="s">
        <v>850</v>
      </c>
      <c r="G74" s="1" t="s">
        <v>3111</v>
      </c>
      <c r="H74" s="1" t="s">
        <v>3112</v>
      </c>
      <c r="I74" s="1" t="s">
        <v>1448</v>
      </c>
      <c r="J74" s="1" t="s">
        <v>1779</v>
      </c>
    </row>
    <row r="75" spans="1:10" ht="24" customHeight="1" x14ac:dyDescent="0.2">
      <c r="A75" s="1" t="s">
        <v>604</v>
      </c>
      <c r="B75" s="116" t="s">
        <v>20</v>
      </c>
      <c r="C75" s="116" t="s">
        <v>605</v>
      </c>
      <c r="D75" s="116">
        <v>22</v>
      </c>
      <c r="E75" s="2" t="s">
        <v>22</v>
      </c>
      <c r="F75" s="1" t="s">
        <v>1452</v>
      </c>
      <c r="G75" s="1" t="s">
        <v>3113</v>
      </c>
      <c r="H75" s="1" t="s">
        <v>3114</v>
      </c>
      <c r="I75" s="1" t="s">
        <v>1446</v>
      </c>
      <c r="J75" s="1" t="s">
        <v>1780</v>
      </c>
    </row>
    <row r="76" spans="1:10" ht="24" customHeight="1" x14ac:dyDescent="0.2">
      <c r="A76" s="1" t="s">
        <v>613</v>
      </c>
      <c r="B76" s="116" t="s">
        <v>20</v>
      </c>
      <c r="C76" s="116" t="s">
        <v>614</v>
      </c>
      <c r="D76" s="116">
        <v>22</v>
      </c>
      <c r="E76" s="2" t="s">
        <v>22</v>
      </c>
      <c r="F76" s="1" t="s">
        <v>1450</v>
      </c>
      <c r="G76" s="1" t="s">
        <v>3115</v>
      </c>
      <c r="H76" s="1" t="s">
        <v>3116</v>
      </c>
      <c r="I76" s="1" t="s">
        <v>1446</v>
      </c>
      <c r="J76" s="1" t="s">
        <v>1781</v>
      </c>
    </row>
    <row r="77" spans="1:10" ht="24" customHeight="1" x14ac:dyDescent="0.2">
      <c r="A77" s="1" t="s">
        <v>310</v>
      </c>
      <c r="B77" s="116" t="s">
        <v>20</v>
      </c>
      <c r="C77" s="116" t="s">
        <v>311</v>
      </c>
      <c r="D77" s="116">
        <v>7</v>
      </c>
      <c r="E77" s="2" t="s">
        <v>37</v>
      </c>
      <c r="F77" s="1" t="s">
        <v>881</v>
      </c>
      <c r="G77" s="1" t="s">
        <v>3117</v>
      </c>
      <c r="H77" s="1" t="s">
        <v>3118</v>
      </c>
      <c r="I77" s="1" t="s">
        <v>1445</v>
      </c>
      <c r="J77" s="1" t="s">
        <v>1782</v>
      </c>
    </row>
    <row r="78" spans="1:10" ht="24" customHeight="1" x14ac:dyDescent="0.2">
      <c r="A78" s="1" t="s">
        <v>94</v>
      </c>
      <c r="B78" s="116" t="s">
        <v>20</v>
      </c>
      <c r="C78" s="116" t="s">
        <v>95</v>
      </c>
      <c r="D78" s="116">
        <v>5</v>
      </c>
      <c r="E78" s="2" t="s">
        <v>96</v>
      </c>
      <c r="F78" s="1" t="s">
        <v>1453</v>
      </c>
      <c r="G78" s="1" t="s">
        <v>3119</v>
      </c>
      <c r="H78" s="1" t="s">
        <v>3120</v>
      </c>
      <c r="I78" s="1" t="s">
        <v>1445</v>
      </c>
      <c r="J78" s="1" t="s">
        <v>1783</v>
      </c>
    </row>
    <row r="79" spans="1:10" ht="24" customHeight="1" x14ac:dyDescent="0.2">
      <c r="A79" s="1" t="s">
        <v>1644</v>
      </c>
      <c r="B79" s="116" t="s">
        <v>20</v>
      </c>
      <c r="C79" s="116" t="s">
        <v>1643</v>
      </c>
      <c r="D79" s="116">
        <v>7</v>
      </c>
      <c r="E79" s="2" t="s">
        <v>37</v>
      </c>
      <c r="F79" s="1" t="s">
        <v>1708</v>
      </c>
      <c r="G79" s="1" t="s">
        <v>3121</v>
      </c>
      <c r="H79" s="1" t="s">
        <v>3122</v>
      </c>
      <c r="I79" s="1" t="s">
        <v>1445</v>
      </c>
      <c r="J79" s="1" t="s">
        <v>1784</v>
      </c>
    </row>
    <row r="80" spans="1:10" ht="24" customHeight="1" x14ac:dyDescent="0.2">
      <c r="A80" s="1" t="s">
        <v>152</v>
      </c>
      <c r="B80" s="116" t="s">
        <v>20</v>
      </c>
      <c r="C80" s="116" t="s">
        <v>153</v>
      </c>
      <c r="D80" s="116">
        <v>6</v>
      </c>
      <c r="E80" s="2" t="s">
        <v>96</v>
      </c>
      <c r="F80" s="1" t="s">
        <v>1447</v>
      </c>
      <c r="G80" s="1" t="s">
        <v>1823</v>
      </c>
      <c r="H80" s="1" t="s">
        <v>3123</v>
      </c>
      <c r="I80" s="1" t="s">
        <v>1670</v>
      </c>
      <c r="J80" s="1" t="s">
        <v>1785</v>
      </c>
    </row>
    <row r="81" spans="1:10" ht="24" customHeight="1" x14ac:dyDescent="0.2">
      <c r="A81" s="1" t="s">
        <v>557</v>
      </c>
      <c r="B81" s="116" t="s">
        <v>20</v>
      </c>
      <c r="C81" s="116" t="s">
        <v>558</v>
      </c>
      <c r="D81" s="116">
        <v>26</v>
      </c>
      <c r="E81" s="2" t="s">
        <v>22</v>
      </c>
      <c r="F81" s="1" t="s">
        <v>1455</v>
      </c>
      <c r="G81" s="1" t="s">
        <v>1849</v>
      </c>
      <c r="H81" s="1" t="s">
        <v>3124</v>
      </c>
      <c r="I81" s="1" t="s">
        <v>1670</v>
      </c>
      <c r="J81" s="1" t="s">
        <v>1786</v>
      </c>
    </row>
    <row r="82" spans="1:10" ht="24" customHeight="1" x14ac:dyDescent="0.2">
      <c r="A82" s="1" t="s">
        <v>24</v>
      </c>
      <c r="B82" s="116" t="s">
        <v>25</v>
      </c>
      <c r="C82" s="116" t="s">
        <v>26</v>
      </c>
      <c r="D82" s="116" t="s">
        <v>1449</v>
      </c>
      <c r="E82" s="2" t="s">
        <v>27</v>
      </c>
      <c r="F82" s="1" t="s">
        <v>851</v>
      </c>
      <c r="G82" s="1" t="s">
        <v>3125</v>
      </c>
      <c r="H82" s="1" t="s">
        <v>3126</v>
      </c>
      <c r="I82" s="1" t="s">
        <v>1442</v>
      </c>
      <c r="J82" s="1" t="s">
        <v>1787</v>
      </c>
    </row>
    <row r="83" spans="1:10" ht="36" customHeight="1" x14ac:dyDescent="0.2">
      <c r="A83" s="1" t="s">
        <v>307</v>
      </c>
      <c r="B83" s="116" t="s">
        <v>20</v>
      </c>
      <c r="C83" s="116" t="s">
        <v>308</v>
      </c>
      <c r="D83" s="116">
        <v>7</v>
      </c>
      <c r="E83" s="2" t="s">
        <v>37</v>
      </c>
      <c r="F83" s="1" t="s">
        <v>795</v>
      </c>
      <c r="G83" s="1" t="s">
        <v>1788</v>
      </c>
      <c r="H83" s="1" t="s">
        <v>1789</v>
      </c>
      <c r="I83" s="1" t="s">
        <v>1790</v>
      </c>
      <c r="J83" s="1" t="s">
        <v>3127</v>
      </c>
    </row>
    <row r="84" spans="1:10" ht="24" customHeight="1" x14ac:dyDescent="0.2">
      <c r="A84" s="1" t="s">
        <v>35</v>
      </c>
      <c r="B84" s="116" t="s">
        <v>20</v>
      </c>
      <c r="C84" s="116" t="s">
        <v>36</v>
      </c>
      <c r="D84" s="116">
        <v>2</v>
      </c>
      <c r="E84" s="2" t="s">
        <v>37</v>
      </c>
      <c r="F84" s="1" t="s">
        <v>802</v>
      </c>
      <c r="G84" s="1" t="s">
        <v>3128</v>
      </c>
      <c r="H84" s="1" t="s">
        <v>3128</v>
      </c>
      <c r="I84" s="1" t="s">
        <v>1790</v>
      </c>
      <c r="J84" s="1" t="s">
        <v>3129</v>
      </c>
    </row>
    <row r="85" spans="1:10" ht="24" customHeight="1" x14ac:dyDescent="0.2">
      <c r="A85" s="1" t="s">
        <v>399</v>
      </c>
      <c r="B85" s="116" t="s">
        <v>20</v>
      </c>
      <c r="C85" s="116" t="s">
        <v>400</v>
      </c>
      <c r="D85" s="116">
        <v>8</v>
      </c>
      <c r="E85" s="2" t="s">
        <v>246</v>
      </c>
      <c r="F85" s="1" t="s">
        <v>854</v>
      </c>
      <c r="G85" s="1" t="s">
        <v>3130</v>
      </c>
      <c r="H85" s="1" t="s">
        <v>3131</v>
      </c>
      <c r="I85" s="1" t="s">
        <v>1790</v>
      </c>
      <c r="J85" s="1" t="s">
        <v>3132</v>
      </c>
    </row>
    <row r="86" spans="1:10" ht="24" customHeight="1" x14ac:dyDescent="0.2">
      <c r="A86" s="1" t="s">
        <v>678</v>
      </c>
      <c r="B86" s="116" t="s">
        <v>20</v>
      </c>
      <c r="C86" s="116" t="s">
        <v>679</v>
      </c>
      <c r="D86" s="116">
        <v>23</v>
      </c>
      <c r="E86" s="2" t="s">
        <v>37</v>
      </c>
      <c r="F86" s="1" t="s">
        <v>795</v>
      </c>
      <c r="G86" s="1" t="s">
        <v>3133</v>
      </c>
      <c r="H86" s="1" t="s">
        <v>3134</v>
      </c>
      <c r="I86" s="1" t="s">
        <v>1790</v>
      </c>
      <c r="J86" s="1" t="s">
        <v>3135</v>
      </c>
    </row>
    <row r="87" spans="1:10" ht="24" customHeight="1" x14ac:dyDescent="0.2">
      <c r="A87" s="1" t="s">
        <v>539</v>
      </c>
      <c r="B87" s="116" t="s">
        <v>20</v>
      </c>
      <c r="C87" s="116" t="s">
        <v>540</v>
      </c>
      <c r="D87" s="116">
        <v>20</v>
      </c>
      <c r="E87" s="2" t="s">
        <v>22</v>
      </c>
      <c r="F87" s="1" t="s">
        <v>1444</v>
      </c>
      <c r="G87" s="1" t="s">
        <v>3136</v>
      </c>
      <c r="H87" s="1" t="s">
        <v>3137</v>
      </c>
      <c r="I87" s="1" t="s">
        <v>1437</v>
      </c>
      <c r="J87" s="1" t="s">
        <v>3138</v>
      </c>
    </row>
    <row r="88" spans="1:10" ht="24" customHeight="1" x14ac:dyDescent="0.2">
      <c r="A88" s="1" t="s">
        <v>199</v>
      </c>
      <c r="B88" s="116" t="s">
        <v>20</v>
      </c>
      <c r="C88" s="116" t="s">
        <v>200</v>
      </c>
      <c r="D88" s="116">
        <v>7</v>
      </c>
      <c r="E88" s="2" t="s">
        <v>92</v>
      </c>
      <c r="F88" s="1" t="s">
        <v>1709</v>
      </c>
      <c r="G88" s="1" t="s">
        <v>1791</v>
      </c>
      <c r="H88" s="1" t="s">
        <v>3139</v>
      </c>
      <c r="I88" s="1" t="s">
        <v>1436</v>
      </c>
      <c r="J88" s="1" t="s">
        <v>3140</v>
      </c>
    </row>
    <row r="89" spans="1:10" ht="24" customHeight="1" x14ac:dyDescent="0.2">
      <c r="A89" s="1" t="s">
        <v>545</v>
      </c>
      <c r="B89" s="116" t="s">
        <v>20</v>
      </c>
      <c r="C89" s="116" t="s">
        <v>546</v>
      </c>
      <c r="D89" s="116">
        <v>20</v>
      </c>
      <c r="E89" s="2" t="s">
        <v>22</v>
      </c>
      <c r="F89" s="1" t="s">
        <v>1441</v>
      </c>
      <c r="G89" s="1" t="s">
        <v>3141</v>
      </c>
      <c r="H89" s="1" t="s">
        <v>3142</v>
      </c>
      <c r="I89" s="1" t="s">
        <v>1436</v>
      </c>
      <c r="J89" s="1" t="s">
        <v>3143</v>
      </c>
    </row>
    <row r="90" spans="1:10" ht="24" customHeight="1" x14ac:dyDescent="0.2">
      <c r="A90" s="1" t="s">
        <v>158</v>
      </c>
      <c r="B90" s="116" t="s">
        <v>20</v>
      </c>
      <c r="C90" s="116" t="s">
        <v>159</v>
      </c>
      <c r="D90" s="116">
        <v>6</v>
      </c>
      <c r="E90" s="2" t="s">
        <v>96</v>
      </c>
      <c r="F90" s="1" t="s">
        <v>1443</v>
      </c>
      <c r="G90" s="1" t="s">
        <v>3144</v>
      </c>
      <c r="H90" s="1" t="s">
        <v>3145</v>
      </c>
      <c r="I90" s="1" t="s">
        <v>1436</v>
      </c>
      <c r="J90" s="1" t="s">
        <v>3146</v>
      </c>
    </row>
    <row r="91" spans="1:10" ht="24" customHeight="1" x14ac:dyDescent="0.2">
      <c r="A91" s="1" t="s">
        <v>744</v>
      </c>
      <c r="B91" s="116" t="s">
        <v>20</v>
      </c>
      <c r="C91" s="116" t="s">
        <v>745</v>
      </c>
      <c r="D91" s="116">
        <v>27</v>
      </c>
      <c r="E91" s="2" t="s">
        <v>22</v>
      </c>
      <c r="F91" s="1" t="s">
        <v>758</v>
      </c>
      <c r="G91" s="1" t="s">
        <v>3147</v>
      </c>
      <c r="H91" s="1" t="s">
        <v>3148</v>
      </c>
      <c r="I91" s="1" t="s">
        <v>1669</v>
      </c>
      <c r="J91" s="1" t="s">
        <v>3149</v>
      </c>
    </row>
    <row r="92" spans="1:10" ht="24" customHeight="1" x14ac:dyDescent="0.2">
      <c r="A92" s="1" t="s">
        <v>1702</v>
      </c>
      <c r="B92" s="116" t="s">
        <v>20</v>
      </c>
      <c r="C92" s="116" t="s">
        <v>1703</v>
      </c>
      <c r="D92" s="116">
        <v>7</v>
      </c>
      <c r="E92" s="2" t="s">
        <v>246</v>
      </c>
      <c r="F92" s="1" t="s">
        <v>1708</v>
      </c>
      <c r="G92" s="1" t="s">
        <v>3150</v>
      </c>
      <c r="H92" s="1" t="s">
        <v>3151</v>
      </c>
      <c r="I92" s="1" t="s">
        <v>1669</v>
      </c>
      <c r="J92" s="1" t="s">
        <v>3152</v>
      </c>
    </row>
    <row r="93" spans="1:10" ht="36" customHeight="1" x14ac:dyDescent="0.2">
      <c r="A93" s="1" t="s">
        <v>1322</v>
      </c>
      <c r="B93" s="116" t="s">
        <v>25</v>
      </c>
      <c r="C93" s="116" t="s">
        <v>1321</v>
      </c>
      <c r="D93" s="116" t="s">
        <v>1369</v>
      </c>
      <c r="E93" s="2" t="s">
        <v>22</v>
      </c>
      <c r="F93" s="1" t="s">
        <v>1440</v>
      </c>
      <c r="G93" s="1" t="s">
        <v>1737</v>
      </c>
      <c r="H93" s="1" t="s">
        <v>1738</v>
      </c>
      <c r="I93" s="1" t="s">
        <v>1668</v>
      </c>
      <c r="J93" s="1" t="s">
        <v>3153</v>
      </c>
    </row>
    <row r="94" spans="1:10" ht="24" customHeight="1" x14ac:dyDescent="0.2">
      <c r="A94" s="1" t="s">
        <v>568</v>
      </c>
      <c r="B94" s="116" t="s">
        <v>25</v>
      </c>
      <c r="C94" s="116" t="s">
        <v>569</v>
      </c>
      <c r="D94" s="116" t="s">
        <v>1439</v>
      </c>
      <c r="E94" s="2" t="s">
        <v>22</v>
      </c>
      <c r="F94" s="1" t="s">
        <v>831</v>
      </c>
      <c r="G94" s="1" t="s">
        <v>3154</v>
      </c>
      <c r="H94" s="1" t="s">
        <v>3155</v>
      </c>
      <c r="I94" s="1" t="s">
        <v>1668</v>
      </c>
      <c r="J94" s="1" t="s">
        <v>1792</v>
      </c>
    </row>
    <row r="95" spans="1:10" ht="36" customHeight="1" x14ac:dyDescent="0.2">
      <c r="A95" s="1" t="s">
        <v>1292</v>
      </c>
      <c r="B95" s="116" t="s">
        <v>20</v>
      </c>
      <c r="C95" s="116" t="s">
        <v>1291</v>
      </c>
      <c r="D95" s="116">
        <v>23</v>
      </c>
      <c r="E95" s="2" t="s">
        <v>246</v>
      </c>
      <c r="F95" s="1" t="s">
        <v>878</v>
      </c>
      <c r="G95" s="1" t="s">
        <v>3156</v>
      </c>
      <c r="H95" s="1" t="s">
        <v>3157</v>
      </c>
      <c r="I95" s="1" t="s">
        <v>1668</v>
      </c>
      <c r="J95" s="1" t="s">
        <v>3158</v>
      </c>
    </row>
    <row r="96" spans="1:10" ht="24" customHeight="1" x14ac:dyDescent="0.2">
      <c r="A96" s="1" t="s">
        <v>313</v>
      </c>
      <c r="B96" s="116" t="s">
        <v>20</v>
      </c>
      <c r="C96" s="116" t="s">
        <v>314</v>
      </c>
      <c r="D96" s="116">
        <v>7</v>
      </c>
      <c r="E96" s="2" t="s">
        <v>37</v>
      </c>
      <c r="F96" s="1" t="s">
        <v>804</v>
      </c>
      <c r="G96" s="1" t="s">
        <v>1793</v>
      </c>
      <c r="H96" s="1" t="s">
        <v>1794</v>
      </c>
      <c r="I96" s="1" t="s">
        <v>1668</v>
      </c>
      <c r="J96" s="1" t="s">
        <v>3159</v>
      </c>
    </row>
    <row r="97" spans="1:10" ht="24" customHeight="1" x14ac:dyDescent="0.2">
      <c r="A97" s="1" t="s">
        <v>378</v>
      </c>
      <c r="B97" s="116" t="s">
        <v>20</v>
      </c>
      <c r="C97" s="116" t="s">
        <v>379</v>
      </c>
      <c r="D97" s="116">
        <v>8</v>
      </c>
      <c r="E97" s="2" t="s">
        <v>37</v>
      </c>
      <c r="F97" s="1" t="s">
        <v>863</v>
      </c>
      <c r="G97" s="1" t="s">
        <v>3160</v>
      </c>
      <c r="H97" s="1" t="s">
        <v>3161</v>
      </c>
      <c r="I97" s="1" t="s">
        <v>1668</v>
      </c>
      <c r="J97" s="1" t="s">
        <v>3162</v>
      </c>
    </row>
    <row r="98" spans="1:10" ht="24" customHeight="1" x14ac:dyDescent="0.2">
      <c r="A98" s="1" t="s">
        <v>1253</v>
      </c>
      <c r="B98" s="116" t="s">
        <v>20</v>
      </c>
      <c r="C98" s="116" t="s">
        <v>1252</v>
      </c>
      <c r="D98" s="116">
        <v>12</v>
      </c>
      <c r="E98" s="2" t="s">
        <v>22</v>
      </c>
      <c r="F98" s="1" t="s">
        <v>1438</v>
      </c>
      <c r="G98" s="1" t="s">
        <v>3163</v>
      </c>
      <c r="H98" s="1" t="s">
        <v>3164</v>
      </c>
      <c r="I98" s="1" t="s">
        <v>1668</v>
      </c>
      <c r="J98" s="1" t="s">
        <v>3165</v>
      </c>
    </row>
    <row r="99" spans="1:10" ht="24" customHeight="1" x14ac:dyDescent="0.2">
      <c r="A99" s="1" t="s">
        <v>595</v>
      </c>
      <c r="B99" s="116" t="s">
        <v>20</v>
      </c>
      <c r="C99" s="116" t="s">
        <v>596</v>
      </c>
      <c r="D99" s="116">
        <v>20</v>
      </c>
      <c r="E99" s="2" t="s">
        <v>22</v>
      </c>
      <c r="F99" s="1" t="s">
        <v>820</v>
      </c>
      <c r="G99" s="1" t="s">
        <v>3166</v>
      </c>
      <c r="H99" s="1" t="s">
        <v>3167</v>
      </c>
      <c r="I99" s="1" t="s">
        <v>1434</v>
      </c>
      <c r="J99" s="1" t="s">
        <v>3168</v>
      </c>
    </row>
    <row r="100" spans="1:10" ht="36" customHeight="1" x14ac:dyDescent="0.2">
      <c r="A100" s="1" t="s">
        <v>346</v>
      </c>
      <c r="B100" s="116" t="s">
        <v>20</v>
      </c>
      <c r="C100" s="116" t="s">
        <v>347</v>
      </c>
      <c r="D100" s="116">
        <v>8</v>
      </c>
      <c r="E100" s="2" t="s">
        <v>37</v>
      </c>
      <c r="F100" s="1" t="s">
        <v>850</v>
      </c>
      <c r="G100" s="1" t="s">
        <v>3169</v>
      </c>
      <c r="H100" s="1" t="s">
        <v>3170</v>
      </c>
      <c r="I100" s="1" t="s">
        <v>1434</v>
      </c>
      <c r="J100" s="1" t="s">
        <v>3171</v>
      </c>
    </row>
    <row r="101" spans="1:10" ht="24" customHeight="1" x14ac:dyDescent="0.2">
      <c r="A101" s="1" t="s">
        <v>221</v>
      </c>
      <c r="B101" s="116" t="s">
        <v>20</v>
      </c>
      <c r="C101" s="116" t="s">
        <v>222</v>
      </c>
      <c r="D101" s="116">
        <v>7</v>
      </c>
      <c r="E101" s="2" t="s">
        <v>92</v>
      </c>
      <c r="F101" s="1" t="s">
        <v>891</v>
      </c>
      <c r="G101" s="1" t="s">
        <v>3172</v>
      </c>
      <c r="H101" s="1" t="s">
        <v>3173</v>
      </c>
      <c r="I101" s="1" t="s">
        <v>1795</v>
      </c>
      <c r="J101" s="1" t="s">
        <v>3174</v>
      </c>
    </row>
    <row r="102" spans="1:10" ht="24" customHeight="1" x14ac:dyDescent="0.2">
      <c r="A102" s="1" t="s">
        <v>42</v>
      </c>
      <c r="B102" s="116" t="s">
        <v>20</v>
      </c>
      <c r="C102" s="116" t="s">
        <v>43</v>
      </c>
      <c r="D102" s="116">
        <v>2</v>
      </c>
      <c r="E102" s="2" t="s">
        <v>22</v>
      </c>
      <c r="F102" s="1" t="s">
        <v>1435</v>
      </c>
      <c r="G102" s="1" t="s">
        <v>3175</v>
      </c>
      <c r="H102" s="1" t="s">
        <v>3176</v>
      </c>
      <c r="I102" s="1" t="s">
        <v>1432</v>
      </c>
      <c r="J102" s="1" t="s">
        <v>3177</v>
      </c>
    </row>
    <row r="103" spans="1:10" ht="24" customHeight="1" x14ac:dyDescent="0.2">
      <c r="A103" s="1" t="s">
        <v>1202</v>
      </c>
      <c r="B103" s="116" t="s">
        <v>244</v>
      </c>
      <c r="C103" s="116" t="s">
        <v>1201</v>
      </c>
      <c r="D103" s="116" t="s">
        <v>1433</v>
      </c>
      <c r="E103" s="2" t="s">
        <v>22</v>
      </c>
      <c r="F103" s="1" t="s">
        <v>1384</v>
      </c>
      <c r="G103" s="1" t="s">
        <v>3178</v>
      </c>
      <c r="H103" s="1" t="s">
        <v>3179</v>
      </c>
      <c r="I103" s="1" t="s">
        <v>1430</v>
      </c>
      <c r="J103" s="1" t="s">
        <v>3180</v>
      </c>
    </row>
    <row r="104" spans="1:10" ht="24" customHeight="1" x14ac:dyDescent="0.2">
      <c r="A104" s="1" t="s">
        <v>355</v>
      </c>
      <c r="B104" s="116" t="s">
        <v>20</v>
      </c>
      <c r="C104" s="116" t="s">
        <v>356</v>
      </c>
      <c r="D104" s="116">
        <v>8</v>
      </c>
      <c r="E104" s="2" t="s">
        <v>37</v>
      </c>
      <c r="F104" s="1" t="s">
        <v>804</v>
      </c>
      <c r="G104" s="1" t="s">
        <v>3181</v>
      </c>
      <c r="H104" s="1" t="s">
        <v>3182</v>
      </c>
      <c r="I104" s="1" t="s">
        <v>1430</v>
      </c>
      <c r="J104" s="1" t="s">
        <v>3183</v>
      </c>
    </row>
    <row r="105" spans="1:10" ht="72" customHeight="1" x14ac:dyDescent="0.2">
      <c r="A105" s="1" t="s">
        <v>292</v>
      </c>
      <c r="B105" s="116" t="s">
        <v>20</v>
      </c>
      <c r="C105" s="116" t="s">
        <v>293</v>
      </c>
      <c r="D105" s="116">
        <v>7</v>
      </c>
      <c r="E105" s="2" t="s">
        <v>37</v>
      </c>
      <c r="F105" s="1" t="s">
        <v>882</v>
      </c>
      <c r="G105" s="1" t="s">
        <v>3184</v>
      </c>
      <c r="H105" s="1" t="s">
        <v>3185</v>
      </c>
      <c r="I105" s="1" t="s">
        <v>1353</v>
      </c>
      <c r="J105" s="1" t="s">
        <v>3186</v>
      </c>
    </row>
    <row r="106" spans="1:10" ht="24" customHeight="1" x14ac:dyDescent="0.2">
      <c r="A106" s="1" t="s">
        <v>1679</v>
      </c>
      <c r="B106" s="116" t="s">
        <v>244</v>
      </c>
      <c r="C106" s="116" t="s">
        <v>1680</v>
      </c>
      <c r="D106" s="116" t="s">
        <v>1710</v>
      </c>
      <c r="E106" s="2" t="s">
        <v>213</v>
      </c>
      <c r="F106" s="1" t="s">
        <v>1429</v>
      </c>
      <c r="G106" s="1" t="s">
        <v>3187</v>
      </c>
      <c r="H106" s="1" t="s">
        <v>3188</v>
      </c>
      <c r="I106" s="1" t="s">
        <v>1353</v>
      </c>
      <c r="J106" s="1" t="s">
        <v>3189</v>
      </c>
    </row>
    <row r="107" spans="1:10" ht="24" customHeight="1" x14ac:dyDescent="0.2">
      <c r="A107" s="1" t="s">
        <v>1249</v>
      </c>
      <c r="B107" s="116" t="s">
        <v>25</v>
      </c>
      <c r="C107" s="116" t="s">
        <v>1248</v>
      </c>
      <c r="D107" s="116" t="s">
        <v>1369</v>
      </c>
      <c r="E107" s="2" t="s">
        <v>1247</v>
      </c>
      <c r="F107" s="1" t="s">
        <v>857</v>
      </c>
      <c r="G107" s="1" t="s">
        <v>3190</v>
      </c>
      <c r="H107" s="1" t="s">
        <v>3191</v>
      </c>
      <c r="I107" s="1" t="s">
        <v>1353</v>
      </c>
      <c r="J107" s="1" t="s">
        <v>3192</v>
      </c>
    </row>
    <row r="108" spans="1:10" ht="24" customHeight="1" x14ac:dyDescent="0.2">
      <c r="A108" s="1" t="s">
        <v>54</v>
      </c>
      <c r="B108" s="116" t="s">
        <v>20</v>
      </c>
      <c r="C108" s="116" t="s">
        <v>55</v>
      </c>
      <c r="D108" s="116">
        <v>3</v>
      </c>
      <c r="E108" s="2" t="s">
        <v>49</v>
      </c>
      <c r="F108" s="1" t="s">
        <v>888</v>
      </c>
      <c r="G108" s="1" t="s">
        <v>3193</v>
      </c>
      <c r="H108" s="1" t="s">
        <v>3194</v>
      </c>
      <c r="I108" s="1" t="s">
        <v>1353</v>
      </c>
      <c r="J108" s="1" t="s">
        <v>3195</v>
      </c>
    </row>
    <row r="109" spans="1:10" ht="24" customHeight="1" x14ac:dyDescent="0.2">
      <c r="A109" s="1" t="s">
        <v>1632</v>
      </c>
      <c r="B109" s="116" t="s">
        <v>20</v>
      </c>
      <c r="C109" s="116" t="s">
        <v>1631</v>
      </c>
      <c r="D109" s="116">
        <v>7</v>
      </c>
      <c r="E109" s="2" t="s">
        <v>37</v>
      </c>
      <c r="F109" s="1" t="s">
        <v>850</v>
      </c>
      <c r="G109" s="1" t="s">
        <v>3196</v>
      </c>
      <c r="H109" s="1" t="s">
        <v>3197</v>
      </c>
      <c r="I109" s="1" t="s">
        <v>1353</v>
      </c>
      <c r="J109" s="1" t="s">
        <v>3198</v>
      </c>
    </row>
    <row r="110" spans="1:10" ht="24" customHeight="1" x14ac:dyDescent="0.2">
      <c r="A110" s="1" t="s">
        <v>1289</v>
      </c>
      <c r="B110" s="116" t="s">
        <v>20</v>
      </c>
      <c r="C110" s="116" t="s">
        <v>1288</v>
      </c>
      <c r="D110" s="116">
        <v>23</v>
      </c>
      <c r="E110" s="2" t="s">
        <v>246</v>
      </c>
      <c r="F110" s="1" t="s">
        <v>878</v>
      </c>
      <c r="G110" s="1" t="s">
        <v>3199</v>
      </c>
      <c r="H110" s="1" t="s">
        <v>3200</v>
      </c>
      <c r="I110" s="1" t="s">
        <v>1353</v>
      </c>
      <c r="J110" s="1" t="s">
        <v>3201</v>
      </c>
    </row>
    <row r="111" spans="1:10" ht="24" customHeight="1" x14ac:dyDescent="0.2">
      <c r="A111" s="1" t="s">
        <v>1301</v>
      </c>
      <c r="B111" s="116" t="s">
        <v>20</v>
      </c>
      <c r="C111" s="116" t="s">
        <v>1300</v>
      </c>
      <c r="D111" s="116">
        <v>5</v>
      </c>
      <c r="E111" s="2" t="s">
        <v>49</v>
      </c>
      <c r="F111" s="1" t="s">
        <v>1384</v>
      </c>
      <c r="G111" s="1" t="s">
        <v>3202</v>
      </c>
      <c r="H111" s="1" t="s">
        <v>3203</v>
      </c>
      <c r="I111" s="1" t="s">
        <v>1353</v>
      </c>
      <c r="J111" s="1" t="s">
        <v>3204</v>
      </c>
    </row>
    <row r="112" spans="1:10" ht="48" customHeight="1" x14ac:dyDescent="0.2">
      <c r="A112" s="1" t="s">
        <v>747</v>
      </c>
      <c r="B112" s="116" t="s">
        <v>20</v>
      </c>
      <c r="C112" s="116" t="s">
        <v>748</v>
      </c>
      <c r="D112" s="116">
        <v>27</v>
      </c>
      <c r="E112" s="2" t="s">
        <v>37</v>
      </c>
      <c r="F112" s="1" t="s">
        <v>756</v>
      </c>
      <c r="G112" s="1" t="s">
        <v>1796</v>
      </c>
      <c r="H112" s="1" t="s">
        <v>1797</v>
      </c>
      <c r="I112" s="1" t="s">
        <v>1353</v>
      </c>
      <c r="J112" s="1" t="s">
        <v>3205</v>
      </c>
    </row>
    <row r="113" spans="1:10" ht="84" customHeight="1" x14ac:dyDescent="0.2">
      <c r="A113" s="1" t="s">
        <v>281</v>
      </c>
      <c r="B113" s="116" t="s">
        <v>20</v>
      </c>
      <c r="C113" s="116" t="s">
        <v>282</v>
      </c>
      <c r="D113" s="116">
        <v>7</v>
      </c>
      <c r="E113" s="2" t="s">
        <v>37</v>
      </c>
      <c r="F113" s="1" t="s">
        <v>884</v>
      </c>
      <c r="G113" s="1" t="s">
        <v>3206</v>
      </c>
      <c r="H113" s="1" t="s">
        <v>3207</v>
      </c>
      <c r="I113" s="1" t="s">
        <v>1426</v>
      </c>
      <c r="J113" s="1" t="s">
        <v>3208</v>
      </c>
    </row>
    <row r="114" spans="1:10" ht="24" customHeight="1" x14ac:dyDescent="0.2">
      <c r="A114" s="1" t="s">
        <v>1331</v>
      </c>
      <c r="B114" s="116" t="s">
        <v>20</v>
      </c>
      <c r="C114" s="116" t="s">
        <v>1330</v>
      </c>
      <c r="D114" s="116">
        <v>4</v>
      </c>
      <c r="E114" s="2" t="s">
        <v>49</v>
      </c>
      <c r="F114" s="1" t="s">
        <v>1405</v>
      </c>
      <c r="G114" s="1" t="s">
        <v>1798</v>
      </c>
      <c r="H114" s="1" t="s">
        <v>1799</v>
      </c>
      <c r="I114" s="1" t="s">
        <v>1426</v>
      </c>
      <c r="J114" s="1" t="s">
        <v>3209</v>
      </c>
    </row>
    <row r="115" spans="1:10" ht="24" customHeight="1" x14ac:dyDescent="0.2">
      <c r="A115" s="1" t="s">
        <v>1316</v>
      </c>
      <c r="B115" s="116" t="s">
        <v>25</v>
      </c>
      <c r="C115" s="116" t="s">
        <v>1315</v>
      </c>
      <c r="D115" s="116" t="s">
        <v>1415</v>
      </c>
      <c r="E115" s="2" t="s">
        <v>1303</v>
      </c>
      <c r="F115" s="1" t="s">
        <v>1431</v>
      </c>
      <c r="G115" s="1" t="s">
        <v>3210</v>
      </c>
      <c r="H115" s="1" t="s">
        <v>3211</v>
      </c>
      <c r="I115" s="1" t="s">
        <v>1425</v>
      </c>
      <c r="J115" s="1" t="s">
        <v>3212</v>
      </c>
    </row>
    <row r="116" spans="1:10" ht="24" customHeight="1" x14ac:dyDescent="0.2">
      <c r="A116" s="1" t="s">
        <v>463</v>
      </c>
      <c r="B116" s="116" t="s">
        <v>20</v>
      </c>
      <c r="C116" s="116" t="s">
        <v>464</v>
      </c>
      <c r="D116" s="116">
        <v>8</v>
      </c>
      <c r="E116" s="2" t="s">
        <v>246</v>
      </c>
      <c r="F116" s="1" t="s">
        <v>854</v>
      </c>
      <c r="G116" s="1" t="s">
        <v>3213</v>
      </c>
      <c r="H116" s="1" t="s">
        <v>3214</v>
      </c>
      <c r="I116" s="1" t="s">
        <v>1425</v>
      </c>
      <c r="J116" s="1" t="s">
        <v>3215</v>
      </c>
    </row>
    <row r="117" spans="1:10" ht="24" customHeight="1" x14ac:dyDescent="0.2">
      <c r="A117" s="1" t="s">
        <v>240</v>
      </c>
      <c r="B117" s="116" t="s">
        <v>25</v>
      </c>
      <c r="C117" s="116" t="s">
        <v>241</v>
      </c>
      <c r="D117" s="116" t="s">
        <v>1369</v>
      </c>
      <c r="E117" s="2" t="s">
        <v>236</v>
      </c>
      <c r="F117" s="1" t="s">
        <v>856</v>
      </c>
      <c r="G117" s="1" t="s">
        <v>1740</v>
      </c>
      <c r="H117" s="1" t="s">
        <v>1741</v>
      </c>
      <c r="I117" s="1" t="s">
        <v>1425</v>
      </c>
      <c r="J117" s="1" t="s">
        <v>3216</v>
      </c>
    </row>
    <row r="118" spans="1:10" ht="24" customHeight="1" x14ac:dyDescent="0.2">
      <c r="A118" s="1" t="s">
        <v>155</v>
      </c>
      <c r="B118" s="116" t="s">
        <v>20</v>
      </c>
      <c r="C118" s="116" t="s">
        <v>156</v>
      </c>
      <c r="D118" s="116">
        <v>6</v>
      </c>
      <c r="E118" s="2" t="s">
        <v>96</v>
      </c>
      <c r="F118" s="1" t="s">
        <v>1428</v>
      </c>
      <c r="G118" s="1" t="s">
        <v>3217</v>
      </c>
      <c r="H118" s="1" t="s">
        <v>3218</v>
      </c>
      <c r="I118" s="1" t="s">
        <v>1425</v>
      </c>
      <c r="J118" s="1" t="s">
        <v>3219</v>
      </c>
    </row>
    <row r="119" spans="1:10" ht="36" customHeight="1" x14ac:dyDescent="0.2">
      <c r="A119" s="1" t="s">
        <v>521</v>
      </c>
      <c r="B119" s="116" t="s">
        <v>20</v>
      </c>
      <c r="C119" s="116" t="s">
        <v>522</v>
      </c>
      <c r="D119" s="116">
        <v>10</v>
      </c>
      <c r="E119" s="2" t="s">
        <v>22</v>
      </c>
      <c r="F119" s="1" t="s">
        <v>844</v>
      </c>
      <c r="G119" s="1" t="s">
        <v>3220</v>
      </c>
      <c r="H119" s="1" t="s">
        <v>3221</v>
      </c>
      <c r="I119" s="1" t="s">
        <v>1422</v>
      </c>
      <c r="J119" s="1" t="s">
        <v>3222</v>
      </c>
    </row>
    <row r="120" spans="1:10" ht="24" customHeight="1" x14ac:dyDescent="0.2">
      <c r="A120" s="1" t="s">
        <v>666</v>
      </c>
      <c r="B120" s="116" t="s">
        <v>20</v>
      </c>
      <c r="C120" s="116" t="s">
        <v>667</v>
      </c>
      <c r="D120" s="116">
        <v>17</v>
      </c>
      <c r="E120" s="2" t="s">
        <v>246</v>
      </c>
      <c r="F120" s="1" t="s">
        <v>756</v>
      </c>
      <c r="G120" s="1" t="s">
        <v>3223</v>
      </c>
      <c r="H120" s="1" t="s">
        <v>3224</v>
      </c>
      <c r="I120" s="1" t="s">
        <v>1422</v>
      </c>
      <c r="J120" s="1" t="s">
        <v>3225</v>
      </c>
    </row>
    <row r="121" spans="1:10" ht="24" customHeight="1" x14ac:dyDescent="0.2">
      <c r="A121" s="1" t="s">
        <v>1259</v>
      </c>
      <c r="B121" s="116" t="s">
        <v>20</v>
      </c>
      <c r="C121" s="116" t="s">
        <v>1258</v>
      </c>
      <c r="D121" s="116">
        <v>27</v>
      </c>
      <c r="E121" s="2" t="s">
        <v>22</v>
      </c>
      <c r="F121" s="1" t="s">
        <v>841</v>
      </c>
      <c r="G121" s="1" t="s">
        <v>3226</v>
      </c>
      <c r="H121" s="1" t="s">
        <v>3227</v>
      </c>
      <c r="I121" s="1" t="s">
        <v>1422</v>
      </c>
      <c r="J121" s="1" t="s">
        <v>3228</v>
      </c>
    </row>
    <row r="122" spans="1:10" ht="24" customHeight="1" x14ac:dyDescent="0.2">
      <c r="A122" s="1" t="s">
        <v>334</v>
      </c>
      <c r="B122" s="116" t="s">
        <v>20</v>
      </c>
      <c r="C122" s="116" t="s">
        <v>335</v>
      </c>
      <c r="D122" s="116">
        <v>8</v>
      </c>
      <c r="E122" s="2" t="s">
        <v>37</v>
      </c>
      <c r="F122" s="1" t="s">
        <v>878</v>
      </c>
      <c r="G122" s="1" t="s">
        <v>3229</v>
      </c>
      <c r="H122" s="1" t="s">
        <v>3230</v>
      </c>
      <c r="I122" s="1" t="s">
        <v>1422</v>
      </c>
      <c r="J122" s="1" t="s">
        <v>3231</v>
      </c>
    </row>
    <row r="123" spans="1:10" ht="24" customHeight="1" x14ac:dyDescent="0.2">
      <c r="A123" s="1" t="s">
        <v>234</v>
      </c>
      <c r="B123" s="116" t="s">
        <v>25</v>
      </c>
      <c r="C123" s="116" t="s">
        <v>235</v>
      </c>
      <c r="D123" s="116" t="s">
        <v>1362</v>
      </c>
      <c r="E123" s="2" t="s">
        <v>236</v>
      </c>
      <c r="F123" s="1" t="s">
        <v>1427</v>
      </c>
      <c r="G123" s="1" t="s">
        <v>1742</v>
      </c>
      <c r="H123" s="1" t="s">
        <v>1743</v>
      </c>
      <c r="I123" s="1" t="s">
        <v>1422</v>
      </c>
      <c r="J123" s="1" t="s">
        <v>3232</v>
      </c>
    </row>
    <row r="124" spans="1:10" ht="24" customHeight="1" x14ac:dyDescent="0.2">
      <c r="A124" s="1" t="s">
        <v>173</v>
      </c>
      <c r="B124" s="116" t="s">
        <v>20</v>
      </c>
      <c r="C124" s="116" t="s">
        <v>174</v>
      </c>
      <c r="D124" s="116">
        <v>6</v>
      </c>
      <c r="E124" s="2" t="s">
        <v>96</v>
      </c>
      <c r="F124" s="1" t="s">
        <v>903</v>
      </c>
      <c r="G124" s="1" t="s">
        <v>3233</v>
      </c>
      <c r="H124" s="1" t="s">
        <v>3234</v>
      </c>
      <c r="I124" s="1" t="s">
        <v>1417</v>
      </c>
      <c r="J124" s="1" t="s">
        <v>3235</v>
      </c>
    </row>
    <row r="125" spans="1:10" ht="24" customHeight="1" x14ac:dyDescent="0.2">
      <c r="A125" s="1" t="s">
        <v>349</v>
      </c>
      <c r="B125" s="116" t="s">
        <v>20</v>
      </c>
      <c r="C125" s="116" t="s">
        <v>350</v>
      </c>
      <c r="D125" s="116">
        <v>8</v>
      </c>
      <c r="E125" s="2" t="s">
        <v>37</v>
      </c>
      <c r="F125" s="1" t="s">
        <v>849</v>
      </c>
      <c r="G125" s="1" t="s">
        <v>3236</v>
      </c>
      <c r="H125" s="1" t="s">
        <v>3237</v>
      </c>
      <c r="I125" s="1" t="s">
        <v>1417</v>
      </c>
      <c r="J125" s="1" t="s">
        <v>3238</v>
      </c>
    </row>
    <row r="126" spans="1:10" ht="24" customHeight="1" x14ac:dyDescent="0.2">
      <c r="A126" s="1" t="s">
        <v>1257</v>
      </c>
      <c r="B126" s="116" t="s">
        <v>25</v>
      </c>
      <c r="C126" s="116" t="s">
        <v>1256</v>
      </c>
      <c r="D126" s="116" t="s">
        <v>1424</v>
      </c>
      <c r="E126" s="2" t="s">
        <v>22</v>
      </c>
      <c r="F126" s="1" t="s">
        <v>1423</v>
      </c>
      <c r="G126" s="1" t="s">
        <v>3239</v>
      </c>
      <c r="H126" s="1" t="s">
        <v>3240</v>
      </c>
      <c r="I126" s="1" t="s">
        <v>927</v>
      </c>
      <c r="J126" s="1" t="s">
        <v>3241</v>
      </c>
    </row>
    <row r="127" spans="1:10" ht="24" customHeight="1" x14ac:dyDescent="0.2">
      <c r="A127" s="1" t="s">
        <v>352</v>
      </c>
      <c r="B127" s="116" t="s">
        <v>20</v>
      </c>
      <c r="C127" s="116" t="s">
        <v>353</v>
      </c>
      <c r="D127" s="116">
        <v>8</v>
      </c>
      <c r="E127" s="2" t="s">
        <v>37</v>
      </c>
      <c r="F127" s="1" t="s">
        <v>756</v>
      </c>
      <c r="G127" s="1" t="s">
        <v>3242</v>
      </c>
      <c r="H127" s="1" t="s">
        <v>3243</v>
      </c>
      <c r="I127" s="1" t="s">
        <v>927</v>
      </c>
      <c r="J127" s="1" t="s">
        <v>3244</v>
      </c>
    </row>
    <row r="128" spans="1:10" ht="24" customHeight="1" x14ac:dyDescent="0.2">
      <c r="A128" s="1" t="s">
        <v>19</v>
      </c>
      <c r="B128" s="116" t="s">
        <v>20</v>
      </c>
      <c r="C128" s="116" t="s">
        <v>21</v>
      </c>
      <c r="D128" s="116">
        <v>2</v>
      </c>
      <c r="E128" s="2" t="s">
        <v>22</v>
      </c>
      <c r="F128" s="1" t="s">
        <v>804</v>
      </c>
      <c r="G128" s="1" t="s">
        <v>3245</v>
      </c>
      <c r="H128" s="1" t="s">
        <v>3246</v>
      </c>
      <c r="I128" s="1" t="s">
        <v>927</v>
      </c>
      <c r="J128" s="1" t="s">
        <v>3247</v>
      </c>
    </row>
    <row r="129" spans="1:10" ht="24" customHeight="1" x14ac:dyDescent="0.2">
      <c r="A129" s="1" t="s">
        <v>1705</v>
      </c>
      <c r="B129" s="116" t="s">
        <v>20</v>
      </c>
      <c r="C129" s="116" t="s">
        <v>1706</v>
      </c>
      <c r="D129" s="116">
        <v>7</v>
      </c>
      <c r="E129" s="2" t="s">
        <v>37</v>
      </c>
      <c r="F129" s="1" t="s">
        <v>1405</v>
      </c>
      <c r="G129" s="1" t="s">
        <v>3248</v>
      </c>
      <c r="H129" s="1" t="s">
        <v>3249</v>
      </c>
      <c r="I129" s="1" t="s">
        <v>927</v>
      </c>
      <c r="J129" s="1" t="s">
        <v>3250</v>
      </c>
    </row>
    <row r="130" spans="1:10" ht="24" customHeight="1" x14ac:dyDescent="0.2">
      <c r="A130" s="1" t="s">
        <v>284</v>
      </c>
      <c r="B130" s="116" t="s">
        <v>20</v>
      </c>
      <c r="C130" s="116" t="s">
        <v>285</v>
      </c>
      <c r="D130" s="116">
        <v>7</v>
      </c>
      <c r="E130" s="2" t="s">
        <v>246</v>
      </c>
      <c r="F130" s="1" t="s">
        <v>883</v>
      </c>
      <c r="G130" s="1" t="s">
        <v>3251</v>
      </c>
      <c r="H130" s="1" t="s">
        <v>3252</v>
      </c>
      <c r="I130" s="1" t="s">
        <v>927</v>
      </c>
      <c r="J130" s="1" t="s">
        <v>3253</v>
      </c>
    </row>
    <row r="131" spans="1:10" ht="24" customHeight="1" x14ac:dyDescent="0.2">
      <c r="A131" s="1" t="s">
        <v>90</v>
      </c>
      <c r="B131" s="116" t="s">
        <v>20</v>
      </c>
      <c r="C131" s="116" t="s">
        <v>91</v>
      </c>
      <c r="D131" s="116">
        <v>5</v>
      </c>
      <c r="E131" s="2" t="s">
        <v>92</v>
      </c>
      <c r="F131" s="1" t="s">
        <v>937</v>
      </c>
      <c r="G131" s="1" t="s">
        <v>3254</v>
      </c>
      <c r="H131" s="1" t="s">
        <v>3255</v>
      </c>
      <c r="I131" s="1" t="s">
        <v>927</v>
      </c>
      <c r="J131" s="1" t="s">
        <v>3256</v>
      </c>
    </row>
    <row r="132" spans="1:10" ht="24" customHeight="1" x14ac:dyDescent="0.2">
      <c r="A132" s="1" t="s">
        <v>1270</v>
      </c>
      <c r="B132" s="116" t="s">
        <v>20</v>
      </c>
      <c r="C132" s="116" t="s">
        <v>1269</v>
      </c>
      <c r="D132" s="116">
        <v>8</v>
      </c>
      <c r="E132" s="2" t="s">
        <v>213</v>
      </c>
      <c r="F132" s="1" t="s">
        <v>1421</v>
      </c>
      <c r="G132" s="1" t="s">
        <v>3257</v>
      </c>
      <c r="H132" s="1" t="s">
        <v>3258</v>
      </c>
      <c r="I132" s="1" t="s">
        <v>927</v>
      </c>
      <c r="J132" s="1" t="s">
        <v>3259</v>
      </c>
    </row>
    <row r="133" spans="1:10" ht="24" customHeight="1" x14ac:dyDescent="0.2">
      <c r="A133" s="1" t="s">
        <v>1699</v>
      </c>
      <c r="B133" s="116" t="s">
        <v>244</v>
      </c>
      <c r="C133" s="116" t="s">
        <v>1700</v>
      </c>
      <c r="D133" s="116" t="s">
        <v>1667</v>
      </c>
      <c r="E133" s="2" t="s">
        <v>246</v>
      </c>
      <c r="F133" s="1" t="s">
        <v>756</v>
      </c>
      <c r="G133" s="1" t="s">
        <v>1711</v>
      </c>
      <c r="H133" s="1" t="s">
        <v>1712</v>
      </c>
      <c r="I133" s="1" t="s">
        <v>927</v>
      </c>
      <c r="J133" s="1" t="s">
        <v>3260</v>
      </c>
    </row>
    <row r="134" spans="1:10" ht="24" customHeight="1" x14ac:dyDescent="0.2">
      <c r="A134" s="1" t="s">
        <v>2843</v>
      </c>
      <c r="B134" s="116" t="s">
        <v>411</v>
      </c>
      <c r="C134" s="116" t="s">
        <v>1196</v>
      </c>
      <c r="D134" s="116">
        <v>13.02</v>
      </c>
      <c r="E134" s="2" t="s">
        <v>92</v>
      </c>
      <c r="F134" s="1" t="s">
        <v>1410</v>
      </c>
      <c r="G134" s="1" t="s">
        <v>3261</v>
      </c>
      <c r="H134" s="1" t="s">
        <v>3262</v>
      </c>
      <c r="I134" s="1" t="s">
        <v>927</v>
      </c>
      <c r="J134" s="1" t="s">
        <v>3263</v>
      </c>
    </row>
    <row r="135" spans="1:10" ht="24" customHeight="1" x14ac:dyDescent="0.2">
      <c r="A135" s="1" t="s">
        <v>389</v>
      </c>
      <c r="B135" s="116" t="s">
        <v>20</v>
      </c>
      <c r="C135" s="116" t="s">
        <v>390</v>
      </c>
      <c r="D135" s="116">
        <v>8</v>
      </c>
      <c r="E135" s="2" t="s">
        <v>213</v>
      </c>
      <c r="F135" s="1" t="s">
        <v>1419</v>
      </c>
      <c r="G135" s="1" t="s">
        <v>1800</v>
      </c>
      <c r="H135" s="1" t="s">
        <v>1801</v>
      </c>
      <c r="I135" s="1" t="s">
        <v>927</v>
      </c>
      <c r="J135" s="1" t="s">
        <v>3264</v>
      </c>
    </row>
    <row r="136" spans="1:10" ht="24" customHeight="1" x14ac:dyDescent="0.2">
      <c r="A136" s="1" t="s">
        <v>631</v>
      </c>
      <c r="B136" s="116" t="s">
        <v>25</v>
      </c>
      <c r="C136" s="116" t="s">
        <v>632</v>
      </c>
      <c r="D136" s="116" t="s">
        <v>1424</v>
      </c>
      <c r="E136" s="2" t="s">
        <v>22</v>
      </c>
      <c r="F136" s="1" t="s">
        <v>795</v>
      </c>
      <c r="G136" s="1" t="s">
        <v>3265</v>
      </c>
      <c r="H136" s="1" t="s">
        <v>3266</v>
      </c>
      <c r="I136" s="1" t="s">
        <v>1416</v>
      </c>
      <c r="J136" s="1" t="s">
        <v>3267</v>
      </c>
    </row>
    <row r="137" spans="1:10" ht="36" customHeight="1" x14ac:dyDescent="0.2">
      <c r="A137" s="1" t="s">
        <v>1635</v>
      </c>
      <c r="B137" s="116" t="s">
        <v>25</v>
      </c>
      <c r="C137" s="116" t="s">
        <v>1634</v>
      </c>
      <c r="D137" s="116" t="s">
        <v>1666</v>
      </c>
      <c r="E137" s="2" t="s">
        <v>236</v>
      </c>
      <c r="F137" s="1" t="s">
        <v>802</v>
      </c>
      <c r="G137" s="1" t="s">
        <v>3268</v>
      </c>
      <c r="H137" s="1" t="s">
        <v>3268</v>
      </c>
      <c r="I137" s="1" t="s">
        <v>1416</v>
      </c>
      <c r="J137" s="1" t="s">
        <v>3269</v>
      </c>
    </row>
    <row r="138" spans="1:10" ht="24" customHeight="1" x14ac:dyDescent="0.2">
      <c r="A138" s="1" t="s">
        <v>98</v>
      </c>
      <c r="B138" s="116" t="s">
        <v>20</v>
      </c>
      <c r="C138" s="116" t="s">
        <v>99</v>
      </c>
      <c r="D138" s="116">
        <v>5</v>
      </c>
      <c r="E138" s="2" t="s">
        <v>96</v>
      </c>
      <c r="F138" s="1" t="s">
        <v>1420</v>
      </c>
      <c r="G138" s="1" t="s">
        <v>3097</v>
      </c>
      <c r="H138" s="1" t="s">
        <v>3270</v>
      </c>
      <c r="I138" s="1" t="s">
        <v>1416</v>
      </c>
      <c r="J138" s="1" t="s">
        <v>3271</v>
      </c>
    </row>
    <row r="139" spans="1:10" ht="24" customHeight="1" x14ac:dyDescent="0.2">
      <c r="A139" s="1" t="s">
        <v>215</v>
      </c>
      <c r="B139" s="116" t="s">
        <v>20</v>
      </c>
      <c r="C139" s="116" t="s">
        <v>216</v>
      </c>
      <c r="D139" s="116">
        <v>7</v>
      </c>
      <c r="E139" s="2" t="s">
        <v>213</v>
      </c>
      <c r="F139" s="1" t="s">
        <v>892</v>
      </c>
      <c r="G139" s="1" t="s">
        <v>3272</v>
      </c>
      <c r="H139" s="1" t="s">
        <v>3273</v>
      </c>
      <c r="I139" s="1" t="s">
        <v>1416</v>
      </c>
      <c r="J139" s="1" t="s">
        <v>3274</v>
      </c>
    </row>
    <row r="140" spans="1:10" ht="24" customHeight="1" x14ac:dyDescent="0.2">
      <c r="A140" s="1" t="s">
        <v>381</v>
      </c>
      <c r="B140" s="116" t="s">
        <v>20</v>
      </c>
      <c r="C140" s="116" t="s">
        <v>382</v>
      </c>
      <c r="D140" s="116">
        <v>8</v>
      </c>
      <c r="E140" s="2" t="s">
        <v>37</v>
      </c>
      <c r="F140" s="1" t="s">
        <v>851</v>
      </c>
      <c r="G140" s="1" t="s">
        <v>3275</v>
      </c>
      <c r="H140" s="1" t="s">
        <v>3276</v>
      </c>
      <c r="I140" s="1" t="s">
        <v>1416</v>
      </c>
      <c r="J140" s="1" t="s">
        <v>3277</v>
      </c>
    </row>
    <row r="141" spans="1:10" ht="24" customHeight="1" x14ac:dyDescent="0.2">
      <c r="A141" s="1" t="s">
        <v>1276</v>
      </c>
      <c r="B141" s="116" t="s">
        <v>1275</v>
      </c>
      <c r="C141" s="116" t="s">
        <v>1274</v>
      </c>
      <c r="D141" s="116" t="s">
        <v>1343</v>
      </c>
      <c r="E141" s="2" t="s">
        <v>213</v>
      </c>
      <c r="F141" s="1" t="s">
        <v>795</v>
      </c>
      <c r="G141" s="1" t="s">
        <v>3278</v>
      </c>
      <c r="H141" s="1" t="s">
        <v>3279</v>
      </c>
      <c r="I141" s="1" t="s">
        <v>1416</v>
      </c>
      <c r="J141" s="1" t="s">
        <v>3280</v>
      </c>
    </row>
    <row r="142" spans="1:10" ht="36" customHeight="1" x14ac:dyDescent="0.2">
      <c r="A142" s="1" t="s">
        <v>610</v>
      </c>
      <c r="B142" s="116" t="s">
        <v>20</v>
      </c>
      <c r="C142" s="116" t="s">
        <v>611</v>
      </c>
      <c r="D142" s="116">
        <v>6</v>
      </c>
      <c r="E142" s="2" t="s">
        <v>49</v>
      </c>
      <c r="F142" s="1" t="s">
        <v>816</v>
      </c>
      <c r="G142" s="1" t="s">
        <v>3281</v>
      </c>
      <c r="H142" s="1" t="s">
        <v>3282</v>
      </c>
      <c r="I142" s="1" t="s">
        <v>1409</v>
      </c>
      <c r="J142" s="1" t="s">
        <v>1802</v>
      </c>
    </row>
    <row r="143" spans="1:10" ht="24" customHeight="1" x14ac:dyDescent="0.2">
      <c r="A143" s="1" t="s">
        <v>625</v>
      </c>
      <c r="B143" s="116" t="s">
        <v>20</v>
      </c>
      <c r="C143" s="116" t="s">
        <v>626</v>
      </c>
      <c r="D143" s="116">
        <v>22</v>
      </c>
      <c r="E143" s="2" t="s">
        <v>22</v>
      </c>
      <c r="F143" s="1" t="s">
        <v>813</v>
      </c>
      <c r="G143" s="1" t="s">
        <v>3283</v>
      </c>
      <c r="H143" s="1" t="s">
        <v>3284</v>
      </c>
      <c r="I143" s="1" t="s">
        <v>1409</v>
      </c>
      <c r="J143" s="1" t="s">
        <v>1803</v>
      </c>
    </row>
    <row r="144" spans="1:10" ht="36" customHeight="1" x14ac:dyDescent="0.2">
      <c r="A144" s="1" t="s">
        <v>1264</v>
      </c>
      <c r="B144" s="116" t="s">
        <v>249</v>
      </c>
      <c r="C144" s="116" t="s">
        <v>1263</v>
      </c>
      <c r="D144" s="116">
        <v>170</v>
      </c>
      <c r="E144" s="2" t="s">
        <v>92</v>
      </c>
      <c r="F144" s="1" t="s">
        <v>1406</v>
      </c>
      <c r="G144" s="1" t="s">
        <v>3285</v>
      </c>
      <c r="H144" s="1" t="s">
        <v>3286</v>
      </c>
      <c r="I144" s="1" t="s">
        <v>1409</v>
      </c>
      <c r="J144" s="1" t="s">
        <v>1804</v>
      </c>
    </row>
    <row r="145" spans="1:10" ht="36" customHeight="1" x14ac:dyDescent="0.2">
      <c r="A145" s="1" t="s">
        <v>337</v>
      </c>
      <c r="B145" s="116" t="s">
        <v>20</v>
      </c>
      <c r="C145" s="116" t="s">
        <v>338</v>
      </c>
      <c r="D145" s="116">
        <v>8</v>
      </c>
      <c r="E145" s="2" t="s">
        <v>37</v>
      </c>
      <c r="F145" s="1" t="s">
        <v>804</v>
      </c>
      <c r="G145" s="1" t="s">
        <v>3287</v>
      </c>
      <c r="H145" s="1" t="s">
        <v>3288</v>
      </c>
      <c r="I145" s="1" t="s">
        <v>1409</v>
      </c>
      <c r="J145" s="1" t="s">
        <v>3289</v>
      </c>
    </row>
    <row r="146" spans="1:10" ht="24" customHeight="1" x14ac:dyDescent="0.2">
      <c r="A146" s="1" t="s">
        <v>375</v>
      </c>
      <c r="B146" s="116" t="s">
        <v>20</v>
      </c>
      <c r="C146" s="116" t="s">
        <v>376</v>
      </c>
      <c r="D146" s="116">
        <v>8</v>
      </c>
      <c r="E146" s="2" t="s">
        <v>37</v>
      </c>
      <c r="F146" s="1" t="s">
        <v>865</v>
      </c>
      <c r="G146" s="1" t="s">
        <v>3290</v>
      </c>
      <c r="H146" s="1" t="s">
        <v>3291</v>
      </c>
      <c r="I146" s="1" t="s">
        <v>1409</v>
      </c>
      <c r="J146" s="1" t="s">
        <v>1805</v>
      </c>
    </row>
    <row r="147" spans="1:10" ht="24" customHeight="1" x14ac:dyDescent="0.2">
      <c r="A147" s="1" t="s">
        <v>460</v>
      </c>
      <c r="B147" s="116" t="s">
        <v>20</v>
      </c>
      <c r="C147" s="116" t="s">
        <v>461</v>
      </c>
      <c r="D147" s="116">
        <v>9</v>
      </c>
      <c r="E147" s="2" t="s">
        <v>246</v>
      </c>
      <c r="F147" s="1" t="s">
        <v>856</v>
      </c>
      <c r="G147" s="1" t="s">
        <v>3292</v>
      </c>
      <c r="H147" s="1" t="s">
        <v>3293</v>
      </c>
      <c r="I147" s="1" t="s">
        <v>1407</v>
      </c>
      <c r="J147" s="1" t="s">
        <v>3294</v>
      </c>
    </row>
    <row r="148" spans="1:10" ht="24" customHeight="1" x14ac:dyDescent="0.2">
      <c r="A148" s="1" t="s">
        <v>82</v>
      </c>
      <c r="B148" s="116" t="s">
        <v>20</v>
      </c>
      <c r="C148" s="116" t="s">
        <v>83</v>
      </c>
      <c r="D148" s="116">
        <v>4</v>
      </c>
      <c r="E148" s="2" t="s">
        <v>49</v>
      </c>
      <c r="F148" s="1" t="s">
        <v>1412</v>
      </c>
      <c r="G148" s="1" t="s">
        <v>1806</v>
      </c>
      <c r="H148" s="1" t="s">
        <v>1807</v>
      </c>
      <c r="I148" s="1" t="s">
        <v>1407</v>
      </c>
      <c r="J148" s="1" t="s">
        <v>1808</v>
      </c>
    </row>
    <row r="149" spans="1:10" ht="24" customHeight="1" x14ac:dyDescent="0.2">
      <c r="A149" s="1" t="s">
        <v>628</v>
      </c>
      <c r="B149" s="116" t="s">
        <v>20</v>
      </c>
      <c r="C149" s="116" t="s">
        <v>629</v>
      </c>
      <c r="D149" s="116">
        <v>27</v>
      </c>
      <c r="E149" s="2" t="s">
        <v>22</v>
      </c>
      <c r="F149" s="1" t="s">
        <v>812</v>
      </c>
      <c r="G149" s="1" t="s">
        <v>3295</v>
      </c>
      <c r="H149" s="1" t="s">
        <v>3296</v>
      </c>
      <c r="I149" s="1" t="s">
        <v>1407</v>
      </c>
      <c r="J149" s="1" t="s">
        <v>1809</v>
      </c>
    </row>
    <row r="150" spans="1:10" ht="24" customHeight="1" x14ac:dyDescent="0.2">
      <c r="A150" s="1" t="s">
        <v>263</v>
      </c>
      <c r="B150" s="116" t="s">
        <v>25</v>
      </c>
      <c r="C150" s="116" t="s">
        <v>264</v>
      </c>
      <c r="D150" s="116" t="s">
        <v>1362</v>
      </c>
      <c r="E150" s="2" t="s">
        <v>236</v>
      </c>
      <c r="F150" s="1" t="s">
        <v>885</v>
      </c>
      <c r="G150" s="1" t="s">
        <v>3297</v>
      </c>
      <c r="H150" s="1" t="s">
        <v>3298</v>
      </c>
      <c r="I150" s="1" t="s">
        <v>1407</v>
      </c>
      <c r="J150" s="1" t="s">
        <v>1810</v>
      </c>
    </row>
    <row r="151" spans="1:10" ht="24" customHeight="1" x14ac:dyDescent="0.2">
      <c r="A151" s="1" t="s">
        <v>1319</v>
      </c>
      <c r="B151" s="116" t="s">
        <v>25</v>
      </c>
      <c r="C151" s="116" t="s">
        <v>1318</v>
      </c>
      <c r="D151" s="116" t="s">
        <v>1415</v>
      </c>
      <c r="E151" s="2" t="s">
        <v>49</v>
      </c>
      <c r="F151" s="1" t="s">
        <v>1414</v>
      </c>
      <c r="G151" s="1" t="s">
        <v>3299</v>
      </c>
      <c r="H151" s="1" t="s">
        <v>3300</v>
      </c>
      <c r="I151" s="1" t="s">
        <v>1407</v>
      </c>
      <c r="J151" s="1" t="s">
        <v>3301</v>
      </c>
    </row>
    <row r="152" spans="1:10" ht="36" customHeight="1" x14ac:dyDescent="0.2">
      <c r="A152" s="1" t="s">
        <v>1334</v>
      </c>
      <c r="B152" s="116" t="s">
        <v>20</v>
      </c>
      <c r="C152" s="116" t="s">
        <v>1333</v>
      </c>
      <c r="D152" s="116">
        <v>2</v>
      </c>
      <c r="E152" s="2" t="s">
        <v>22</v>
      </c>
      <c r="F152" s="1" t="s">
        <v>1411</v>
      </c>
      <c r="G152" s="1" t="s">
        <v>3302</v>
      </c>
      <c r="H152" s="1" t="s">
        <v>3303</v>
      </c>
      <c r="I152" s="1" t="s">
        <v>1407</v>
      </c>
      <c r="J152" s="1" t="s">
        <v>1839</v>
      </c>
    </row>
    <row r="153" spans="1:10" ht="24" customHeight="1" x14ac:dyDescent="0.2">
      <c r="A153" s="1" t="s">
        <v>1641</v>
      </c>
      <c r="B153" s="116" t="s">
        <v>20</v>
      </c>
      <c r="C153" s="116" t="s">
        <v>1640</v>
      </c>
      <c r="D153" s="116">
        <v>7</v>
      </c>
      <c r="E153" s="2" t="s">
        <v>37</v>
      </c>
      <c r="F153" s="1" t="s">
        <v>1713</v>
      </c>
      <c r="G153" s="1" t="s">
        <v>2943</v>
      </c>
      <c r="H153" s="1" t="s">
        <v>3304</v>
      </c>
      <c r="I153" s="1" t="s">
        <v>1407</v>
      </c>
      <c r="J153" s="1" t="s">
        <v>1811</v>
      </c>
    </row>
    <row r="154" spans="1:10" ht="24" customHeight="1" x14ac:dyDescent="0.2">
      <c r="A154" s="1" t="s">
        <v>139</v>
      </c>
      <c r="B154" s="116" t="s">
        <v>25</v>
      </c>
      <c r="C154" s="116" t="s">
        <v>140</v>
      </c>
      <c r="D154" s="116" t="s">
        <v>1413</v>
      </c>
      <c r="E154" s="2" t="s">
        <v>49</v>
      </c>
      <c r="F154" s="1" t="s">
        <v>919</v>
      </c>
      <c r="G154" s="1" t="s">
        <v>3305</v>
      </c>
      <c r="H154" s="1" t="s">
        <v>3306</v>
      </c>
      <c r="I154" s="1" t="s">
        <v>1407</v>
      </c>
      <c r="J154" s="1" t="s">
        <v>3307</v>
      </c>
    </row>
    <row r="155" spans="1:10" ht="24" customHeight="1" x14ac:dyDescent="0.2">
      <c r="A155" s="1" t="s">
        <v>248</v>
      </c>
      <c r="B155" s="116" t="s">
        <v>249</v>
      </c>
      <c r="C155" s="116" t="s">
        <v>250</v>
      </c>
      <c r="D155" s="116">
        <v>60</v>
      </c>
      <c r="E155" s="2" t="s">
        <v>236</v>
      </c>
      <c r="F155" s="1" t="s">
        <v>849</v>
      </c>
      <c r="G155" s="1" t="s">
        <v>3308</v>
      </c>
      <c r="H155" s="1" t="s">
        <v>3309</v>
      </c>
      <c r="I155" s="1" t="s">
        <v>1407</v>
      </c>
      <c r="J155" s="1" t="s">
        <v>1812</v>
      </c>
    </row>
    <row r="156" spans="1:10" ht="24" customHeight="1" x14ac:dyDescent="0.2">
      <c r="A156" s="1" t="s">
        <v>453</v>
      </c>
      <c r="B156" s="116" t="s">
        <v>20</v>
      </c>
      <c r="C156" s="116" t="s">
        <v>454</v>
      </c>
      <c r="D156" s="116">
        <v>8</v>
      </c>
      <c r="E156" s="2" t="s">
        <v>246</v>
      </c>
      <c r="F156" s="1" t="s">
        <v>756</v>
      </c>
      <c r="G156" s="1" t="s">
        <v>3310</v>
      </c>
      <c r="H156" s="1" t="s">
        <v>3311</v>
      </c>
      <c r="I156" s="1" t="s">
        <v>1407</v>
      </c>
      <c r="J156" s="1" t="s">
        <v>3312</v>
      </c>
    </row>
    <row r="157" spans="1:10" ht="36" customHeight="1" x14ac:dyDescent="0.2">
      <c r="A157" s="1" t="s">
        <v>205</v>
      </c>
      <c r="B157" s="116" t="s">
        <v>20</v>
      </c>
      <c r="C157" s="116" t="s">
        <v>206</v>
      </c>
      <c r="D157" s="116">
        <v>7</v>
      </c>
      <c r="E157" s="2" t="s">
        <v>92</v>
      </c>
      <c r="F157" s="1" t="s">
        <v>885</v>
      </c>
      <c r="G157" s="1" t="s">
        <v>3313</v>
      </c>
      <c r="H157" s="1" t="s">
        <v>3314</v>
      </c>
      <c r="I157" s="1" t="s">
        <v>932</v>
      </c>
      <c r="J157" s="1" t="s">
        <v>1813</v>
      </c>
    </row>
    <row r="158" spans="1:10" ht="24" customHeight="1" x14ac:dyDescent="0.2">
      <c r="A158" s="1" t="s">
        <v>257</v>
      </c>
      <c r="B158" s="116" t="s">
        <v>20</v>
      </c>
      <c r="C158" s="116" t="s">
        <v>258</v>
      </c>
      <c r="D158" s="116">
        <v>7</v>
      </c>
      <c r="E158" s="2" t="s">
        <v>246</v>
      </c>
      <c r="F158" s="1" t="s">
        <v>886</v>
      </c>
      <c r="G158" s="1" t="s">
        <v>1814</v>
      </c>
      <c r="H158" s="1" t="s">
        <v>1815</v>
      </c>
      <c r="I158" s="1" t="s">
        <v>932</v>
      </c>
      <c r="J158" s="1" t="s">
        <v>3315</v>
      </c>
    </row>
    <row r="159" spans="1:10" ht="24" customHeight="1" x14ac:dyDescent="0.2">
      <c r="A159" s="1" t="s">
        <v>170</v>
      </c>
      <c r="B159" s="116" t="s">
        <v>20</v>
      </c>
      <c r="C159" s="116" t="s">
        <v>171</v>
      </c>
      <c r="D159" s="116">
        <v>6</v>
      </c>
      <c r="E159" s="2" t="s">
        <v>96</v>
      </c>
      <c r="F159" s="1" t="s">
        <v>904</v>
      </c>
      <c r="G159" s="1" t="s">
        <v>3316</v>
      </c>
      <c r="H159" s="1" t="s">
        <v>3317</v>
      </c>
      <c r="I159" s="1" t="s">
        <v>932</v>
      </c>
      <c r="J159" s="1" t="s">
        <v>3318</v>
      </c>
    </row>
    <row r="160" spans="1:10" ht="24" customHeight="1" x14ac:dyDescent="0.2">
      <c r="A160" s="1" t="s">
        <v>402</v>
      </c>
      <c r="B160" s="116" t="s">
        <v>249</v>
      </c>
      <c r="C160" s="116" t="s">
        <v>403</v>
      </c>
      <c r="D160" s="116">
        <v>53</v>
      </c>
      <c r="E160" s="2" t="s">
        <v>236</v>
      </c>
      <c r="F160" s="1" t="s">
        <v>854</v>
      </c>
      <c r="G160" s="1" t="s">
        <v>3319</v>
      </c>
      <c r="H160" s="1" t="s">
        <v>3320</v>
      </c>
      <c r="I160" s="1" t="s">
        <v>932</v>
      </c>
      <c r="J160" s="1" t="s">
        <v>3321</v>
      </c>
    </row>
    <row r="161" spans="1:10" ht="24" customHeight="1" x14ac:dyDescent="0.2">
      <c r="A161" s="1" t="s">
        <v>574</v>
      </c>
      <c r="B161" s="116" t="s">
        <v>20</v>
      </c>
      <c r="C161" s="116" t="s">
        <v>575</v>
      </c>
      <c r="D161" s="116">
        <v>12</v>
      </c>
      <c r="E161" s="2" t="s">
        <v>22</v>
      </c>
      <c r="F161" s="1" t="s">
        <v>827</v>
      </c>
      <c r="G161" s="1" t="s">
        <v>1816</v>
      </c>
      <c r="H161" s="1" t="s">
        <v>3322</v>
      </c>
      <c r="I161" s="1" t="s">
        <v>932</v>
      </c>
      <c r="J161" s="1" t="s">
        <v>3323</v>
      </c>
    </row>
    <row r="162" spans="1:10" ht="24" customHeight="1" x14ac:dyDescent="0.2">
      <c r="A162" s="1" t="s">
        <v>275</v>
      </c>
      <c r="B162" s="116" t="s">
        <v>25</v>
      </c>
      <c r="C162" s="116" t="s">
        <v>276</v>
      </c>
      <c r="D162" s="116" t="s">
        <v>1362</v>
      </c>
      <c r="E162" s="2" t="s">
        <v>236</v>
      </c>
      <c r="F162" s="1" t="s">
        <v>805</v>
      </c>
      <c r="G162" s="1" t="s">
        <v>3324</v>
      </c>
      <c r="H162" s="1" t="s">
        <v>3325</v>
      </c>
      <c r="I162" s="1" t="s">
        <v>932</v>
      </c>
      <c r="J162" s="1" t="s">
        <v>3326</v>
      </c>
    </row>
    <row r="163" spans="1:10" ht="24" customHeight="1" x14ac:dyDescent="0.2">
      <c r="A163" s="1" t="s">
        <v>243</v>
      </c>
      <c r="B163" s="116" t="s">
        <v>244</v>
      </c>
      <c r="C163" s="116" t="s">
        <v>245</v>
      </c>
      <c r="D163" s="116" t="s">
        <v>1408</v>
      </c>
      <c r="E163" s="2" t="s">
        <v>246</v>
      </c>
      <c r="F163" s="1" t="s">
        <v>871</v>
      </c>
      <c r="G163" s="1" t="s">
        <v>3327</v>
      </c>
      <c r="H163" s="1" t="s">
        <v>3328</v>
      </c>
      <c r="I163" s="1" t="s">
        <v>932</v>
      </c>
      <c r="J163" s="1" t="s">
        <v>1817</v>
      </c>
    </row>
    <row r="164" spans="1:10" ht="24" customHeight="1" x14ac:dyDescent="0.2">
      <c r="A164" s="1" t="s">
        <v>675</v>
      </c>
      <c r="B164" s="116" t="s">
        <v>20</v>
      </c>
      <c r="C164" s="116" t="s">
        <v>676</v>
      </c>
      <c r="D164" s="116">
        <v>23</v>
      </c>
      <c r="E164" s="2" t="s">
        <v>37</v>
      </c>
      <c r="F164" s="1" t="s">
        <v>797</v>
      </c>
      <c r="G164" s="1" t="s">
        <v>3329</v>
      </c>
      <c r="H164" s="1" t="s">
        <v>3330</v>
      </c>
      <c r="I164" s="1" t="s">
        <v>932</v>
      </c>
      <c r="J164" s="1" t="s">
        <v>1818</v>
      </c>
    </row>
    <row r="165" spans="1:10" ht="24" customHeight="1" x14ac:dyDescent="0.2">
      <c r="A165" s="1" t="s">
        <v>502</v>
      </c>
      <c r="B165" s="116" t="s">
        <v>20</v>
      </c>
      <c r="C165" s="116" t="s">
        <v>503</v>
      </c>
      <c r="D165" s="116">
        <v>8</v>
      </c>
      <c r="E165" s="2" t="s">
        <v>37</v>
      </c>
      <c r="F165" s="1" t="s">
        <v>804</v>
      </c>
      <c r="G165" s="1" t="s">
        <v>3331</v>
      </c>
      <c r="H165" s="1" t="s">
        <v>3332</v>
      </c>
      <c r="I165" s="1" t="s">
        <v>932</v>
      </c>
      <c r="J165" s="1" t="s">
        <v>3333</v>
      </c>
    </row>
    <row r="166" spans="1:10" ht="24" customHeight="1" x14ac:dyDescent="0.2">
      <c r="A166" s="1" t="s">
        <v>1308</v>
      </c>
      <c r="B166" s="116" t="s">
        <v>20</v>
      </c>
      <c r="C166" s="116" t="s">
        <v>1307</v>
      </c>
      <c r="D166" s="116">
        <v>6</v>
      </c>
      <c r="E166" s="2" t="s">
        <v>22</v>
      </c>
      <c r="F166" s="1" t="s">
        <v>1406</v>
      </c>
      <c r="G166" s="1" t="s">
        <v>3334</v>
      </c>
      <c r="H166" s="1" t="s">
        <v>3335</v>
      </c>
      <c r="I166" s="1" t="s">
        <v>1399</v>
      </c>
      <c r="J166" s="1" t="s">
        <v>1714</v>
      </c>
    </row>
    <row r="167" spans="1:10" ht="24" customHeight="1" x14ac:dyDescent="0.2">
      <c r="A167" s="1" t="s">
        <v>363</v>
      </c>
      <c r="B167" s="116" t="s">
        <v>20</v>
      </c>
      <c r="C167" s="116" t="s">
        <v>364</v>
      </c>
      <c r="D167" s="116">
        <v>8</v>
      </c>
      <c r="E167" s="2" t="s">
        <v>246</v>
      </c>
      <c r="F167" s="1" t="s">
        <v>850</v>
      </c>
      <c r="G167" s="1" t="s">
        <v>1819</v>
      </c>
      <c r="H167" s="1" t="s">
        <v>1820</v>
      </c>
      <c r="I167" s="1" t="s">
        <v>1399</v>
      </c>
      <c r="J167" s="1" t="s">
        <v>3336</v>
      </c>
    </row>
    <row r="168" spans="1:10" ht="24" customHeight="1" x14ac:dyDescent="0.2">
      <c r="A168" s="1" t="s">
        <v>1267</v>
      </c>
      <c r="B168" s="116" t="s">
        <v>20</v>
      </c>
      <c r="C168" s="116" t="s">
        <v>1266</v>
      </c>
      <c r="D168" s="116">
        <v>20</v>
      </c>
      <c r="E168" s="2" t="s">
        <v>92</v>
      </c>
      <c r="F168" s="1" t="s">
        <v>1405</v>
      </c>
      <c r="G168" s="1" t="s">
        <v>3337</v>
      </c>
      <c r="H168" s="1" t="s">
        <v>3338</v>
      </c>
      <c r="I168" s="1" t="s">
        <v>1399</v>
      </c>
      <c r="J168" s="1" t="s">
        <v>3339</v>
      </c>
    </row>
    <row r="169" spans="1:10" ht="24" customHeight="1" x14ac:dyDescent="0.2">
      <c r="A169" s="1" t="s">
        <v>122</v>
      </c>
      <c r="B169" s="116" t="s">
        <v>20</v>
      </c>
      <c r="C169" s="116" t="s">
        <v>123</v>
      </c>
      <c r="D169" s="116">
        <v>6</v>
      </c>
      <c r="E169" s="2" t="s">
        <v>22</v>
      </c>
      <c r="F169" s="1" t="s">
        <v>925</v>
      </c>
      <c r="G169" s="1" t="s">
        <v>3340</v>
      </c>
      <c r="H169" s="1" t="s">
        <v>3341</v>
      </c>
      <c r="I169" s="1" t="s">
        <v>1399</v>
      </c>
      <c r="J169" s="1" t="s">
        <v>1715</v>
      </c>
    </row>
    <row r="170" spans="1:10" ht="24" customHeight="1" x14ac:dyDescent="0.2">
      <c r="A170" s="1" t="s">
        <v>304</v>
      </c>
      <c r="B170" s="116" t="s">
        <v>20</v>
      </c>
      <c r="C170" s="116" t="s">
        <v>305</v>
      </c>
      <c r="D170" s="116">
        <v>7</v>
      </c>
      <c r="E170" s="2" t="s">
        <v>37</v>
      </c>
      <c r="F170" s="1" t="s">
        <v>802</v>
      </c>
      <c r="G170" s="1" t="s">
        <v>3342</v>
      </c>
      <c r="H170" s="1" t="s">
        <v>3342</v>
      </c>
      <c r="I170" s="1" t="s">
        <v>1390</v>
      </c>
      <c r="J170" s="1" t="s">
        <v>3343</v>
      </c>
    </row>
    <row r="171" spans="1:10" ht="24" customHeight="1" x14ac:dyDescent="0.2">
      <c r="A171" s="1" t="s">
        <v>1283</v>
      </c>
      <c r="B171" s="116" t="s">
        <v>25</v>
      </c>
      <c r="C171" s="116" t="s">
        <v>1282</v>
      </c>
      <c r="D171" s="116" t="s">
        <v>1369</v>
      </c>
      <c r="E171" s="2" t="s">
        <v>236</v>
      </c>
      <c r="F171" s="1" t="s">
        <v>849</v>
      </c>
      <c r="G171" s="1" t="s">
        <v>1404</v>
      </c>
      <c r="H171" s="1" t="s">
        <v>1403</v>
      </c>
      <c r="I171" s="1" t="s">
        <v>1390</v>
      </c>
      <c r="J171" s="1" t="s">
        <v>1716</v>
      </c>
    </row>
    <row r="172" spans="1:10" ht="24" customHeight="1" x14ac:dyDescent="0.2">
      <c r="A172" s="1" t="s">
        <v>130</v>
      </c>
      <c r="B172" s="116" t="s">
        <v>20</v>
      </c>
      <c r="C172" s="116" t="s">
        <v>131</v>
      </c>
      <c r="D172" s="116">
        <v>5</v>
      </c>
      <c r="E172" s="2" t="s">
        <v>49</v>
      </c>
      <c r="F172" s="1" t="s">
        <v>921</v>
      </c>
      <c r="G172" s="1" t="s">
        <v>1770</v>
      </c>
      <c r="H172" s="1" t="s">
        <v>1821</v>
      </c>
      <c r="I172" s="1" t="s">
        <v>1390</v>
      </c>
      <c r="J172" s="1" t="s">
        <v>1717</v>
      </c>
    </row>
    <row r="173" spans="1:10" ht="24" customHeight="1" x14ac:dyDescent="0.2">
      <c r="A173" s="1" t="s">
        <v>47</v>
      </c>
      <c r="B173" s="116" t="s">
        <v>20</v>
      </c>
      <c r="C173" s="116" t="s">
        <v>48</v>
      </c>
      <c r="D173" s="116">
        <v>2</v>
      </c>
      <c r="E173" s="2" t="s">
        <v>49</v>
      </c>
      <c r="F173" s="1" t="s">
        <v>1400</v>
      </c>
      <c r="G173" s="1" t="s">
        <v>3344</v>
      </c>
      <c r="H173" s="1" t="s">
        <v>3345</v>
      </c>
      <c r="I173" s="1" t="s">
        <v>1390</v>
      </c>
      <c r="J173" s="1" t="s">
        <v>1822</v>
      </c>
    </row>
    <row r="174" spans="1:10" ht="24" customHeight="1" x14ac:dyDescent="0.2">
      <c r="A174" s="1" t="s">
        <v>208</v>
      </c>
      <c r="B174" s="116" t="s">
        <v>20</v>
      </c>
      <c r="C174" s="116" t="s">
        <v>209</v>
      </c>
      <c r="D174" s="116">
        <v>7</v>
      </c>
      <c r="E174" s="2" t="s">
        <v>92</v>
      </c>
      <c r="F174" s="1" t="s">
        <v>887</v>
      </c>
      <c r="G174" s="1" t="s">
        <v>1823</v>
      </c>
      <c r="H174" s="1" t="s">
        <v>1824</v>
      </c>
      <c r="I174" s="1" t="s">
        <v>1390</v>
      </c>
      <c r="J174" s="1" t="s">
        <v>3346</v>
      </c>
    </row>
    <row r="175" spans="1:10" ht="24" customHeight="1" x14ac:dyDescent="0.2">
      <c r="A175" s="1" t="s">
        <v>1286</v>
      </c>
      <c r="B175" s="116" t="s">
        <v>25</v>
      </c>
      <c r="C175" s="116" t="s">
        <v>1285</v>
      </c>
      <c r="D175" s="116" t="s">
        <v>1369</v>
      </c>
      <c r="E175" s="2" t="s">
        <v>236</v>
      </c>
      <c r="F175" s="1" t="s">
        <v>849</v>
      </c>
      <c r="G175" s="1" t="s">
        <v>1402</v>
      </c>
      <c r="H175" s="1" t="s">
        <v>1401</v>
      </c>
      <c r="I175" s="1" t="s">
        <v>1390</v>
      </c>
      <c r="J175" s="1" t="s">
        <v>1718</v>
      </c>
    </row>
    <row r="176" spans="1:10" ht="24" customHeight="1" x14ac:dyDescent="0.2">
      <c r="A176" s="1" t="s">
        <v>1295</v>
      </c>
      <c r="B176" s="116" t="s">
        <v>20</v>
      </c>
      <c r="C176" s="116" t="s">
        <v>1294</v>
      </c>
      <c r="D176" s="116">
        <v>8</v>
      </c>
      <c r="E176" s="2" t="s">
        <v>37</v>
      </c>
      <c r="F176" s="1" t="s">
        <v>850</v>
      </c>
      <c r="G176" s="1" t="s">
        <v>3347</v>
      </c>
      <c r="H176" s="1" t="s">
        <v>3348</v>
      </c>
      <c r="I176" s="1" t="s">
        <v>1390</v>
      </c>
      <c r="J176" s="1" t="s">
        <v>1719</v>
      </c>
    </row>
    <row r="177" spans="1:10" ht="24" customHeight="1" x14ac:dyDescent="0.2">
      <c r="A177" s="1" t="s">
        <v>319</v>
      </c>
      <c r="B177" s="116" t="s">
        <v>20</v>
      </c>
      <c r="C177" s="116" t="s">
        <v>320</v>
      </c>
      <c r="D177" s="116">
        <v>7</v>
      </c>
      <c r="E177" s="2" t="s">
        <v>37</v>
      </c>
      <c r="F177" s="1" t="s">
        <v>756</v>
      </c>
      <c r="G177" s="1" t="s">
        <v>3349</v>
      </c>
      <c r="H177" s="1" t="s">
        <v>3350</v>
      </c>
      <c r="I177" s="1" t="s">
        <v>1390</v>
      </c>
      <c r="J177" s="1" t="s">
        <v>1720</v>
      </c>
    </row>
    <row r="178" spans="1:10" ht="48" customHeight="1" x14ac:dyDescent="0.2">
      <c r="A178" s="1" t="s">
        <v>113</v>
      </c>
      <c r="B178" s="116" t="s">
        <v>20</v>
      </c>
      <c r="C178" s="116" t="s">
        <v>114</v>
      </c>
      <c r="D178" s="116">
        <v>6</v>
      </c>
      <c r="E178" s="2" t="s">
        <v>49</v>
      </c>
      <c r="F178" s="1" t="s">
        <v>928</v>
      </c>
      <c r="G178" s="1" t="s">
        <v>1825</v>
      </c>
      <c r="H178" s="1" t="s">
        <v>3351</v>
      </c>
      <c r="I178" s="1" t="s">
        <v>1390</v>
      </c>
      <c r="J178" s="1" t="s">
        <v>3352</v>
      </c>
    </row>
    <row r="179" spans="1:10" ht="24" customHeight="1" x14ac:dyDescent="0.2">
      <c r="A179" s="1" t="s">
        <v>316</v>
      </c>
      <c r="B179" s="116" t="s">
        <v>20</v>
      </c>
      <c r="C179" s="116" t="s">
        <v>317</v>
      </c>
      <c r="D179" s="116">
        <v>7</v>
      </c>
      <c r="E179" s="2" t="s">
        <v>246</v>
      </c>
      <c r="F179" s="1" t="s">
        <v>802</v>
      </c>
      <c r="G179" s="1" t="s">
        <v>3353</v>
      </c>
      <c r="H179" s="1" t="s">
        <v>3353</v>
      </c>
      <c r="I179" s="1" t="s">
        <v>1390</v>
      </c>
      <c r="J179" s="1" t="s">
        <v>1721</v>
      </c>
    </row>
    <row r="180" spans="1:10" ht="24" customHeight="1" x14ac:dyDescent="0.2">
      <c r="A180" s="1" t="s">
        <v>51</v>
      </c>
      <c r="B180" s="116" t="s">
        <v>20</v>
      </c>
      <c r="C180" s="116" t="s">
        <v>52</v>
      </c>
      <c r="D180" s="116">
        <v>2</v>
      </c>
      <c r="E180" s="2" t="s">
        <v>22</v>
      </c>
      <c r="F180" s="1" t="s">
        <v>1395</v>
      </c>
      <c r="G180" s="1" t="s">
        <v>3354</v>
      </c>
      <c r="H180" s="1" t="s">
        <v>3355</v>
      </c>
      <c r="I180" s="1" t="s">
        <v>1390</v>
      </c>
      <c r="J180" s="1" t="s">
        <v>1722</v>
      </c>
    </row>
    <row r="181" spans="1:10" ht="36" customHeight="1" x14ac:dyDescent="0.2">
      <c r="A181" s="1" t="s">
        <v>106</v>
      </c>
      <c r="B181" s="116" t="s">
        <v>20</v>
      </c>
      <c r="C181" s="116" t="s">
        <v>107</v>
      </c>
      <c r="D181" s="116">
        <v>5</v>
      </c>
      <c r="E181" s="2" t="s">
        <v>22</v>
      </c>
      <c r="F181" s="1" t="s">
        <v>930</v>
      </c>
      <c r="G181" s="1" t="s">
        <v>1769</v>
      </c>
      <c r="H181" s="1" t="s">
        <v>3356</v>
      </c>
      <c r="I181" s="1" t="s">
        <v>1390</v>
      </c>
      <c r="J181" s="1" t="s">
        <v>1723</v>
      </c>
    </row>
    <row r="182" spans="1:10" ht="24" customHeight="1" x14ac:dyDescent="0.2">
      <c r="A182" s="1" t="s">
        <v>577</v>
      </c>
      <c r="B182" s="116" t="s">
        <v>20</v>
      </c>
      <c r="C182" s="116" t="s">
        <v>578</v>
      </c>
      <c r="D182" s="116">
        <v>12</v>
      </c>
      <c r="E182" s="2" t="s">
        <v>22</v>
      </c>
      <c r="F182" s="1" t="s">
        <v>779</v>
      </c>
      <c r="G182" s="1" t="s">
        <v>3357</v>
      </c>
      <c r="H182" s="1" t="s">
        <v>3358</v>
      </c>
      <c r="I182" s="1" t="s">
        <v>1390</v>
      </c>
      <c r="J182" s="1" t="s">
        <v>3359</v>
      </c>
    </row>
    <row r="183" spans="1:10" ht="24" customHeight="1" x14ac:dyDescent="0.2">
      <c r="A183" s="1" t="s">
        <v>513</v>
      </c>
      <c r="B183" s="116" t="s">
        <v>20</v>
      </c>
      <c r="C183" s="116" t="s">
        <v>514</v>
      </c>
      <c r="D183" s="116">
        <v>8</v>
      </c>
      <c r="E183" s="2" t="s">
        <v>37</v>
      </c>
      <c r="F183" s="1" t="s">
        <v>847</v>
      </c>
      <c r="G183" s="1" t="s">
        <v>3360</v>
      </c>
      <c r="H183" s="1" t="s">
        <v>3361</v>
      </c>
      <c r="I183" s="1" t="s">
        <v>1390</v>
      </c>
      <c r="J183" s="1" t="s">
        <v>1665</v>
      </c>
    </row>
    <row r="184" spans="1:10" ht="24" customHeight="1" x14ac:dyDescent="0.2">
      <c r="A184" s="1" t="s">
        <v>681</v>
      </c>
      <c r="B184" s="116" t="s">
        <v>25</v>
      </c>
      <c r="C184" s="116" t="s">
        <v>682</v>
      </c>
      <c r="D184" s="116" t="s">
        <v>1398</v>
      </c>
      <c r="E184" s="2" t="s">
        <v>92</v>
      </c>
      <c r="F184" s="1" t="s">
        <v>793</v>
      </c>
      <c r="G184" s="1" t="s">
        <v>3362</v>
      </c>
      <c r="H184" s="1" t="s">
        <v>3363</v>
      </c>
      <c r="I184" s="1" t="s">
        <v>1390</v>
      </c>
      <c r="J184" s="1" t="s">
        <v>1724</v>
      </c>
    </row>
    <row r="185" spans="1:10" ht="24" customHeight="1" x14ac:dyDescent="0.2">
      <c r="A185" s="1" t="s">
        <v>163</v>
      </c>
      <c r="B185" s="116" t="s">
        <v>20</v>
      </c>
      <c r="C185" s="116" t="s">
        <v>164</v>
      </c>
      <c r="D185" s="116">
        <v>6</v>
      </c>
      <c r="E185" s="2" t="s">
        <v>49</v>
      </c>
      <c r="F185" s="1" t="s">
        <v>1397</v>
      </c>
      <c r="G185" s="1" t="s">
        <v>1735</v>
      </c>
      <c r="H185" s="1" t="s">
        <v>3364</v>
      </c>
      <c r="I185" s="1" t="s">
        <v>1390</v>
      </c>
      <c r="J185" s="1" t="s">
        <v>1826</v>
      </c>
    </row>
    <row r="186" spans="1:10" ht="24" customHeight="1" x14ac:dyDescent="0.2">
      <c r="A186" s="1" t="s">
        <v>508</v>
      </c>
      <c r="B186" s="116" t="s">
        <v>20</v>
      </c>
      <c r="C186" s="116" t="s">
        <v>509</v>
      </c>
      <c r="D186" s="116">
        <v>8</v>
      </c>
      <c r="E186" s="2" t="s">
        <v>37</v>
      </c>
      <c r="F186" s="1" t="s">
        <v>802</v>
      </c>
      <c r="G186" s="1" t="s">
        <v>3365</v>
      </c>
      <c r="H186" s="1" t="s">
        <v>3365</v>
      </c>
      <c r="I186" s="1" t="s">
        <v>1386</v>
      </c>
      <c r="J186" s="1" t="s">
        <v>1664</v>
      </c>
    </row>
    <row r="187" spans="1:10" ht="24" customHeight="1" x14ac:dyDescent="0.2">
      <c r="A187" s="1" t="s">
        <v>1233</v>
      </c>
      <c r="B187" s="116" t="s">
        <v>20</v>
      </c>
      <c r="C187" s="116" t="s">
        <v>1232</v>
      </c>
      <c r="D187" s="116">
        <v>26</v>
      </c>
      <c r="E187" s="2" t="s">
        <v>22</v>
      </c>
      <c r="F187" s="1" t="s">
        <v>1396</v>
      </c>
      <c r="G187" s="1" t="s">
        <v>3217</v>
      </c>
      <c r="H187" s="1" t="s">
        <v>3366</v>
      </c>
      <c r="I187" s="1" t="s">
        <v>1386</v>
      </c>
      <c r="J187" s="1" t="s">
        <v>1393</v>
      </c>
    </row>
    <row r="188" spans="1:10" ht="24" customHeight="1" x14ac:dyDescent="0.2">
      <c r="A188" s="1" t="s">
        <v>386</v>
      </c>
      <c r="B188" s="116" t="s">
        <v>20</v>
      </c>
      <c r="C188" s="116" t="s">
        <v>387</v>
      </c>
      <c r="D188" s="116">
        <v>8</v>
      </c>
      <c r="E188" s="2" t="s">
        <v>213</v>
      </c>
      <c r="F188" s="1" t="s">
        <v>1394</v>
      </c>
      <c r="G188" s="1" t="s">
        <v>3367</v>
      </c>
      <c r="H188" s="1" t="s">
        <v>3368</v>
      </c>
      <c r="I188" s="1" t="s">
        <v>1386</v>
      </c>
      <c r="J188" s="1" t="s">
        <v>1827</v>
      </c>
    </row>
    <row r="189" spans="1:10" ht="24" customHeight="1" x14ac:dyDescent="0.2">
      <c r="A189" s="1" t="s">
        <v>369</v>
      </c>
      <c r="B189" s="116" t="s">
        <v>20</v>
      </c>
      <c r="C189" s="116" t="s">
        <v>370</v>
      </c>
      <c r="D189" s="116">
        <v>8</v>
      </c>
      <c r="E189" s="2" t="s">
        <v>246</v>
      </c>
      <c r="F189" s="1" t="s">
        <v>804</v>
      </c>
      <c r="G189" s="1" t="s">
        <v>3369</v>
      </c>
      <c r="H189" s="1" t="s">
        <v>3370</v>
      </c>
      <c r="I189" s="1" t="s">
        <v>1386</v>
      </c>
      <c r="J189" s="1" t="s">
        <v>1391</v>
      </c>
    </row>
    <row r="190" spans="1:10" ht="24" customHeight="1" x14ac:dyDescent="0.2">
      <c r="A190" s="1" t="s">
        <v>421</v>
      </c>
      <c r="B190" s="116" t="s">
        <v>20</v>
      </c>
      <c r="C190" s="116" t="s">
        <v>422</v>
      </c>
      <c r="D190" s="116">
        <v>8</v>
      </c>
      <c r="E190" s="2" t="s">
        <v>213</v>
      </c>
      <c r="F190" s="1" t="s">
        <v>859</v>
      </c>
      <c r="G190" s="1" t="s">
        <v>3371</v>
      </c>
      <c r="H190" s="1" t="s">
        <v>3372</v>
      </c>
      <c r="I190" s="1" t="s">
        <v>1386</v>
      </c>
      <c r="J190" s="1" t="s">
        <v>1663</v>
      </c>
    </row>
    <row r="191" spans="1:10" ht="24" customHeight="1" x14ac:dyDescent="0.2">
      <c r="A191" s="1" t="s">
        <v>327</v>
      </c>
      <c r="B191" s="116" t="s">
        <v>249</v>
      </c>
      <c r="C191" s="116" t="s">
        <v>328</v>
      </c>
      <c r="D191" s="116">
        <v>62</v>
      </c>
      <c r="E191" s="2" t="s">
        <v>236</v>
      </c>
      <c r="F191" s="1" t="s">
        <v>804</v>
      </c>
      <c r="G191" s="1" t="s">
        <v>3373</v>
      </c>
      <c r="H191" s="1" t="s">
        <v>3374</v>
      </c>
      <c r="I191" s="1" t="s">
        <v>1386</v>
      </c>
      <c r="J191" s="1" t="s">
        <v>1662</v>
      </c>
    </row>
    <row r="192" spans="1:10" ht="24" customHeight="1" x14ac:dyDescent="0.2">
      <c r="A192" s="1" t="s">
        <v>32</v>
      </c>
      <c r="B192" s="116" t="s">
        <v>20</v>
      </c>
      <c r="C192" s="116" t="s">
        <v>33</v>
      </c>
      <c r="D192" s="116">
        <v>2</v>
      </c>
      <c r="E192" s="2" t="s">
        <v>22</v>
      </c>
      <c r="F192" s="1" t="s">
        <v>888</v>
      </c>
      <c r="G192" s="1" t="s">
        <v>3375</v>
      </c>
      <c r="H192" s="1" t="s">
        <v>3376</v>
      </c>
      <c r="I192" s="1" t="s">
        <v>1386</v>
      </c>
      <c r="J192" s="1" t="s">
        <v>1828</v>
      </c>
    </row>
    <row r="193" spans="1:10" ht="36" customHeight="1" x14ac:dyDescent="0.2">
      <c r="A193" s="1" t="s">
        <v>324</v>
      </c>
      <c r="B193" s="116" t="s">
        <v>20</v>
      </c>
      <c r="C193" s="116" t="s">
        <v>325</v>
      </c>
      <c r="D193" s="116">
        <v>7</v>
      </c>
      <c r="E193" s="2" t="s">
        <v>37</v>
      </c>
      <c r="F193" s="1" t="s">
        <v>880</v>
      </c>
      <c r="G193" s="1" t="s">
        <v>3377</v>
      </c>
      <c r="H193" s="1" t="s">
        <v>3378</v>
      </c>
      <c r="I193" s="1" t="s">
        <v>1386</v>
      </c>
      <c r="J193" s="1" t="s">
        <v>1829</v>
      </c>
    </row>
    <row r="194" spans="1:10" ht="24" customHeight="1" x14ac:dyDescent="0.2">
      <c r="A194" s="1" t="s">
        <v>1231</v>
      </c>
      <c r="B194" s="116" t="s">
        <v>20</v>
      </c>
      <c r="C194" s="116" t="s">
        <v>1230</v>
      </c>
      <c r="D194" s="116">
        <v>26</v>
      </c>
      <c r="E194" s="2" t="s">
        <v>22</v>
      </c>
      <c r="F194" s="1" t="s">
        <v>1396</v>
      </c>
      <c r="G194" s="1" t="s">
        <v>3379</v>
      </c>
      <c r="H194" s="1" t="s">
        <v>3380</v>
      </c>
      <c r="I194" s="1" t="s">
        <v>1386</v>
      </c>
      <c r="J194" s="1" t="s">
        <v>1661</v>
      </c>
    </row>
    <row r="195" spans="1:10" ht="24" customHeight="1" x14ac:dyDescent="0.2">
      <c r="A195" s="1" t="s">
        <v>260</v>
      </c>
      <c r="B195" s="116" t="s">
        <v>244</v>
      </c>
      <c r="C195" s="116" t="s">
        <v>261</v>
      </c>
      <c r="D195" s="116" t="s">
        <v>1392</v>
      </c>
      <c r="E195" s="2" t="s">
        <v>246</v>
      </c>
      <c r="F195" s="1" t="s">
        <v>804</v>
      </c>
      <c r="G195" s="1" t="s">
        <v>3381</v>
      </c>
      <c r="H195" s="1" t="s">
        <v>3382</v>
      </c>
      <c r="I195" s="1" t="s">
        <v>1386</v>
      </c>
      <c r="J195" s="1" t="s">
        <v>1389</v>
      </c>
    </row>
    <row r="196" spans="1:10" ht="24" customHeight="1" x14ac:dyDescent="0.2">
      <c r="A196" s="1" t="s">
        <v>496</v>
      </c>
      <c r="B196" s="116" t="s">
        <v>20</v>
      </c>
      <c r="C196" s="116" t="s">
        <v>497</v>
      </c>
      <c r="D196" s="116">
        <v>8</v>
      </c>
      <c r="E196" s="2" t="s">
        <v>37</v>
      </c>
      <c r="F196" s="1" t="s">
        <v>802</v>
      </c>
      <c r="G196" s="1" t="s">
        <v>3383</v>
      </c>
      <c r="H196" s="1" t="s">
        <v>3383</v>
      </c>
      <c r="I196" s="1" t="s">
        <v>1386</v>
      </c>
      <c r="J196" s="1" t="s">
        <v>1725</v>
      </c>
    </row>
    <row r="197" spans="1:10" ht="24" customHeight="1" x14ac:dyDescent="0.2">
      <c r="A197" s="1" t="s">
        <v>278</v>
      </c>
      <c r="B197" s="116" t="s">
        <v>25</v>
      </c>
      <c r="C197" s="116" t="s">
        <v>279</v>
      </c>
      <c r="D197" s="116" t="s">
        <v>1362</v>
      </c>
      <c r="E197" s="2" t="s">
        <v>236</v>
      </c>
      <c r="F197" s="1" t="s">
        <v>804</v>
      </c>
      <c r="G197" s="1" t="s">
        <v>3384</v>
      </c>
      <c r="H197" s="1" t="s">
        <v>3385</v>
      </c>
      <c r="I197" s="1" t="s">
        <v>1386</v>
      </c>
      <c r="J197" s="1" t="s">
        <v>1726</v>
      </c>
    </row>
    <row r="198" spans="1:10" ht="36" customHeight="1" x14ac:dyDescent="0.2">
      <c r="A198" s="1" t="s">
        <v>1229</v>
      </c>
      <c r="B198" s="116" t="s">
        <v>249</v>
      </c>
      <c r="C198" s="116" t="s">
        <v>1228</v>
      </c>
      <c r="D198" s="116">
        <v>12</v>
      </c>
      <c r="E198" s="2" t="s">
        <v>22</v>
      </c>
      <c r="F198" s="1" t="s">
        <v>1388</v>
      </c>
      <c r="G198" s="1" t="s">
        <v>3386</v>
      </c>
      <c r="H198" s="1" t="s">
        <v>3387</v>
      </c>
      <c r="I198" s="1" t="s">
        <v>1386</v>
      </c>
      <c r="J198" s="1" t="s">
        <v>1728</v>
      </c>
    </row>
    <row r="199" spans="1:10" ht="24" customHeight="1" x14ac:dyDescent="0.2">
      <c r="A199" s="1" t="s">
        <v>126</v>
      </c>
      <c r="B199" s="116" t="s">
        <v>20</v>
      </c>
      <c r="C199" s="116" t="s">
        <v>127</v>
      </c>
      <c r="D199" s="116">
        <v>5</v>
      </c>
      <c r="E199" s="2" t="s">
        <v>96</v>
      </c>
      <c r="F199" s="1" t="s">
        <v>923</v>
      </c>
      <c r="G199" s="1" t="s">
        <v>3233</v>
      </c>
      <c r="H199" s="1" t="s">
        <v>3388</v>
      </c>
      <c r="I199" s="1" t="s">
        <v>1386</v>
      </c>
      <c r="J199" s="1" t="s">
        <v>3389</v>
      </c>
    </row>
    <row r="200" spans="1:10" ht="24" customHeight="1" x14ac:dyDescent="0.2">
      <c r="A200" s="1" t="s">
        <v>1693</v>
      </c>
      <c r="B200" s="116" t="s">
        <v>249</v>
      </c>
      <c r="C200" s="116" t="s">
        <v>1694</v>
      </c>
      <c r="D200" s="116">
        <v>63</v>
      </c>
      <c r="E200" s="2" t="s">
        <v>236</v>
      </c>
      <c r="F200" s="1" t="s">
        <v>1727</v>
      </c>
      <c r="G200" s="1" t="s">
        <v>3390</v>
      </c>
      <c r="H200" s="1" t="s">
        <v>3391</v>
      </c>
      <c r="I200" s="1" t="s">
        <v>1386</v>
      </c>
      <c r="J200" s="1" t="s">
        <v>1830</v>
      </c>
    </row>
    <row r="201" spans="1:10" ht="24" customHeight="1" x14ac:dyDescent="0.2">
      <c r="A201" s="1" t="s">
        <v>468</v>
      </c>
      <c r="B201" s="116" t="s">
        <v>20</v>
      </c>
      <c r="C201" s="116" t="s">
        <v>469</v>
      </c>
      <c r="D201" s="116">
        <v>8</v>
      </c>
      <c r="E201" s="2" t="s">
        <v>213</v>
      </c>
      <c r="F201" s="1" t="s">
        <v>852</v>
      </c>
      <c r="G201" s="1" t="s">
        <v>3392</v>
      </c>
      <c r="H201" s="1" t="s">
        <v>3393</v>
      </c>
      <c r="I201" s="1" t="s">
        <v>1386</v>
      </c>
      <c r="J201" s="1" t="s">
        <v>1833</v>
      </c>
    </row>
    <row r="202" spans="1:10" ht="24" customHeight="1" x14ac:dyDescent="0.2">
      <c r="A202" s="1" t="s">
        <v>1224</v>
      </c>
      <c r="B202" s="116" t="s">
        <v>20</v>
      </c>
      <c r="C202" s="116" t="s">
        <v>1223</v>
      </c>
      <c r="D202" s="116">
        <v>8</v>
      </c>
      <c r="E202" s="2" t="s">
        <v>37</v>
      </c>
      <c r="F202" s="1" t="s">
        <v>756</v>
      </c>
      <c r="G202" s="1" t="s">
        <v>1831</v>
      </c>
      <c r="H202" s="1" t="s">
        <v>1832</v>
      </c>
      <c r="I202" s="1" t="s">
        <v>1386</v>
      </c>
      <c r="J202" s="1" t="s">
        <v>1660</v>
      </c>
    </row>
    <row r="203" spans="1:10" ht="24" customHeight="1" x14ac:dyDescent="0.2">
      <c r="A203" s="1" t="s">
        <v>301</v>
      </c>
      <c r="B203" s="116" t="s">
        <v>20</v>
      </c>
      <c r="C203" s="116" t="s">
        <v>302</v>
      </c>
      <c r="D203" s="116">
        <v>7</v>
      </c>
      <c r="E203" s="2" t="s">
        <v>37</v>
      </c>
      <c r="F203" s="1" t="s">
        <v>756</v>
      </c>
      <c r="G203" s="1" t="s">
        <v>3394</v>
      </c>
      <c r="H203" s="1" t="s">
        <v>3395</v>
      </c>
      <c r="I203" s="1" t="s">
        <v>1386</v>
      </c>
      <c r="J203" s="1" t="s">
        <v>1834</v>
      </c>
    </row>
    <row r="204" spans="1:10" ht="24" customHeight="1" x14ac:dyDescent="0.2">
      <c r="A204" s="1" t="s">
        <v>366</v>
      </c>
      <c r="B204" s="116" t="s">
        <v>20</v>
      </c>
      <c r="C204" s="116" t="s">
        <v>367</v>
      </c>
      <c r="D204" s="116">
        <v>8</v>
      </c>
      <c r="E204" s="2" t="s">
        <v>37</v>
      </c>
      <c r="F204" s="1" t="s">
        <v>804</v>
      </c>
      <c r="G204" s="1" t="s">
        <v>3396</v>
      </c>
      <c r="H204" s="1" t="s">
        <v>3397</v>
      </c>
      <c r="I204" s="1" t="s">
        <v>1361</v>
      </c>
      <c r="J204" s="1" t="s">
        <v>1387</v>
      </c>
    </row>
    <row r="205" spans="1:10" ht="24" customHeight="1" x14ac:dyDescent="0.2">
      <c r="A205" s="1" t="s">
        <v>455</v>
      </c>
      <c r="B205" s="116" t="s">
        <v>20</v>
      </c>
      <c r="C205" s="116" t="s">
        <v>456</v>
      </c>
      <c r="D205" s="116">
        <v>8</v>
      </c>
      <c r="E205" s="2" t="s">
        <v>37</v>
      </c>
      <c r="F205" s="1" t="s">
        <v>857</v>
      </c>
      <c r="G205" s="1" t="s">
        <v>1739</v>
      </c>
      <c r="H205" s="1" t="s">
        <v>3398</v>
      </c>
      <c r="I205" s="1" t="s">
        <v>1361</v>
      </c>
      <c r="J205" s="1" t="s">
        <v>1835</v>
      </c>
    </row>
    <row r="206" spans="1:10" ht="24" customHeight="1" x14ac:dyDescent="0.2">
      <c r="A206" s="1" t="s">
        <v>1218</v>
      </c>
      <c r="B206" s="116" t="s">
        <v>20</v>
      </c>
      <c r="C206" s="116" t="s">
        <v>1217</v>
      </c>
      <c r="D206" s="116">
        <v>8</v>
      </c>
      <c r="E206" s="2" t="s">
        <v>37</v>
      </c>
      <c r="F206" s="1" t="s">
        <v>756</v>
      </c>
      <c r="G206" s="1" t="s">
        <v>3260</v>
      </c>
      <c r="H206" s="1" t="s">
        <v>3399</v>
      </c>
      <c r="I206" s="1" t="s">
        <v>1361</v>
      </c>
      <c r="J206" s="1" t="s">
        <v>1659</v>
      </c>
    </row>
    <row r="207" spans="1:10" ht="24" customHeight="1" x14ac:dyDescent="0.2">
      <c r="A207" s="1" t="s">
        <v>449</v>
      </c>
      <c r="B207" s="116" t="s">
        <v>20</v>
      </c>
      <c r="C207" s="116" t="s">
        <v>450</v>
      </c>
      <c r="D207" s="116">
        <v>8</v>
      </c>
      <c r="E207" s="2" t="s">
        <v>37</v>
      </c>
      <c r="F207" s="1" t="s">
        <v>804</v>
      </c>
      <c r="G207" s="1" t="s">
        <v>3400</v>
      </c>
      <c r="H207" s="1" t="s">
        <v>3401</v>
      </c>
      <c r="I207" s="1" t="s">
        <v>1361</v>
      </c>
      <c r="J207" s="1" t="s">
        <v>1385</v>
      </c>
    </row>
    <row r="208" spans="1:10" ht="24" customHeight="1" x14ac:dyDescent="0.2">
      <c r="A208" s="1" t="s">
        <v>1298</v>
      </c>
      <c r="B208" s="116" t="s">
        <v>20</v>
      </c>
      <c r="C208" s="116" t="s">
        <v>1297</v>
      </c>
      <c r="D208" s="116">
        <v>5</v>
      </c>
      <c r="E208" s="2" t="s">
        <v>49</v>
      </c>
      <c r="F208" s="1" t="s">
        <v>1384</v>
      </c>
      <c r="G208" s="1" t="s">
        <v>3402</v>
      </c>
      <c r="H208" s="1" t="s">
        <v>3403</v>
      </c>
      <c r="I208" s="1" t="s">
        <v>1361</v>
      </c>
      <c r="J208" s="1" t="s">
        <v>1729</v>
      </c>
    </row>
    <row r="209" spans="1:10" ht="36" customHeight="1" x14ac:dyDescent="0.2">
      <c r="A209" s="1" t="s">
        <v>436</v>
      </c>
      <c r="B209" s="116" t="s">
        <v>20</v>
      </c>
      <c r="C209" s="116" t="s">
        <v>437</v>
      </c>
      <c r="D209" s="116">
        <v>8</v>
      </c>
      <c r="E209" s="2" t="s">
        <v>37</v>
      </c>
      <c r="F209" s="1" t="s">
        <v>849</v>
      </c>
      <c r="G209" s="1" t="s">
        <v>1486</v>
      </c>
      <c r="H209" s="1" t="s">
        <v>1836</v>
      </c>
      <c r="I209" s="1" t="s">
        <v>1361</v>
      </c>
      <c r="J209" s="1" t="s">
        <v>1658</v>
      </c>
    </row>
    <row r="210" spans="1:10" ht="24" customHeight="1" x14ac:dyDescent="0.2">
      <c r="A210" s="1" t="s">
        <v>266</v>
      </c>
      <c r="B210" s="116" t="s">
        <v>25</v>
      </c>
      <c r="C210" s="116" t="s">
        <v>267</v>
      </c>
      <c r="D210" s="116" t="s">
        <v>1362</v>
      </c>
      <c r="E210" s="2" t="s">
        <v>236</v>
      </c>
      <c r="F210" s="1" t="s">
        <v>850</v>
      </c>
      <c r="G210" s="1" t="s">
        <v>3404</v>
      </c>
      <c r="H210" s="1" t="s">
        <v>3405</v>
      </c>
      <c r="I210" s="1" t="s">
        <v>1361</v>
      </c>
      <c r="J210" s="1" t="s">
        <v>1383</v>
      </c>
    </row>
    <row r="211" spans="1:10" ht="24" customHeight="1" x14ac:dyDescent="0.2">
      <c r="A211" s="1" t="s">
        <v>218</v>
      </c>
      <c r="B211" s="116" t="s">
        <v>20</v>
      </c>
      <c r="C211" s="116" t="s">
        <v>219</v>
      </c>
      <c r="D211" s="116">
        <v>7</v>
      </c>
      <c r="E211" s="2" t="s">
        <v>92</v>
      </c>
      <c r="F211" s="1" t="s">
        <v>795</v>
      </c>
      <c r="G211" s="1" t="s">
        <v>3406</v>
      </c>
      <c r="H211" s="1" t="s">
        <v>3407</v>
      </c>
      <c r="I211" s="1" t="s">
        <v>1361</v>
      </c>
      <c r="J211" s="1" t="s">
        <v>1382</v>
      </c>
    </row>
    <row r="212" spans="1:10" ht="24" customHeight="1" x14ac:dyDescent="0.2">
      <c r="A212" s="1" t="s">
        <v>372</v>
      </c>
      <c r="B212" s="116" t="s">
        <v>20</v>
      </c>
      <c r="C212" s="116" t="s">
        <v>373</v>
      </c>
      <c r="D212" s="116">
        <v>8</v>
      </c>
      <c r="E212" s="2" t="s">
        <v>37</v>
      </c>
      <c r="F212" s="1" t="s">
        <v>756</v>
      </c>
      <c r="G212" s="1" t="s">
        <v>1837</v>
      </c>
      <c r="H212" s="1" t="s">
        <v>1838</v>
      </c>
      <c r="I212" s="1" t="s">
        <v>1361</v>
      </c>
      <c r="J212" s="1" t="s">
        <v>1381</v>
      </c>
    </row>
    <row r="213" spans="1:10" ht="24" customHeight="1" x14ac:dyDescent="0.2">
      <c r="A213" s="1" t="s">
        <v>1261</v>
      </c>
      <c r="B213" s="116" t="s">
        <v>20</v>
      </c>
      <c r="C213" s="116" t="s">
        <v>1260</v>
      </c>
      <c r="D213" s="116">
        <v>8</v>
      </c>
      <c r="E213" s="2" t="s">
        <v>49</v>
      </c>
      <c r="F213" s="1" t="s">
        <v>1376</v>
      </c>
      <c r="G213" s="1" t="s">
        <v>3281</v>
      </c>
      <c r="H213" s="1" t="s">
        <v>3408</v>
      </c>
      <c r="I213" s="1" t="s">
        <v>1361</v>
      </c>
      <c r="J213" s="1" t="s">
        <v>1380</v>
      </c>
    </row>
    <row r="214" spans="1:10" ht="24" customHeight="1" x14ac:dyDescent="0.2">
      <c r="A214" s="1" t="s">
        <v>1689</v>
      </c>
      <c r="B214" s="116" t="s">
        <v>244</v>
      </c>
      <c r="C214" s="116" t="s">
        <v>1690</v>
      </c>
      <c r="D214" s="116" t="s">
        <v>1730</v>
      </c>
      <c r="E214" s="2" t="s">
        <v>246</v>
      </c>
      <c r="F214" s="1" t="s">
        <v>850</v>
      </c>
      <c r="G214" s="1" t="s">
        <v>3409</v>
      </c>
      <c r="H214" s="1" t="s">
        <v>3410</v>
      </c>
      <c r="I214" s="1" t="s">
        <v>1361</v>
      </c>
      <c r="J214" s="1" t="s">
        <v>1380</v>
      </c>
    </row>
    <row r="215" spans="1:10" ht="24" customHeight="1" x14ac:dyDescent="0.2">
      <c r="A215" s="1" t="s">
        <v>511</v>
      </c>
      <c r="B215" s="116" t="s">
        <v>20</v>
      </c>
      <c r="C215" s="116" t="s">
        <v>512</v>
      </c>
      <c r="D215" s="116">
        <v>8</v>
      </c>
      <c r="E215" s="2" t="s">
        <v>37</v>
      </c>
      <c r="F215" s="1" t="s">
        <v>802</v>
      </c>
      <c r="G215" s="1" t="s">
        <v>3411</v>
      </c>
      <c r="H215" s="1" t="s">
        <v>3411</v>
      </c>
      <c r="I215" s="1" t="s">
        <v>1361</v>
      </c>
      <c r="J215" s="1" t="s">
        <v>1379</v>
      </c>
    </row>
    <row r="216" spans="1:10" ht="24" customHeight="1" x14ac:dyDescent="0.2">
      <c r="A216" s="1" t="s">
        <v>472</v>
      </c>
      <c r="B216" s="116" t="s">
        <v>20</v>
      </c>
      <c r="C216" s="116" t="s">
        <v>473</v>
      </c>
      <c r="D216" s="116">
        <v>8</v>
      </c>
      <c r="E216" s="2" t="s">
        <v>37</v>
      </c>
      <c r="F216" s="1" t="s">
        <v>851</v>
      </c>
      <c r="G216" s="1" t="s">
        <v>3412</v>
      </c>
      <c r="H216" s="1" t="s">
        <v>3413</v>
      </c>
      <c r="I216" s="1" t="s">
        <v>1361</v>
      </c>
      <c r="J216" s="1" t="s">
        <v>1378</v>
      </c>
    </row>
    <row r="217" spans="1:10" ht="24" customHeight="1" x14ac:dyDescent="0.2">
      <c r="A217" s="1" t="s">
        <v>1681</v>
      </c>
      <c r="B217" s="116" t="s">
        <v>20</v>
      </c>
      <c r="C217" s="116" t="s">
        <v>1682</v>
      </c>
      <c r="D217" s="116">
        <v>7</v>
      </c>
      <c r="E217" s="2" t="s">
        <v>37</v>
      </c>
      <c r="F217" s="1" t="s">
        <v>865</v>
      </c>
      <c r="G217" s="1" t="s">
        <v>3414</v>
      </c>
      <c r="H217" s="1" t="s">
        <v>3415</v>
      </c>
      <c r="I217" s="1" t="s">
        <v>1361</v>
      </c>
      <c r="J217" s="1" t="s">
        <v>1377</v>
      </c>
    </row>
    <row r="218" spans="1:10" ht="36" customHeight="1" x14ac:dyDescent="0.2">
      <c r="A218" s="1" t="s">
        <v>1221</v>
      </c>
      <c r="B218" s="116" t="s">
        <v>20</v>
      </c>
      <c r="C218" s="116" t="s">
        <v>1220</v>
      </c>
      <c r="D218" s="116">
        <v>8</v>
      </c>
      <c r="E218" s="2" t="s">
        <v>92</v>
      </c>
      <c r="F218" s="1" t="s">
        <v>878</v>
      </c>
      <c r="G218" s="1" t="s">
        <v>3416</v>
      </c>
      <c r="H218" s="1" t="s">
        <v>3417</v>
      </c>
      <c r="I218" s="1" t="s">
        <v>1361</v>
      </c>
      <c r="J218" s="1" t="s">
        <v>1375</v>
      </c>
    </row>
    <row r="219" spans="1:10" ht="24" customHeight="1" x14ac:dyDescent="0.2">
      <c r="A219" s="1" t="s">
        <v>298</v>
      </c>
      <c r="B219" s="116" t="s">
        <v>20</v>
      </c>
      <c r="C219" s="116" t="s">
        <v>299</v>
      </c>
      <c r="D219" s="116">
        <v>7</v>
      </c>
      <c r="E219" s="2" t="s">
        <v>37</v>
      </c>
      <c r="F219" s="1" t="s">
        <v>802</v>
      </c>
      <c r="G219" s="1" t="s">
        <v>3418</v>
      </c>
      <c r="H219" s="1" t="s">
        <v>3418</v>
      </c>
      <c r="I219" s="1" t="s">
        <v>1361</v>
      </c>
      <c r="J219" s="1" t="s">
        <v>1374</v>
      </c>
    </row>
    <row r="220" spans="1:10" ht="24" customHeight="1" x14ac:dyDescent="0.2">
      <c r="A220" s="1" t="s">
        <v>269</v>
      </c>
      <c r="B220" s="116" t="s">
        <v>25</v>
      </c>
      <c r="C220" s="116" t="s">
        <v>270</v>
      </c>
      <c r="D220" s="116" t="s">
        <v>1362</v>
      </c>
      <c r="E220" s="2" t="s">
        <v>236</v>
      </c>
      <c r="F220" s="1" t="s">
        <v>756</v>
      </c>
      <c r="G220" s="1" t="s">
        <v>3419</v>
      </c>
      <c r="H220" s="1" t="s">
        <v>3420</v>
      </c>
      <c r="I220" s="1" t="s">
        <v>1361</v>
      </c>
      <c r="J220" s="1" t="s">
        <v>1374</v>
      </c>
    </row>
    <row r="221" spans="1:10" ht="24" customHeight="1" x14ac:dyDescent="0.2">
      <c r="A221" s="1" t="s">
        <v>475</v>
      </c>
      <c r="B221" s="116" t="s">
        <v>20</v>
      </c>
      <c r="C221" s="116" t="s">
        <v>476</v>
      </c>
      <c r="D221" s="116">
        <v>8</v>
      </c>
      <c r="E221" s="2" t="s">
        <v>37</v>
      </c>
      <c r="F221" s="1" t="s">
        <v>850</v>
      </c>
      <c r="G221" s="1" t="s">
        <v>3421</v>
      </c>
      <c r="H221" s="1" t="s">
        <v>3422</v>
      </c>
      <c r="I221" s="1" t="s">
        <v>1361</v>
      </c>
      <c r="J221" s="1" t="s">
        <v>1373</v>
      </c>
    </row>
    <row r="222" spans="1:10" ht="24" customHeight="1" x14ac:dyDescent="0.2">
      <c r="A222" s="1" t="s">
        <v>487</v>
      </c>
      <c r="B222" s="116" t="s">
        <v>20</v>
      </c>
      <c r="C222" s="116" t="s">
        <v>488</v>
      </c>
      <c r="D222" s="116">
        <v>8</v>
      </c>
      <c r="E222" s="2" t="s">
        <v>213</v>
      </c>
      <c r="F222" s="1" t="s">
        <v>848</v>
      </c>
      <c r="G222" s="1" t="s">
        <v>3423</v>
      </c>
      <c r="H222" s="1" t="s">
        <v>3424</v>
      </c>
      <c r="I222" s="1" t="s">
        <v>1361</v>
      </c>
      <c r="J222" s="1" t="s">
        <v>1372</v>
      </c>
    </row>
    <row r="223" spans="1:10" ht="24" customHeight="1" x14ac:dyDescent="0.2">
      <c r="A223" s="1" t="s">
        <v>442</v>
      </c>
      <c r="B223" s="116" t="s">
        <v>20</v>
      </c>
      <c r="C223" s="116" t="s">
        <v>443</v>
      </c>
      <c r="D223" s="116">
        <v>8</v>
      </c>
      <c r="E223" s="2" t="s">
        <v>37</v>
      </c>
      <c r="F223" s="1" t="s">
        <v>858</v>
      </c>
      <c r="G223" s="1" t="s">
        <v>3425</v>
      </c>
      <c r="H223" s="1" t="s">
        <v>3426</v>
      </c>
      <c r="I223" s="1" t="s">
        <v>1361</v>
      </c>
      <c r="J223" s="1" t="s">
        <v>1372</v>
      </c>
    </row>
    <row r="224" spans="1:10" ht="24" customHeight="1" x14ac:dyDescent="0.2">
      <c r="A224" s="1" t="s">
        <v>430</v>
      </c>
      <c r="B224" s="116" t="s">
        <v>20</v>
      </c>
      <c r="C224" s="116" t="s">
        <v>431</v>
      </c>
      <c r="D224" s="116">
        <v>8</v>
      </c>
      <c r="E224" s="2" t="s">
        <v>37</v>
      </c>
      <c r="F224" s="1" t="s">
        <v>804</v>
      </c>
      <c r="G224" s="1" t="s">
        <v>3427</v>
      </c>
      <c r="H224" s="1" t="s">
        <v>3428</v>
      </c>
      <c r="I224" s="1" t="s">
        <v>1361</v>
      </c>
      <c r="J224" s="1" t="s">
        <v>1371</v>
      </c>
    </row>
    <row r="225" spans="1:10" ht="24" customHeight="1" x14ac:dyDescent="0.2">
      <c r="A225" s="1" t="s">
        <v>76</v>
      </c>
      <c r="B225" s="116" t="s">
        <v>20</v>
      </c>
      <c r="C225" s="116" t="s">
        <v>77</v>
      </c>
      <c r="D225" s="116">
        <v>4</v>
      </c>
      <c r="E225" s="2" t="s">
        <v>49</v>
      </c>
      <c r="F225" s="1" t="s">
        <v>943</v>
      </c>
      <c r="G225" s="1" t="s">
        <v>1840</v>
      </c>
      <c r="H225" s="1" t="s">
        <v>3429</v>
      </c>
      <c r="I225" s="1" t="s">
        <v>1361</v>
      </c>
      <c r="J225" s="1" t="s">
        <v>1370</v>
      </c>
    </row>
    <row r="226" spans="1:10" ht="24" customHeight="1" x14ac:dyDescent="0.2">
      <c r="A226" s="1" t="s">
        <v>439</v>
      </c>
      <c r="B226" s="116" t="s">
        <v>20</v>
      </c>
      <c r="C226" s="116" t="s">
        <v>440</v>
      </c>
      <c r="D226" s="116">
        <v>8</v>
      </c>
      <c r="E226" s="2" t="s">
        <v>37</v>
      </c>
      <c r="F226" s="1" t="s">
        <v>804</v>
      </c>
      <c r="G226" s="1" t="s">
        <v>3430</v>
      </c>
      <c r="H226" s="1" t="s">
        <v>1759</v>
      </c>
      <c r="I226" s="1" t="s">
        <v>1361</v>
      </c>
      <c r="J226" s="1" t="s">
        <v>1370</v>
      </c>
    </row>
    <row r="227" spans="1:10" ht="48" customHeight="1" x14ac:dyDescent="0.2">
      <c r="A227" s="1" t="s">
        <v>395</v>
      </c>
      <c r="B227" s="116" t="s">
        <v>20</v>
      </c>
      <c r="C227" s="116" t="s">
        <v>396</v>
      </c>
      <c r="D227" s="116">
        <v>8</v>
      </c>
      <c r="E227" s="2" t="s">
        <v>37</v>
      </c>
      <c r="F227" s="1" t="s">
        <v>804</v>
      </c>
      <c r="G227" s="1" t="s">
        <v>3431</v>
      </c>
      <c r="H227" s="1" t="s">
        <v>3432</v>
      </c>
      <c r="I227" s="1" t="s">
        <v>1361</v>
      </c>
      <c r="J227" s="1" t="s">
        <v>1365</v>
      </c>
    </row>
    <row r="228" spans="1:10" ht="24" customHeight="1" x14ac:dyDescent="0.2">
      <c r="A228" s="1" t="s">
        <v>478</v>
      </c>
      <c r="B228" s="116" t="s">
        <v>20</v>
      </c>
      <c r="C228" s="116" t="s">
        <v>479</v>
      </c>
      <c r="D228" s="116">
        <v>8</v>
      </c>
      <c r="E228" s="2" t="s">
        <v>37</v>
      </c>
      <c r="F228" s="1" t="s">
        <v>849</v>
      </c>
      <c r="G228" s="1" t="s">
        <v>3433</v>
      </c>
      <c r="H228" s="1" t="s">
        <v>3434</v>
      </c>
      <c r="I228" s="1" t="s">
        <v>1352</v>
      </c>
      <c r="J228" s="1" t="s">
        <v>1365</v>
      </c>
    </row>
    <row r="229" spans="1:10" ht="24" customHeight="1" x14ac:dyDescent="0.2">
      <c r="A229" s="1" t="s">
        <v>1245</v>
      </c>
      <c r="B229" s="116" t="s">
        <v>25</v>
      </c>
      <c r="C229" s="116" t="s">
        <v>1244</v>
      </c>
      <c r="D229" s="116" t="s">
        <v>1369</v>
      </c>
      <c r="E229" s="2" t="s">
        <v>92</v>
      </c>
      <c r="F229" s="1" t="s">
        <v>1368</v>
      </c>
      <c r="G229" s="1" t="s">
        <v>1367</v>
      </c>
      <c r="H229" s="1" t="s">
        <v>1366</v>
      </c>
      <c r="I229" s="1" t="s">
        <v>1352</v>
      </c>
      <c r="J229" s="1" t="s">
        <v>1363</v>
      </c>
    </row>
    <row r="230" spans="1:10" ht="36" customHeight="1" x14ac:dyDescent="0.2">
      <c r="A230" s="1" t="s">
        <v>1235</v>
      </c>
      <c r="B230" s="116" t="s">
        <v>20</v>
      </c>
      <c r="C230" s="116" t="s">
        <v>1234</v>
      </c>
      <c r="D230" s="116">
        <v>10</v>
      </c>
      <c r="E230" s="2" t="s">
        <v>22</v>
      </c>
      <c r="F230" s="1" t="s">
        <v>1364</v>
      </c>
      <c r="G230" s="1" t="s">
        <v>1744</v>
      </c>
      <c r="H230" s="1" t="s">
        <v>3435</v>
      </c>
      <c r="I230" s="1" t="s">
        <v>1352</v>
      </c>
      <c r="J230" s="1" t="s">
        <v>1363</v>
      </c>
    </row>
    <row r="231" spans="1:10" ht="24" customHeight="1" x14ac:dyDescent="0.2">
      <c r="A231" s="1" t="s">
        <v>505</v>
      </c>
      <c r="B231" s="116" t="s">
        <v>20</v>
      </c>
      <c r="C231" s="116" t="s">
        <v>506</v>
      </c>
      <c r="D231" s="116">
        <v>8</v>
      </c>
      <c r="E231" s="2" t="s">
        <v>37</v>
      </c>
      <c r="F231" s="1" t="s">
        <v>802</v>
      </c>
      <c r="G231" s="1" t="s">
        <v>3436</v>
      </c>
      <c r="H231" s="1" t="s">
        <v>3436</v>
      </c>
      <c r="I231" s="1" t="s">
        <v>1352</v>
      </c>
      <c r="J231" s="1" t="s">
        <v>1363</v>
      </c>
    </row>
    <row r="232" spans="1:10" ht="24" customHeight="1" x14ac:dyDescent="0.2">
      <c r="A232" s="1" t="s">
        <v>272</v>
      </c>
      <c r="B232" s="116" t="s">
        <v>25</v>
      </c>
      <c r="C232" s="116" t="s">
        <v>273</v>
      </c>
      <c r="D232" s="116" t="s">
        <v>1362</v>
      </c>
      <c r="E232" s="2" t="s">
        <v>236</v>
      </c>
      <c r="F232" s="1" t="s">
        <v>756</v>
      </c>
      <c r="G232" s="1" t="s">
        <v>3437</v>
      </c>
      <c r="H232" s="1" t="s">
        <v>3438</v>
      </c>
      <c r="I232" s="1" t="s">
        <v>1352</v>
      </c>
      <c r="J232" s="1" t="s">
        <v>1360</v>
      </c>
    </row>
    <row r="233" spans="1:10" ht="24" customHeight="1" x14ac:dyDescent="0.2">
      <c r="A233" s="1" t="s">
        <v>406</v>
      </c>
      <c r="B233" s="116" t="s">
        <v>20</v>
      </c>
      <c r="C233" s="116" t="s">
        <v>407</v>
      </c>
      <c r="D233" s="116">
        <v>8</v>
      </c>
      <c r="E233" s="2" t="s">
        <v>37</v>
      </c>
      <c r="F233" s="1" t="s">
        <v>804</v>
      </c>
      <c r="G233" s="1" t="s">
        <v>3439</v>
      </c>
      <c r="H233" s="1" t="s">
        <v>3440</v>
      </c>
      <c r="I233" s="1" t="s">
        <v>1352</v>
      </c>
      <c r="J233" s="1" t="s">
        <v>1360</v>
      </c>
    </row>
    <row r="234" spans="1:10" ht="24" customHeight="1" x14ac:dyDescent="0.2">
      <c r="A234" s="1" t="s">
        <v>295</v>
      </c>
      <c r="B234" s="116" t="s">
        <v>20</v>
      </c>
      <c r="C234" s="116" t="s">
        <v>296</v>
      </c>
      <c r="D234" s="116">
        <v>7</v>
      </c>
      <c r="E234" s="2" t="s">
        <v>37</v>
      </c>
      <c r="F234" s="1" t="s">
        <v>756</v>
      </c>
      <c r="G234" s="1" t="s">
        <v>3441</v>
      </c>
      <c r="H234" s="1" t="s">
        <v>3442</v>
      </c>
      <c r="I234" s="1" t="s">
        <v>1352</v>
      </c>
      <c r="J234" s="1" t="s">
        <v>1359</v>
      </c>
    </row>
    <row r="235" spans="1:10" ht="24" customHeight="1" x14ac:dyDescent="0.2">
      <c r="A235" s="1" t="s">
        <v>116</v>
      </c>
      <c r="B235" s="116" t="s">
        <v>20</v>
      </c>
      <c r="C235" s="116" t="s">
        <v>117</v>
      </c>
      <c r="D235" s="116">
        <v>5</v>
      </c>
      <c r="E235" s="2" t="s">
        <v>49</v>
      </c>
      <c r="F235" s="1" t="s">
        <v>1358</v>
      </c>
      <c r="G235" s="1" t="s">
        <v>3443</v>
      </c>
      <c r="H235" s="1" t="s">
        <v>1841</v>
      </c>
      <c r="I235" s="1" t="s">
        <v>1352</v>
      </c>
      <c r="J235" s="1" t="s">
        <v>1359</v>
      </c>
    </row>
    <row r="236" spans="1:10" ht="24" customHeight="1" x14ac:dyDescent="0.2">
      <c r="A236" s="1" t="s">
        <v>202</v>
      </c>
      <c r="B236" s="116" t="s">
        <v>20</v>
      </c>
      <c r="C236" s="116" t="s">
        <v>203</v>
      </c>
      <c r="D236" s="116">
        <v>7</v>
      </c>
      <c r="E236" s="2" t="s">
        <v>92</v>
      </c>
      <c r="F236" s="1" t="s">
        <v>858</v>
      </c>
      <c r="G236" s="1" t="s">
        <v>3444</v>
      </c>
      <c r="H236" s="1" t="s">
        <v>3445</v>
      </c>
      <c r="I236" s="1" t="s">
        <v>1352</v>
      </c>
      <c r="J236" s="1" t="s">
        <v>1359</v>
      </c>
    </row>
    <row r="237" spans="1:10" ht="24" customHeight="1" x14ac:dyDescent="0.2">
      <c r="A237" s="1" t="s">
        <v>73</v>
      </c>
      <c r="B237" s="116" t="s">
        <v>20</v>
      </c>
      <c r="C237" s="116" t="s">
        <v>74</v>
      </c>
      <c r="D237" s="116">
        <v>5</v>
      </c>
      <c r="E237" s="2" t="s">
        <v>49</v>
      </c>
      <c r="F237" s="1" t="s">
        <v>945</v>
      </c>
      <c r="G237" s="1" t="s">
        <v>3446</v>
      </c>
      <c r="H237" s="1" t="s">
        <v>3447</v>
      </c>
      <c r="I237" s="1" t="s">
        <v>1352</v>
      </c>
      <c r="J237" s="1" t="s">
        <v>1357</v>
      </c>
    </row>
    <row r="238" spans="1:10" ht="24" customHeight="1" x14ac:dyDescent="0.2">
      <c r="A238" s="1" t="s">
        <v>1685</v>
      </c>
      <c r="B238" s="116" t="s">
        <v>20</v>
      </c>
      <c r="C238" s="116" t="s">
        <v>1686</v>
      </c>
      <c r="D238" s="116">
        <v>7</v>
      </c>
      <c r="E238" s="2" t="s">
        <v>37</v>
      </c>
      <c r="F238" s="1" t="s">
        <v>1708</v>
      </c>
      <c r="G238" s="1" t="s">
        <v>1673</v>
      </c>
      <c r="H238" s="1" t="s">
        <v>3448</v>
      </c>
      <c r="I238" s="1" t="s">
        <v>1352</v>
      </c>
      <c r="J238" s="1" t="s">
        <v>1357</v>
      </c>
    </row>
    <row r="239" spans="1:10" ht="24" customHeight="1" x14ac:dyDescent="0.2">
      <c r="A239" s="1" t="s">
        <v>1691</v>
      </c>
      <c r="B239" s="116" t="s">
        <v>20</v>
      </c>
      <c r="C239" s="116" t="s">
        <v>1692</v>
      </c>
      <c r="D239" s="116">
        <v>7</v>
      </c>
      <c r="E239" s="2" t="s">
        <v>37</v>
      </c>
      <c r="F239" s="1" t="s">
        <v>756</v>
      </c>
      <c r="G239" s="1" t="s">
        <v>3449</v>
      </c>
      <c r="H239" s="1" t="s">
        <v>2937</v>
      </c>
      <c r="I239" s="1" t="s">
        <v>1352</v>
      </c>
      <c r="J239" s="1" t="s">
        <v>1357</v>
      </c>
    </row>
    <row r="240" spans="1:10" ht="24" customHeight="1" x14ac:dyDescent="0.2">
      <c r="A240" s="1" t="s">
        <v>1683</v>
      </c>
      <c r="B240" s="116" t="s">
        <v>20</v>
      </c>
      <c r="C240" s="116" t="s">
        <v>1684</v>
      </c>
      <c r="D240" s="116">
        <v>7</v>
      </c>
      <c r="E240" s="2" t="s">
        <v>37</v>
      </c>
      <c r="F240" s="1" t="s">
        <v>1708</v>
      </c>
      <c r="G240" s="1" t="s">
        <v>1842</v>
      </c>
      <c r="H240" s="1" t="s">
        <v>1843</v>
      </c>
      <c r="I240" s="1" t="s">
        <v>1352</v>
      </c>
      <c r="J240" s="1" t="s">
        <v>1356</v>
      </c>
    </row>
    <row r="241" spans="1:10" ht="24" customHeight="1" x14ac:dyDescent="0.2">
      <c r="A241" s="1" t="s">
        <v>433</v>
      </c>
      <c r="B241" s="116" t="s">
        <v>20</v>
      </c>
      <c r="C241" s="116" t="s">
        <v>434</v>
      </c>
      <c r="D241" s="116">
        <v>8</v>
      </c>
      <c r="E241" s="2" t="s">
        <v>37</v>
      </c>
      <c r="F241" s="1" t="s">
        <v>756</v>
      </c>
      <c r="G241" s="1" t="s">
        <v>3450</v>
      </c>
      <c r="H241" s="1" t="s">
        <v>3451</v>
      </c>
      <c r="I241" s="1" t="s">
        <v>1352</v>
      </c>
      <c r="J241" s="1" t="s">
        <v>1356</v>
      </c>
    </row>
    <row r="242" spans="1:10" ht="24" customHeight="1" x14ac:dyDescent="0.2">
      <c r="A242" s="1" t="s">
        <v>484</v>
      </c>
      <c r="B242" s="116" t="s">
        <v>20</v>
      </c>
      <c r="C242" s="116" t="s">
        <v>485</v>
      </c>
      <c r="D242" s="116">
        <v>8</v>
      </c>
      <c r="E242" s="2" t="s">
        <v>37</v>
      </c>
      <c r="F242" s="1" t="s">
        <v>802</v>
      </c>
      <c r="G242" s="1" t="s">
        <v>3452</v>
      </c>
      <c r="H242" s="1" t="s">
        <v>3452</v>
      </c>
      <c r="I242" s="1" t="s">
        <v>1352</v>
      </c>
      <c r="J242" s="1" t="s">
        <v>1356</v>
      </c>
    </row>
    <row r="243" spans="1:10" ht="24" customHeight="1" x14ac:dyDescent="0.2">
      <c r="A243" s="1" t="s">
        <v>229</v>
      </c>
      <c r="B243" s="116" t="s">
        <v>20</v>
      </c>
      <c r="C243" s="116" t="s">
        <v>230</v>
      </c>
      <c r="D243" s="116">
        <v>7</v>
      </c>
      <c r="E243" s="2" t="s">
        <v>22</v>
      </c>
      <c r="F243" s="1" t="s">
        <v>889</v>
      </c>
      <c r="G243" s="1" t="s">
        <v>3453</v>
      </c>
      <c r="H243" s="1" t="s">
        <v>3454</v>
      </c>
      <c r="I243" s="1" t="s">
        <v>1352</v>
      </c>
      <c r="J243" s="1" t="s">
        <v>1355</v>
      </c>
    </row>
    <row r="244" spans="1:10" ht="24" customHeight="1" x14ac:dyDescent="0.2">
      <c r="A244" s="1" t="s">
        <v>446</v>
      </c>
      <c r="B244" s="116" t="s">
        <v>20</v>
      </c>
      <c r="C244" s="116" t="s">
        <v>447</v>
      </c>
      <c r="D244" s="116">
        <v>8</v>
      </c>
      <c r="E244" s="2" t="s">
        <v>37</v>
      </c>
      <c r="F244" s="1" t="s">
        <v>756</v>
      </c>
      <c r="G244" s="1" t="s">
        <v>3455</v>
      </c>
      <c r="H244" s="1" t="s">
        <v>3456</v>
      </c>
      <c r="I244" s="1" t="s">
        <v>1352</v>
      </c>
      <c r="J244" s="1" t="s">
        <v>1355</v>
      </c>
    </row>
    <row r="245" spans="1:10" ht="24" customHeight="1" x14ac:dyDescent="0.2">
      <c r="A245" s="1" t="s">
        <v>427</v>
      </c>
      <c r="B245" s="116" t="s">
        <v>20</v>
      </c>
      <c r="C245" s="116" t="s">
        <v>428</v>
      </c>
      <c r="D245" s="116">
        <v>8</v>
      </c>
      <c r="E245" s="2" t="s">
        <v>37</v>
      </c>
      <c r="F245" s="1" t="s">
        <v>804</v>
      </c>
      <c r="G245" s="1" t="s">
        <v>1845</v>
      </c>
      <c r="H245" s="1" t="s">
        <v>1846</v>
      </c>
      <c r="I245" s="1" t="s">
        <v>1352</v>
      </c>
      <c r="J245" s="1" t="s">
        <v>1355</v>
      </c>
    </row>
    <row r="246" spans="1:10" ht="24" customHeight="1" x14ac:dyDescent="0.2">
      <c r="A246" s="1" t="s">
        <v>499</v>
      </c>
      <c r="B246" s="116" t="s">
        <v>20</v>
      </c>
      <c r="C246" s="116" t="s">
        <v>500</v>
      </c>
      <c r="D246" s="116">
        <v>8</v>
      </c>
      <c r="E246" s="2" t="s">
        <v>37</v>
      </c>
      <c r="F246" s="1" t="s">
        <v>802</v>
      </c>
      <c r="G246" s="1" t="s">
        <v>3457</v>
      </c>
      <c r="H246" s="1" t="s">
        <v>3457</v>
      </c>
      <c r="I246" s="1" t="s">
        <v>1352</v>
      </c>
      <c r="J246" s="1" t="s">
        <v>1355</v>
      </c>
    </row>
    <row r="247" spans="1:10" ht="24" customHeight="1" x14ac:dyDescent="0.2">
      <c r="A247" s="1" t="s">
        <v>424</v>
      </c>
      <c r="B247" s="116" t="s">
        <v>20</v>
      </c>
      <c r="C247" s="116" t="s">
        <v>425</v>
      </c>
      <c r="D247" s="116">
        <v>8</v>
      </c>
      <c r="E247" s="2" t="s">
        <v>37</v>
      </c>
      <c r="F247" s="1" t="s">
        <v>850</v>
      </c>
      <c r="G247" s="1" t="s">
        <v>3458</v>
      </c>
      <c r="H247" s="1" t="s">
        <v>3459</v>
      </c>
      <c r="I247" s="1" t="s">
        <v>1352</v>
      </c>
      <c r="J247" s="1" t="s">
        <v>1354</v>
      </c>
    </row>
    <row r="248" spans="1:10" ht="24" customHeight="1" x14ac:dyDescent="0.2">
      <c r="A248" s="1" t="s">
        <v>287</v>
      </c>
      <c r="B248" s="116" t="s">
        <v>20</v>
      </c>
      <c r="C248" s="116" t="s">
        <v>288</v>
      </c>
      <c r="D248" s="116">
        <v>7</v>
      </c>
      <c r="E248" s="2" t="s">
        <v>37</v>
      </c>
      <c r="F248" s="1" t="s">
        <v>850</v>
      </c>
      <c r="G248" s="1" t="s">
        <v>3460</v>
      </c>
      <c r="H248" s="1" t="s">
        <v>3461</v>
      </c>
      <c r="I248" s="1" t="s">
        <v>1352</v>
      </c>
      <c r="J248" s="1" t="s">
        <v>1354</v>
      </c>
    </row>
    <row r="249" spans="1:10" ht="24" customHeight="1" x14ac:dyDescent="0.2">
      <c r="A249" s="1" t="s">
        <v>490</v>
      </c>
      <c r="B249" s="116" t="s">
        <v>20</v>
      </c>
      <c r="C249" s="116" t="s">
        <v>491</v>
      </c>
      <c r="D249" s="116">
        <v>8</v>
      </c>
      <c r="E249" s="2" t="s">
        <v>37</v>
      </c>
      <c r="F249" s="1" t="s">
        <v>804</v>
      </c>
      <c r="G249" s="1" t="s">
        <v>1847</v>
      </c>
      <c r="H249" s="1" t="s">
        <v>1848</v>
      </c>
      <c r="I249" s="1" t="s">
        <v>1352</v>
      </c>
      <c r="J249" s="1" t="s">
        <v>1354</v>
      </c>
    </row>
    <row r="250" spans="1:10" ht="24" customHeight="1" x14ac:dyDescent="0.2">
      <c r="A250" s="1" t="s">
        <v>415</v>
      </c>
      <c r="B250" s="116" t="s">
        <v>20</v>
      </c>
      <c r="C250" s="116" t="s">
        <v>416</v>
      </c>
      <c r="D250" s="116">
        <v>8</v>
      </c>
      <c r="E250" s="2" t="s">
        <v>213</v>
      </c>
      <c r="F250" s="1" t="s">
        <v>860</v>
      </c>
      <c r="G250" s="1" t="s">
        <v>1753</v>
      </c>
      <c r="H250" s="1" t="s">
        <v>3462</v>
      </c>
      <c r="I250" s="1" t="s">
        <v>1352</v>
      </c>
      <c r="J250" s="1" t="s">
        <v>1354</v>
      </c>
    </row>
    <row r="251" spans="1:10" ht="24" customHeight="1" x14ac:dyDescent="0.2">
      <c r="A251" s="1" t="s">
        <v>103</v>
      </c>
      <c r="B251" s="116" t="s">
        <v>20</v>
      </c>
      <c r="C251" s="116" t="s">
        <v>104</v>
      </c>
      <c r="D251" s="116">
        <v>5</v>
      </c>
      <c r="E251" s="2" t="s">
        <v>49</v>
      </c>
      <c r="F251" s="1" t="s">
        <v>1353</v>
      </c>
      <c r="G251" s="1" t="s">
        <v>3281</v>
      </c>
      <c r="H251" s="1" t="s">
        <v>3463</v>
      </c>
      <c r="I251" s="1" t="s">
        <v>1352</v>
      </c>
      <c r="J251" s="1" t="s">
        <v>1354</v>
      </c>
    </row>
    <row r="252" spans="1:10" ht="24" customHeight="1" x14ac:dyDescent="0.2">
      <c r="A252" s="1" t="s">
        <v>418</v>
      </c>
      <c r="B252" s="116" t="s">
        <v>20</v>
      </c>
      <c r="C252" s="116" t="s">
        <v>419</v>
      </c>
      <c r="D252" s="116">
        <v>8</v>
      </c>
      <c r="E252" s="2" t="s">
        <v>37</v>
      </c>
      <c r="F252" s="1" t="s">
        <v>756</v>
      </c>
      <c r="G252" s="1" t="s">
        <v>3464</v>
      </c>
      <c r="H252" s="1" t="s">
        <v>3465</v>
      </c>
      <c r="I252" s="1" t="s">
        <v>1352</v>
      </c>
      <c r="J252" s="1" t="s">
        <v>1354</v>
      </c>
    </row>
    <row r="253" spans="1:10" ht="24" customHeight="1" x14ac:dyDescent="0.2">
      <c r="A253" s="1" t="s">
        <v>110</v>
      </c>
      <c r="B253" s="116" t="s">
        <v>20</v>
      </c>
      <c r="C253" s="116" t="s">
        <v>111</v>
      </c>
      <c r="D253" s="116">
        <v>5</v>
      </c>
      <c r="E253" s="2" t="s">
        <v>96</v>
      </c>
      <c r="F253" s="1" t="s">
        <v>929</v>
      </c>
      <c r="G253" s="1" t="s">
        <v>3316</v>
      </c>
      <c r="H253" s="1" t="s">
        <v>3466</v>
      </c>
      <c r="I253" s="1" t="s">
        <v>1352</v>
      </c>
      <c r="J253" s="1" t="s">
        <v>1351</v>
      </c>
    </row>
    <row r="254" spans="1:10" ht="25.5" x14ac:dyDescent="0.2">
      <c r="A254" s="1" t="s">
        <v>493</v>
      </c>
      <c r="B254" s="116" t="s">
        <v>20</v>
      </c>
      <c r="C254" s="116" t="s">
        <v>494</v>
      </c>
      <c r="D254" s="116">
        <v>8</v>
      </c>
      <c r="E254" s="2" t="s">
        <v>37</v>
      </c>
      <c r="F254" s="1" t="s">
        <v>802</v>
      </c>
      <c r="G254" s="1" t="s">
        <v>3467</v>
      </c>
      <c r="H254" s="1" t="s">
        <v>3467</v>
      </c>
      <c r="I254" s="1" t="s">
        <v>1352</v>
      </c>
      <c r="J254" s="1" t="s">
        <v>1351</v>
      </c>
    </row>
    <row r="255" spans="1:10" ht="13.9" customHeight="1" x14ac:dyDescent="0.2">
      <c r="A255" s="1" t="s">
        <v>481</v>
      </c>
      <c r="B255" s="116" t="s">
        <v>20</v>
      </c>
      <c r="C255" s="116" t="s">
        <v>482</v>
      </c>
      <c r="D255" s="116">
        <v>8</v>
      </c>
      <c r="E255" s="2" t="s">
        <v>37</v>
      </c>
      <c r="F255" s="1" t="s">
        <v>802</v>
      </c>
      <c r="G255" s="1" t="s">
        <v>3468</v>
      </c>
      <c r="H255" s="1" t="s">
        <v>3468</v>
      </c>
      <c r="I255" s="1" t="s">
        <v>1352</v>
      </c>
      <c r="J255" s="1" t="s">
        <v>1351</v>
      </c>
    </row>
    <row r="256" spans="1:10" ht="13.9" customHeight="1" x14ac:dyDescent="0.2">
      <c r="A256" s="1" t="s">
        <v>79</v>
      </c>
      <c r="B256" s="116" t="s">
        <v>20</v>
      </c>
      <c r="C256" s="116" t="s">
        <v>80</v>
      </c>
      <c r="D256" s="116">
        <v>5</v>
      </c>
      <c r="E256" s="2" t="s">
        <v>49</v>
      </c>
      <c r="F256" s="1" t="s">
        <v>941</v>
      </c>
      <c r="G256" s="1" t="s">
        <v>1806</v>
      </c>
      <c r="H256" s="1" t="s">
        <v>1485</v>
      </c>
      <c r="I256" s="1" t="s">
        <v>1352</v>
      </c>
      <c r="J256" s="1" t="s">
        <v>1351</v>
      </c>
    </row>
    <row r="257" spans="1:10" ht="25.5" x14ac:dyDescent="0.2">
      <c r="A257" s="1" t="s">
        <v>87</v>
      </c>
      <c r="B257" s="116" t="s">
        <v>20</v>
      </c>
      <c r="C257" s="116" t="s">
        <v>88</v>
      </c>
      <c r="D257" s="116">
        <v>4</v>
      </c>
      <c r="E257" s="2" t="s">
        <v>49</v>
      </c>
      <c r="F257" s="1" t="s">
        <v>939</v>
      </c>
      <c r="G257" s="1" t="s">
        <v>1849</v>
      </c>
      <c r="H257" s="1" t="s">
        <v>1850</v>
      </c>
      <c r="I257" s="1" t="s">
        <v>1352</v>
      </c>
      <c r="J257" s="1" t="s">
        <v>1351</v>
      </c>
    </row>
    <row r="258" spans="1:10" ht="60" customHeight="1" x14ac:dyDescent="0.2">
      <c r="A258" s="1" t="s">
        <v>1687</v>
      </c>
      <c r="B258" s="116" t="s">
        <v>20</v>
      </c>
      <c r="C258" s="116" t="s">
        <v>1688</v>
      </c>
      <c r="D258" s="116">
        <v>7</v>
      </c>
      <c r="E258" s="2" t="s">
        <v>37</v>
      </c>
      <c r="F258" s="1" t="s">
        <v>1708</v>
      </c>
      <c r="G258" s="1" t="s">
        <v>932</v>
      </c>
      <c r="H258" s="1" t="s">
        <v>1732</v>
      </c>
      <c r="I258" s="1" t="s">
        <v>1352</v>
      </c>
      <c r="J258" s="1" t="s">
        <v>1351</v>
      </c>
    </row>
    <row r="259" spans="1:10" x14ac:dyDescent="0.2">
      <c r="H259" s="96">
        <f>SUM(H5:H258)</f>
        <v>0</v>
      </c>
    </row>
  </sheetData>
  <mergeCells count="5">
    <mergeCell ref="E1:G1"/>
    <mergeCell ref="H1:J1"/>
    <mergeCell ref="E2:G2"/>
    <mergeCell ref="H2:J2"/>
    <mergeCell ref="A3:J3"/>
  </mergeCells>
  <pageMargins left="0.51181102362204722" right="0.51181102362204722" top="0.98425196850393704" bottom="0.98425196850393704" header="0.51181102362204722" footer="0.51181102362204722"/>
  <pageSetup paperSize="9" scale="70" fitToHeight="0" orientation="landscape" r:id="rId1"/>
  <headerFooter>
    <oddFooter>&amp;L&amp;A&amp;CPágina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6"/>
  <sheetViews>
    <sheetView showOutlineSymbols="0" showWhiteSpace="0" view="pageBreakPreview" zoomScale="60" zoomScaleNormal="100" workbookViewId="0">
      <selection activeCell="H360" sqref="H360:J360"/>
    </sheetView>
  </sheetViews>
  <sheetFormatPr defaultColWidth="8.75" defaultRowHeight="14.25" x14ac:dyDescent="0.2"/>
  <cols>
    <col min="1" max="1" width="17" style="96" bestFit="1" customWidth="1"/>
    <col min="2" max="2" width="60" style="96" bestFit="1" customWidth="1"/>
    <col min="3" max="3" width="5" style="96" bestFit="1" customWidth="1"/>
    <col min="4" max="4" width="10" style="96" bestFit="1" customWidth="1"/>
    <col min="5" max="5" width="60" style="96" bestFit="1" customWidth="1"/>
    <col min="6" max="6" width="19.5" style="96" bestFit="1" customWidth="1"/>
    <col min="7" max="16384" width="8.75" style="96"/>
  </cols>
  <sheetData>
    <row r="1" spans="1:10" ht="15" x14ac:dyDescent="0.2">
      <c r="A1" s="93"/>
      <c r="B1" s="93" t="s">
        <v>0</v>
      </c>
      <c r="C1" s="93"/>
      <c r="D1" s="93"/>
      <c r="E1" s="93"/>
      <c r="F1" s="134"/>
      <c r="G1" s="134"/>
      <c r="H1" s="134"/>
      <c r="I1" s="134"/>
      <c r="J1" s="134"/>
    </row>
    <row r="2" spans="1:10" ht="79.900000000000006" customHeight="1" x14ac:dyDescent="0.2">
      <c r="A2" s="94"/>
      <c r="B2" s="94" t="s">
        <v>1606</v>
      </c>
      <c r="C2" s="94"/>
      <c r="D2" s="94"/>
      <c r="E2" s="94"/>
      <c r="F2" s="134"/>
      <c r="G2" s="134"/>
      <c r="H2" s="134"/>
      <c r="I2" s="134"/>
      <c r="J2" s="134"/>
    </row>
    <row r="3" spans="1:10" ht="13.9" customHeight="1" x14ac:dyDescent="0.25">
      <c r="A3" s="133" t="s">
        <v>951</v>
      </c>
      <c r="B3" s="134"/>
      <c r="C3" s="134"/>
      <c r="D3" s="134"/>
      <c r="E3" s="134"/>
    </row>
    <row r="4" spans="1:10" ht="30" customHeight="1" x14ac:dyDescent="0.2">
      <c r="A4" s="117" t="s">
        <v>4</v>
      </c>
      <c r="B4" s="117" t="s">
        <v>7</v>
      </c>
      <c r="C4" s="7" t="s">
        <v>8</v>
      </c>
      <c r="D4" s="126" t="s">
        <v>9</v>
      </c>
      <c r="E4" s="117" t="s">
        <v>951</v>
      </c>
    </row>
    <row r="5" spans="1:10" x14ac:dyDescent="0.2">
      <c r="A5" s="123" t="s">
        <v>14</v>
      </c>
      <c r="B5" s="123" t="s">
        <v>15</v>
      </c>
      <c r="C5" s="4"/>
      <c r="D5" s="3"/>
      <c r="E5" s="123"/>
    </row>
    <row r="6" spans="1:10" x14ac:dyDescent="0.2">
      <c r="A6" s="123" t="s">
        <v>16</v>
      </c>
      <c r="B6" s="123" t="s">
        <v>17</v>
      </c>
      <c r="C6" s="4"/>
      <c r="D6" s="3"/>
      <c r="E6" s="123"/>
    </row>
    <row r="7" spans="1:10" ht="38.25" x14ac:dyDescent="0.2">
      <c r="A7" s="116" t="s">
        <v>18</v>
      </c>
      <c r="B7" s="116" t="s">
        <v>21</v>
      </c>
      <c r="C7" s="2" t="s">
        <v>22</v>
      </c>
      <c r="D7" s="1" t="s">
        <v>804</v>
      </c>
      <c r="E7" s="116" t="s">
        <v>950</v>
      </c>
    </row>
    <row r="8" spans="1:10" ht="25.5" x14ac:dyDescent="0.2">
      <c r="A8" s="116" t="s">
        <v>23</v>
      </c>
      <c r="B8" s="116" t="s">
        <v>26</v>
      </c>
      <c r="C8" s="2" t="s">
        <v>27</v>
      </c>
      <c r="D8" s="1" t="s">
        <v>851</v>
      </c>
      <c r="E8" s="116" t="s">
        <v>1547</v>
      </c>
    </row>
    <row r="9" spans="1:10" ht="25.5" x14ac:dyDescent="0.2">
      <c r="A9" s="116" t="s">
        <v>28</v>
      </c>
      <c r="B9" s="116" t="s">
        <v>30</v>
      </c>
      <c r="C9" s="2" t="s">
        <v>22</v>
      </c>
      <c r="D9" s="1" t="s">
        <v>793</v>
      </c>
      <c r="E9" s="116" t="s">
        <v>949</v>
      </c>
    </row>
    <row r="10" spans="1:10" ht="38.25" x14ac:dyDescent="0.2">
      <c r="A10" s="116" t="s">
        <v>31</v>
      </c>
      <c r="B10" s="116" t="s">
        <v>33</v>
      </c>
      <c r="C10" s="2" t="s">
        <v>22</v>
      </c>
      <c r="D10" s="1" t="s">
        <v>888</v>
      </c>
      <c r="E10" s="116" t="s">
        <v>948</v>
      </c>
    </row>
    <row r="11" spans="1:10" ht="25.5" x14ac:dyDescent="0.2">
      <c r="A11" s="116" t="s">
        <v>34</v>
      </c>
      <c r="B11" s="116" t="s">
        <v>36</v>
      </c>
      <c r="C11" s="2" t="s">
        <v>37</v>
      </c>
      <c r="D11" s="1" t="s">
        <v>802</v>
      </c>
      <c r="E11" s="116" t="s">
        <v>947</v>
      </c>
    </row>
    <row r="12" spans="1:10" x14ac:dyDescent="0.2">
      <c r="A12" s="116" t="s">
        <v>38</v>
      </c>
      <c r="B12" s="116" t="s">
        <v>40</v>
      </c>
      <c r="C12" s="2" t="s">
        <v>37</v>
      </c>
      <c r="D12" s="1" t="s">
        <v>802</v>
      </c>
      <c r="E12" s="116" t="s">
        <v>947</v>
      </c>
    </row>
    <row r="13" spans="1:10" ht="51" x14ac:dyDescent="0.2">
      <c r="A13" s="116" t="s">
        <v>41</v>
      </c>
      <c r="B13" s="116" t="s">
        <v>43</v>
      </c>
      <c r="C13" s="2" t="s">
        <v>22</v>
      </c>
      <c r="D13" s="1" t="s">
        <v>1435</v>
      </c>
      <c r="E13" s="116" t="s">
        <v>1546</v>
      </c>
    </row>
    <row r="14" spans="1:10" ht="38.25" x14ac:dyDescent="0.2">
      <c r="A14" s="116" t="s">
        <v>1336</v>
      </c>
      <c r="B14" s="116" t="s">
        <v>1335</v>
      </c>
      <c r="C14" s="2" t="s">
        <v>22</v>
      </c>
      <c r="D14" s="1" t="s">
        <v>1459</v>
      </c>
      <c r="E14" s="116" t="s">
        <v>1545</v>
      </c>
    </row>
    <row r="15" spans="1:10" x14ac:dyDescent="0.2">
      <c r="A15" s="123" t="s">
        <v>44</v>
      </c>
      <c r="B15" s="123" t="s">
        <v>45</v>
      </c>
      <c r="C15" s="4"/>
      <c r="D15" s="3"/>
      <c r="E15" s="123"/>
    </row>
    <row r="16" spans="1:10" ht="89.25" x14ac:dyDescent="0.2">
      <c r="A16" s="116" t="s">
        <v>46</v>
      </c>
      <c r="B16" s="116" t="s">
        <v>48</v>
      </c>
      <c r="C16" s="2" t="s">
        <v>49</v>
      </c>
      <c r="D16" s="1" t="s">
        <v>1400</v>
      </c>
      <c r="E16" s="116" t="s">
        <v>1544</v>
      </c>
    </row>
    <row r="17" spans="1:5" ht="114.75" x14ac:dyDescent="0.2">
      <c r="A17" s="116" t="s">
        <v>50</v>
      </c>
      <c r="B17" s="116" t="s">
        <v>52</v>
      </c>
      <c r="C17" s="2" t="s">
        <v>22</v>
      </c>
      <c r="D17" s="1" t="s">
        <v>1395</v>
      </c>
      <c r="E17" s="116" t="s">
        <v>1543</v>
      </c>
    </row>
    <row r="18" spans="1:5" ht="51" x14ac:dyDescent="0.2">
      <c r="A18" s="116" t="s">
        <v>53</v>
      </c>
      <c r="B18" s="116" t="s">
        <v>1333</v>
      </c>
      <c r="C18" s="2" t="s">
        <v>22</v>
      </c>
      <c r="D18" s="1" t="s">
        <v>1411</v>
      </c>
      <c r="E18" s="116" t="s">
        <v>1542</v>
      </c>
    </row>
    <row r="19" spans="1:5" x14ac:dyDescent="0.2">
      <c r="A19" s="116" t="s">
        <v>1332</v>
      </c>
      <c r="B19" s="116" t="s">
        <v>55</v>
      </c>
      <c r="C19" s="2" t="s">
        <v>49</v>
      </c>
      <c r="D19" s="1" t="s">
        <v>888</v>
      </c>
      <c r="E19" s="116" t="s">
        <v>946</v>
      </c>
    </row>
    <row r="20" spans="1:5" x14ac:dyDescent="0.2">
      <c r="A20" s="123" t="s">
        <v>56</v>
      </c>
      <c r="B20" s="123" t="s">
        <v>57</v>
      </c>
      <c r="C20" s="4"/>
      <c r="D20" s="3"/>
      <c r="E20" s="123"/>
    </row>
    <row r="21" spans="1:5" ht="51" x14ac:dyDescent="0.2">
      <c r="A21" s="116" t="s">
        <v>58</v>
      </c>
      <c r="B21" s="116" t="s">
        <v>60</v>
      </c>
      <c r="C21" s="2" t="s">
        <v>61</v>
      </c>
      <c r="D21" s="1" t="s">
        <v>1657</v>
      </c>
      <c r="E21" s="116" t="s">
        <v>1656</v>
      </c>
    </row>
    <row r="22" spans="1:5" ht="51" x14ac:dyDescent="0.2">
      <c r="A22" s="116" t="s">
        <v>62</v>
      </c>
      <c r="B22" s="116" t="s">
        <v>64</v>
      </c>
      <c r="C22" s="2" t="s">
        <v>61</v>
      </c>
      <c r="D22" s="1" t="s">
        <v>1657</v>
      </c>
      <c r="E22" s="116" t="s">
        <v>1656</v>
      </c>
    </row>
    <row r="23" spans="1:5" ht="51" x14ac:dyDescent="0.2">
      <c r="A23" s="116" t="s">
        <v>65</v>
      </c>
      <c r="B23" s="116" t="s">
        <v>67</v>
      </c>
      <c r="C23" s="2" t="s">
        <v>61</v>
      </c>
      <c r="D23" s="1" t="s">
        <v>1655</v>
      </c>
      <c r="E23" s="116" t="s">
        <v>1654</v>
      </c>
    </row>
    <row r="24" spans="1:5" x14ac:dyDescent="0.2">
      <c r="A24" s="123" t="s">
        <v>68</v>
      </c>
      <c r="B24" s="123" t="s">
        <v>69</v>
      </c>
      <c r="C24" s="4"/>
      <c r="D24" s="3"/>
      <c r="E24" s="123"/>
    </row>
    <row r="25" spans="1:5" x14ac:dyDescent="0.2">
      <c r="A25" s="123" t="s">
        <v>70</v>
      </c>
      <c r="B25" s="123" t="s">
        <v>71</v>
      </c>
      <c r="C25" s="4"/>
      <c r="D25" s="3"/>
      <c r="E25" s="123"/>
    </row>
    <row r="26" spans="1:5" ht="25.5" x14ac:dyDescent="0.2">
      <c r="A26" s="116" t="s">
        <v>72</v>
      </c>
      <c r="B26" s="116" t="s">
        <v>74</v>
      </c>
      <c r="C26" s="2" t="s">
        <v>49</v>
      </c>
      <c r="D26" s="1" t="s">
        <v>945</v>
      </c>
      <c r="E26" s="116" t="s">
        <v>944</v>
      </c>
    </row>
    <row r="27" spans="1:5" ht="38.25" x14ac:dyDescent="0.2">
      <c r="A27" s="116" t="s">
        <v>75</v>
      </c>
      <c r="B27" s="116" t="s">
        <v>77</v>
      </c>
      <c r="C27" s="2" t="s">
        <v>49</v>
      </c>
      <c r="D27" s="1" t="s">
        <v>943</v>
      </c>
      <c r="E27" s="116" t="s">
        <v>942</v>
      </c>
    </row>
    <row r="28" spans="1:5" x14ac:dyDescent="0.2">
      <c r="A28" s="116" t="s">
        <v>78</v>
      </c>
      <c r="B28" s="116" t="s">
        <v>1330</v>
      </c>
      <c r="C28" s="2" t="s">
        <v>49</v>
      </c>
      <c r="D28" s="1" t="s">
        <v>1405</v>
      </c>
      <c r="E28" s="116" t="s">
        <v>1541</v>
      </c>
    </row>
    <row r="29" spans="1:5" ht="25.5" x14ac:dyDescent="0.2">
      <c r="A29" s="116" t="s">
        <v>81</v>
      </c>
      <c r="B29" s="116" t="s">
        <v>80</v>
      </c>
      <c r="C29" s="2" t="s">
        <v>49</v>
      </c>
      <c r="D29" s="1" t="s">
        <v>941</v>
      </c>
      <c r="E29" s="116" t="s">
        <v>940</v>
      </c>
    </row>
    <row r="30" spans="1:5" ht="25.5" x14ac:dyDescent="0.2">
      <c r="A30" s="116" t="s">
        <v>1329</v>
      </c>
      <c r="B30" s="116" t="s">
        <v>83</v>
      </c>
      <c r="C30" s="2" t="s">
        <v>49</v>
      </c>
      <c r="D30" s="1" t="s">
        <v>1412</v>
      </c>
      <c r="E30" s="116" t="s">
        <v>1540</v>
      </c>
    </row>
    <row r="31" spans="1:5" x14ac:dyDescent="0.2">
      <c r="A31" s="123" t="s">
        <v>84</v>
      </c>
      <c r="B31" s="123" t="s">
        <v>85</v>
      </c>
      <c r="C31" s="4"/>
      <c r="D31" s="3"/>
      <c r="E31" s="123"/>
    </row>
    <row r="32" spans="1:5" ht="25.5" x14ac:dyDescent="0.2">
      <c r="A32" s="116" t="s">
        <v>86</v>
      </c>
      <c r="B32" s="116" t="s">
        <v>88</v>
      </c>
      <c r="C32" s="2" t="s">
        <v>49</v>
      </c>
      <c r="D32" s="1" t="s">
        <v>939</v>
      </c>
      <c r="E32" s="116" t="s">
        <v>938</v>
      </c>
    </row>
    <row r="33" spans="1:5" ht="25.5" x14ac:dyDescent="0.2">
      <c r="A33" s="116" t="s">
        <v>89</v>
      </c>
      <c r="B33" s="116" t="s">
        <v>91</v>
      </c>
      <c r="C33" s="2" t="s">
        <v>92</v>
      </c>
      <c r="D33" s="1" t="s">
        <v>937</v>
      </c>
      <c r="E33" s="116" t="s">
        <v>936</v>
      </c>
    </row>
    <row r="34" spans="1:5" x14ac:dyDescent="0.2">
      <c r="A34" s="116" t="s">
        <v>93</v>
      </c>
      <c r="B34" s="116" t="s">
        <v>95</v>
      </c>
      <c r="C34" s="2" t="s">
        <v>96</v>
      </c>
      <c r="D34" s="1" t="s">
        <v>935</v>
      </c>
      <c r="E34" s="116" t="s">
        <v>934</v>
      </c>
    </row>
    <row r="35" spans="1:5" x14ac:dyDescent="0.2">
      <c r="A35" s="116" t="s">
        <v>97</v>
      </c>
      <c r="B35" s="116" t="s">
        <v>99</v>
      </c>
      <c r="C35" s="2" t="s">
        <v>96</v>
      </c>
      <c r="D35" s="1" t="s">
        <v>933</v>
      </c>
      <c r="E35" s="116" t="s">
        <v>920</v>
      </c>
    </row>
    <row r="36" spans="1:5" x14ac:dyDescent="0.2">
      <c r="A36" s="123" t="s">
        <v>100</v>
      </c>
      <c r="B36" s="123" t="s">
        <v>101</v>
      </c>
      <c r="C36" s="4"/>
      <c r="D36" s="3"/>
      <c r="E36" s="123"/>
    </row>
    <row r="37" spans="1:5" ht="25.5" x14ac:dyDescent="0.2">
      <c r="A37" s="116" t="s">
        <v>102</v>
      </c>
      <c r="B37" s="116" t="s">
        <v>104</v>
      </c>
      <c r="C37" s="2" t="s">
        <v>49</v>
      </c>
      <c r="D37" s="1" t="s">
        <v>932</v>
      </c>
      <c r="E37" s="116" t="s">
        <v>931</v>
      </c>
    </row>
    <row r="38" spans="1:5" x14ac:dyDescent="0.2">
      <c r="A38" s="116" t="s">
        <v>105</v>
      </c>
      <c r="B38" s="116" t="s">
        <v>107</v>
      </c>
      <c r="C38" s="2" t="s">
        <v>22</v>
      </c>
      <c r="D38" s="1" t="s">
        <v>930</v>
      </c>
      <c r="E38" s="116" t="s">
        <v>920</v>
      </c>
    </row>
    <row r="39" spans="1:5" x14ac:dyDescent="0.2">
      <c r="A39" s="116" t="s">
        <v>108</v>
      </c>
      <c r="B39" s="116" t="s">
        <v>95</v>
      </c>
      <c r="C39" s="2" t="s">
        <v>96</v>
      </c>
      <c r="D39" s="1" t="s">
        <v>854</v>
      </c>
      <c r="E39" s="116" t="s">
        <v>920</v>
      </c>
    </row>
    <row r="40" spans="1:5" x14ac:dyDescent="0.2">
      <c r="A40" s="116" t="s">
        <v>109</v>
      </c>
      <c r="B40" s="116" t="s">
        <v>111</v>
      </c>
      <c r="C40" s="2" t="s">
        <v>96</v>
      </c>
      <c r="D40" s="1" t="s">
        <v>929</v>
      </c>
      <c r="E40" s="116" t="s">
        <v>920</v>
      </c>
    </row>
    <row r="41" spans="1:5" x14ac:dyDescent="0.2">
      <c r="A41" s="116" t="s">
        <v>112</v>
      </c>
      <c r="B41" s="116" t="s">
        <v>114</v>
      </c>
      <c r="C41" s="2" t="s">
        <v>49</v>
      </c>
      <c r="D41" s="1" t="s">
        <v>928</v>
      </c>
      <c r="E41" s="116" t="s">
        <v>920</v>
      </c>
    </row>
    <row r="42" spans="1:5" ht="25.5" x14ac:dyDescent="0.2">
      <c r="A42" s="116" t="s">
        <v>115</v>
      </c>
      <c r="B42" s="116" t="s">
        <v>117</v>
      </c>
      <c r="C42" s="2" t="s">
        <v>49</v>
      </c>
      <c r="D42" s="1" t="s">
        <v>928</v>
      </c>
      <c r="E42" s="116" t="s">
        <v>920</v>
      </c>
    </row>
    <row r="43" spans="1:5" x14ac:dyDescent="0.2">
      <c r="A43" s="123" t="s">
        <v>118</v>
      </c>
      <c r="B43" s="123" t="s">
        <v>119</v>
      </c>
      <c r="C43" s="4"/>
      <c r="D43" s="3"/>
      <c r="E43" s="123"/>
    </row>
    <row r="44" spans="1:5" ht="25.5" x14ac:dyDescent="0.2">
      <c r="A44" s="116" t="s">
        <v>120</v>
      </c>
      <c r="B44" s="116" t="s">
        <v>104</v>
      </c>
      <c r="C44" s="2" t="s">
        <v>49</v>
      </c>
      <c r="D44" s="1" t="s">
        <v>927</v>
      </c>
      <c r="E44" s="116" t="s">
        <v>926</v>
      </c>
    </row>
    <row r="45" spans="1:5" x14ac:dyDescent="0.2">
      <c r="A45" s="116" t="s">
        <v>121</v>
      </c>
      <c r="B45" s="116" t="s">
        <v>123</v>
      </c>
      <c r="C45" s="2" t="s">
        <v>22</v>
      </c>
      <c r="D45" s="1" t="s">
        <v>925</v>
      </c>
      <c r="E45" s="116" t="s">
        <v>920</v>
      </c>
    </row>
    <row r="46" spans="1:5" x14ac:dyDescent="0.2">
      <c r="A46" s="116" t="s">
        <v>124</v>
      </c>
      <c r="B46" s="116" t="s">
        <v>95</v>
      </c>
      <c r="C46" s="2" t="s">
        <v>96</v>
      </c>
      <c r="D46" s="1" t="s">
        <v>924</v>
      </c>
      <c r="E46" s="116" t="s">
        <v>920</v>
      </c>
    </row>
    <row r="47" spans="1:5" x14ac:dyDescent="0.2">
      <c r="A47" s="116" t="s">
        <v>125</v>
      </c>
      <c r="B47" s="116" t="s">
        <v>127</v>
      </c>
      <c r="C47" s="2" t="s">
        <v>96</v>
      </c>
      <c r="D47" s="1" t="s">
        <v>923</v>
      </c>
      <c r="E47" s="116" t="s">
        <v>920</v>
      </c>
    </row>
    <row r="48" spans="1:5" x14ac:dyDescent="0.2">
      <c r="A48" s="116" t="s">
        <v>128</v>
      </c>
      <c r="B48" s="116" t="s">
        <v>99</v>
      </c>
      <c r="C48" s="2" t="s">
        <v>96</v>
      </c>
      <c r="D48" s="1" t="s">
        <v>922</v>
      </c>
      <c r="E48" s="116" t="s">
        <v>920</v>
      </c>
    </row>
    <row r="49" spans="1:5" x14ac:dyDescent="0.2">
      <c r="A49" s="116" t="s">
        <v>129</v>
      </c>
      <c r="B49" s="116" t="s">
        <v>131</v>
      </c>
      <c r="C49" s="2" t="s">
        <v>49</v>
      </c>
      <c r="D49" s="1" t="s">
        <v>921</v>
      </c>
      <c r="E49" s="116" t="s">
        <v>920</v>
      </c>
    </row>
    <row r="50" spans="1:5" ht="25.5" x14ac:dyDescent="0.2">
      <c r="A50" s="116" t="s">
        <v>132</v>
      </c>
      <c r="B50" s="116" t="s">
        <v>117</v>
      </c>
      <c r="C50" s="2" t="s">
        <v>49</v>
      </c>
      <c r="D50" s="1" t="s">
        <v>921</v>
      </c>
      <c r="E50" s="116" t="s">
        <v>920</v>
      </c>
    </row>
    <row r="51" spans="1:5" x14ac:dyDescent="0.2">
      <c r="A51" s="123" t="s">
        <v>133</v>
      </c>
      <c r="B51" s="123" t="s">
        <v>134</v>
      </c>
      <c r="C51" s="4"/>
      <c r="D51" s="3"/>
      <c r="E51" s="123"/>
    </row>
    <row r="52" spans="1:5" ht="76.5" x14ac:dyDescent="0.2">
      <c r="A52" s="116" t="s">
        <v>135</v>
      </c>
      <c r="B52" s="116" t="s">
        <v>137</v>
      </c>
      <c r="C52" s="2" t="s">
        <v>49</v>
      </c>
      <c r="D52" s="1" t="s">
        <v>919</v>
      </c>
      <c r="E52" s="116" t="s">
        <v>918</v>
      </c>
    </row>
    <row r="53" spans="1:5" ht="76.5" x14ac:dyDescent="0.2">
      <c r="A53" s="116" t="s">
        <v>138</v>
      </c>
      <c r="B53" s="116" t="s">
        <v>140</v>
      </c>
      <c r="C53" s="2" t="s">
        <v>49</v>
      </c>
      <c r="D53" s="1" t="s">
        <v>919</v>
      </c>
      <c r="E53" s="116" t="s">
        <v>918</v>
      </c>
    </row>
    <row r="54" spans="1:5" x14ac:dyDescent="0.2">
      <c r="A54" s="123" t="s">
        <v>141</v>
      </c>
      <c r="B54" s="123" t="s">
        <v>142</v>
      </c>
      <c r="C54" s="4"/>
      <c r="D54" s="3"/>
      <c r="E54" s="123"/>
    </row>
    <row r="55" spans="1:5" x14ac:dyDescent="0.2">
      <c r="A55" s="123" t="s">
        <v>143</v>
      </c>
      <c r="B55" s="123" t="s">
        <v>144</v>
      </c>
      <c r="C55" s="4"/>
      <c r="D55" s="3"/>
      <c r="E55" s="123"/>
    </row>
    <row r="56" spans="1:5" x14ac:dyDescent="0.2">
      <c r="A56" s="116" t="s">
        <v>145</v>
      </c>
      <c r="B56" s="116" t="s">
        <v>147</v>
      </c>
      <c r="C56" s="2" t="s">
        <v>22</v>
      </c>
      <c r="D56" s="1" t="s">
        <v>917</v>
      </c>
      <c r="E56" s="116" t="s">
        <v>916</v>
      </c>
    </row>
    <row r="57" spans="1:5" x14ac:dyDescent="0.2">
      <c r="A57" s="116" t="s">
        <v>148</v>
      </c>
      <c r="B57" s="116" t="s">
        <v>95</v>
      </c>
      <c r="C57" s="2" t="s">
        <v>96</v>
      </c>
      <c r="D57" s="1" t="s">
        <v>915</v>
      </c>
      <c r="E57" s="116" t="s">
        <v>910</v>
      </c>
    </row>
    <row r="58" spans="1:5" x14ac:dyDescent="0.2">
      <c r="A58" s="116" t="s">
        <v>149</v>
      </c>
      <c r="B58" s="116" t="s">
        <v>99</v>
      </c>
      <c r="C58" s="2" t="s">
        <v>96</v>
      </c>
      <c r="D58" s="1" t="s">
        <v>914</v>
      </c>
      <c r="E58" s="116" t="s">
        <v>910</v>
      </c>
    </row>
    <row r="59" spans="1:5" x14ac:dyDescent="0.2">
      <c r="A59" s="116" t="s">
        <v>151</v>
      </c>
      <c r="B59" s="116" t="s">
        <v>153</v>
      </c>
      <c r="C59" s="2" t="s">
        <v>96</v>
      </c>
      <c r="D59" s="1" t="s">
        <v>913</v>
      </c>
      <c r="E59" s="116" t="s">
        <v>910</v>
      </c>
    </row>
    <row r="60" spans="1:5" x14ac:dyDescent="0.2">
      <c r="A60" s="116" t="s">
        <v>154</v>
      </c>
      <c r="B60" s="116" t="s">
        <v>156</v>
      </c>
      <c r="C60" s="2" t="s">
        <v>96</v>
      </c>
      <c r="D60" s="1" t="s">
        <v>912</v>
      </c>
      <c r="E60" s="116" t="s">
        <v>910</v>
      </c>
    </row>
    <row r="61" spans="1:5" x14ac:dyDescent="0.2">
      <c r="A61" s="116" t="s">
        <v>157</v>
      </c>
      <c r="B61" s="116" t="s">
        <v>159</v>
      </c>
      <c r="C61" s="2" t="s">
        <v>96</v>
      </c>
      <c r="D61" s="1" t="s">
        <v>911</v>
      </c>
      <c r="E61" s="116" t="s">
        <v>910</v>
      </c>
    </row>
    <row r="62" spans="1:5" x14ac:dyDescent="0.2">
      <c r="A62" s="116" t="s">
        <v>160</v>
      </c>
      <c r="B62" s="116" t="s">
        <v>131</v>
      </c>
      <c r="C62" s="2" t="s">
        <v>49</v>
      </c>
      <c r="D62" s="1" t="s">
        <v>909</v>
      </c>
      <c r="E62" s="116" t="s">
        <v>908</v>
      </c>
    </row>
    <row r="63" spans="1:5" ht="25.5" x14ac:dyDescent="0.2">
      <c r="A63" s="116" t="s">
        <v>162</v>
      </c>
      <c r="B63" s="116" t="s">
        <v>164</v>
      </c>
      <c r="C63" s="2" t="s">
        <v>49</v>
      </c>
      <c r="D63" s="1" t="s">
        <v>909</v>
      </c>
      <c r="E63" s="116" t="s">
        <v>908</v>
      </c>
    </row>
    <row r="64" spans="1:5" x14ac:dyDescent="0.2">
      <c r="A64" s="123" t="s">
        <v>165</v>
      </c>
      <c r="B64" s="123" t="s">
        <v>166</v>
      </c>
      <c r="C64" s="4"/>
      <c r="D64" s="3"/>
      <c r="E64" s="123"/>
    </row>
    <row r="65" spans="1:5" x14ac:dyDescent="0.2">
      <c r="A65" s="116" t="s">
        <v>167</v>
      </c>
      <c r="B65" s="116" t="s">
        <v>147</v>
      </c>
      <c r="C65" s="2" t="s">
        <v>22</v>
      </c>
      <c r="D65" s="1" t="s">
        <v>907</v>
      </c>
      <c r="E65" s="116" t="s">
        <v>906</v>
      </c>
    </row>
    <row r="66" spans="1:5" x14ac:dyDescent="0.2">
      <c r="A66" s="116" t="s">
        <v>168</v>
      </c>
      <c r="B66" s="116" t="s">
        <v>95</v>
      </c>
      <c r="C66" s="2" t="s">
        <v>96</v>
      </c>
      <c r="D66" s="1" t="s">
        <v>905</v>
      </c>
      <c r="E66" s="116" t="s">
        <v>898</v>
      </c>
    </row>
    <row r="67" spans="1:5" x14ac:dyDescent="0.2">
      <c r="A67" s="116" t="s">
        <v>169</v>
      </c>
      <c r="B67" s="116" t="s">
        <v>171</v>
      </c>
      <c r="C67" s="2" t="s">
        <v>96</v>
      </c>
      <c r="D67" s="1" t="s">
        <v>904</v>
      </c>
      <c r="E67" s="116" t="s">
        <v>898</v>
      </c>
    </row>
    <row r="68" spans="1:5" x14ac:dyDescent="0.2">
      <c r="A68" s="116" t="s">
        <v>172</v>
      </c>
      <c r="B68" s="116" t="s">
        <v>174</v>
      </c>
      <c r="C68" s="2" t="s">
        <v>96</v>
      </c>
      <c r="D68" s="1" t="s">
        <v>903</v>
      </c>
      <c r="E68" s="116" t="s">
        <v>898</v>
      </c>
    </row>
    <row r="69" spans="1:5" x14ac:dyDescent="0.2">
      <c r="A69" s="116" t="s">
        <v>175</v>
      </c>
      <c r="B69" s="116" t="s">
        <v>99</v>
      </c>
      <c r="C69" s="2" t="s">
        <v>96</v>
      </c>
      <c r="D69" s="1" t="s">
        <v>902</v>
      </c>
      <c r="E69" s="116" t="s">
        <v>898</v>
      </c>
    </row>
    <row r="70" spans="1:5" x14ac:dyDescent="0.2">
      <c r="A70" s="116" t="s">
        <v>176</v>
      </c>
      <c r="B70" s="116" t="s">
        <v>153</v>
      </c>
      <c r="C70" s="2" t="s">
        <v>96</v>
      </c>
      <c r="D70" s="1" t="s">
        <v>901</v>
      </c>
      <c r="E70" s="116" t="s">
        <v>898</v>
      </c>
    </row>
    <row r="71" spans="1:5" x14ac:dyDescent="0.2">
      <c r="A71" s="116" t="s">
        <v>177</v>
      </c>
      <c r="B71" s="116" t="s">
        <v>156</v>
      </c>
      <c r="C71" s="2" t="s">
        <v>96</v>
      </c>
      <c r="D71" s="1" t="s">
        <v>900</v>
      </c>
      <c r="E71" s="116" t="s">
        <v>898</v>
      </c>
    </row>
    <row r="72" spans="1:5" x14ac:dyDescent="0.2">
      <c r="A72" s="116" t="s">
        <v>178</v>
      </c>
      <c r="B72" s="116" t="s">
        <v>159</v>
      </c>
      <c r="C72" s="2" t="s">
        <v>96</v>
      </c>
      <c r="D72" s="1" t="s">
        <v>899</v>
      </c>
      <c r="E72" s="116" t="s">
        <v>898</v>
      </c>
    </row>
    <row r="73" spans="1:5" x14ac:dyDescent="0.2">
      <c r="A73" s="116" t="s">
        <v>179</v>
      </c>
      <c r="B73" s="116" t="s">
        <v>131</v>
      </c>
      <c r="C73" s="2" t="s">
        <v>49</v>
      </c>
      <c r="D73" s="1" t="s">
        <v>897</v>
      </c>
      <c r="E73" s="116" t="s">
        <v>896</v>
      </c>
    </row>
    <row r="74" spans="1:5" ht="25.5" x14ac:dyDescent="0.2">
      <c r="A74" s="116" t="s">
        <v>180</v>
      </c>
      <c r="B74" s="116" t="s">
        <v>164</v>
      </c>
      <c r="C74" s="2" t="s">
        <v>49</v>
      </c>
      <c r="D74" s="1" t="s">
        <v>897</v>
      </c>
      <c r="E74" s="116" t="s">
        <v>896</v>
      </c>
    </row>
    <row r="75" spans="1:5" ht="76.5" x14ac:dyDescent="0.2">
      <c r="A75" s="116" t="s">
        <v>1328</v>
      </c>
      <c r="B75" s="116" t="s">
        <v>1326</v>
      </c>
      <c r="C75" s="2" t="s">
        <v>92</v>
      </c>
      <c r="D75" s="1" t="s">
        <v>1468</v>
      </c>
      <c r="E75" s="116" t="s">
        <v>1539</v>
      </c>
    </row>
    <row r="76" spans="1:5" x14ac:dyDescent="0.2">
      <c r="A76" s="123" t="s">
        <v>181</v>
      </c>
      <c r="B76" s="123" t="s">
        <v>182</v>
      </c>
      <c r="C76" s="4"/>
      <c r="D76" s="3"/>
      <c r="E76" s="123"/>
    </row>
    <row r="77" spans="1:5" ht="51" x14ac:dyDescent="0.2">
      <c r="A77" s="116" t="s">
        <v>183</v>
      </c>
      <c r="B77" s="116" t="s">
        <v>185</v>
      </c>
      <c r="C77" s="2" t="s">
        <v>22</v>
      </c>
      <c r="D77" s="1" t="s">
        <v>1494</v>
      </c>
      <c r="E77" s="116" t="s">
        <v>1538</v>
      </c>
    </row>
    <row r="78" spans="1:5" x14ac:dyDescent="0.2">
      <c r="A78" s="123" t="s">
        <v>186</v>
      </c>
      <c r="B78" s="123" t="s">
        <v>187</v>
      </c>
      <c r="C78" s="4"/>
      <c r="D78" s="3"/>
      <c r="E78" s="123"/>
    </row>
    <row r="79" spans="1:5" ht="76.5" x14ac:dyDescent="0.2">
      <c r="A79" s="116" t="s">
        <v>188</v>
      </c>
      <c r="B79" s="116" t="s">
        <v>190</v>
      </c>
      <c r="C79" s="2" t="s">
        <v>22</v>
      </c>
      <c r="D79" s="1" t="s">
        <v>1490</v>
      </c>
      <c r="E79" s="116" t="s">
        <v>1537</v>
      </c>
    </row>
    <row r="80" spans="1:5" x14ac:dyDescent="0.2">
      <c r="A80" s="123" t="s">
        <v>1325</v>
      </c>
      <c r="B80" s="123" t="s">
        <v>1324</v>
      </c>
      <c r="C80" s="4"/>
      <c r="D80" s="3"/>
      <c r="E80" s="123"/>
    </row>
    <row r="81" spans="1:5" ht="38.25" x14ac:dyDescent="0.2">
      <c r="A81" s="116" t="s">
        <v>1323</v>
      </c>
      <c r="B81" s="116" t="s">
        <v>1321</v>
      </c>
      <c r="C81" s="2" t="s">
        <v>22</v>
      </c>
      <c r="D81" s="1" t="s">
        <v>1440</v>
      </c>
      <c r="E81" s="116" t="s">
        <v>1534</v>
      </c>
    </row>
    <row r="82" spans="1:5" ht="38.25" x14ac:dyDescent="0.2">
      <c r="A82" s="116" t="s">
        <v>1320</v>
      </c>
      <c r="B82" s="116" t="s">
        <v>1318</v>
      </c>
      <c r="C82" s="2" t="s">
        <v>49</v>
      </c>
      <c r="D82" s="1" t="s">
        <v>1414</v>
      </c>
      <c r="E82" s="116" t="s">
        <v>1536</v>
      </c>
    </row>
    <row r="83" spans="1:5" ht="38.25" x14ac:dyDescent="0.2">
      <c r="A83" s="116" t="s">
        <v>1317</v>
      </c>
      <c r="B83" s="116" t="s">
        <v>1315</v>
      </c>
      <c r="C83" s="2" t="s">
        <v>1303</v>
      </c>
      <c r="D83" s="1" t="s">
        <v>1431</v>
      </c>
      <c r="E83" s="116" t="s">
        <v>1535</v>
      </c>
    </row>
    <row r="84" spans="1:5" x14ac:dyDescent="0.2">
      <c r="A84" s="116" t="s">
        <v>1314</v>
      </c>
      <c r="B84" s="116" t="s">
        <v>1312</v>
      </c>
      <c r="C84" s="2" t="s">
        <v>22</v>
      </c>
      <c r="D84" s="1" t="s">
        <v>1440</v>
      </c>
      <c r="E84" s="116" t="s">
        <v>1534</v>
      </c>
    </row>
    <row r="85" spans="1:5" x14ac:dyDescent="0.2">
      <c r="A85" s="123" t="s">
        <v>1311</v>
      </c>
      <c r="B85" s="123" t="s">
        <v>1310</v>
      </c>
      <c r="C85" s="4"/>
      <c r="D85" s="3"/>
      <c r="E85" s="123"/>
    </row>
    <row r="86" spans="1:5" ht="25.5" x14ac:dyDescent="0.2">
      <c r="A86" s="116" t="s">
        <v>1309</v>
      </c>
      <c r="B86" s="116" t="s">
        <v>1307</v>
      </c>
      <c r="C86" s="2" t="s">
        <v>22</v>
      </c>
      <c r="D86" s="1" t="s">
        <v>1406</v>
      </c>
      <c r="E86" s="116" t="s">
        <v>1533</v>
      </c>
    </row>
    <row r="87" spans="1:5" ht="25.5" x14ac:dyDescent="0.2">
      <c r="A87" s="116" t="s">
        <v>1306</v>
      </c>
      <c r="B87" s="116" t="s">
        <v>1304</v>
      </c>
      <c r="C87" s="2" t="s">
        <v>1303</v>
      </c>
      <c r="D87" s="1" t="s">
        <v>1456</v>
      </c>
      <c r="E87" s="116" t="s">
        <v>1532</v>
      </c>
    </row>
    <row r="88" spans="1:5" ht="25.5" x14ac:dyDescent="0.2">
      <c r="A88" s="116" t="s">
        <v>1302</v>
      </c>
      <c r="B88" s="116" t="s">
        <v>1300</v>
      </c>
      <c r="C88" s="2" t="s">
        <v>49</v>
      </c>
      <c r="D88" s="1" t="s">
        <v>1384</v>
      </c>
      <c r="E88" s="116" t="s">
        <v>1531</v>
      </c>
    </row>
    <row r="89" spans="1:5" ht="25.5" x14ac:dyDescent="0.2">
      <c r="A89" s="116" t="s">
        <v>1299</v>
      </c>
      <c r="B89" s="116" t="s">
        <v>1297</v>
      </c>
      <c r="C89" s="2" t="s">
        <v>49</v>
      </c>
      <c r="D89" s="1" t="s">
        <v>1384</v>
      </c>
      <c r="E89" s="116" t="s">
        <v>1531</v>
      </c>
    </row>
    <row r="90" spans="1:5" x14ac:dyDescent="0.2">
      <c r="A90" s="123" t="s">
        <v>191</v>
      </c>
      <c r="B90" s="123" t="s">
        <v>192</v>
      </c>
      <c r="C90" s="4"/>
      <c r="D90" s="3"/>
      <c r="E90" s="123"/>
    </row>
    <row r="91" spans="1:5" x14ac:dyDescent="0.2">
      <c r="A91" s="123" t="s">
        <v>193</v>
      </c>
      <c r="B91" s="123" t="s">
        <v>194</v>
      </c>
      <c r="C91" s="4"/>
      <c r="D91" s="3"/>
      <c r="E91" s="123"/>
    </row>
    <row r="92" spans="1:5" ht="25.5" x14ac:dyDescent="0.2">
      <c r="A92" s="116" t="s">
        <v>195</v>
      </c>
      <c r="B92" s="116" t="s">
        <v>197</v>
      </c>
      <c r="C92" s="2" t="s">
        <v>92</v>
      </c>
      <c r="D92" s="1" t="s">
        <v>895</v>
      </c>
      <c r="E92" s="116" t="s">
        <v>879</v>
      </c>
    </row>
    <row r="93" spans="1:5" ht="25.5" x14ac:dyDescent="0.2">
      <c r="A93" s="116" t="s">
        <v>198</v>
      </c>
      <c r="B93" s="116" t="s">
        <v>200</v>
      </c>
      <c r="C93" s="2" t="s">
        <v>92</v>
      </c>
      <c r="D93" s="1" t="s">
        <v>894</v>
      </c>
      <c r="E93" s="116" t="s">
        <v>879</v>
      </c>
    </row>
    <row r="94" spans="1:5" ht="25.5" x14ac:dyDescent="0.2">
      <c r="A94" s="116" t="s">
        <v>201</v>
      </c>
      <c r="B94" s="116" t="s">
        <v>203</v>
      </c>
      <c r="C94" s="2" t="s">
        <v>92</v>
      </c>
      <c r="D94" s="1" t="s">
        <v>858</v>
      </c>
      <c r="E94" s="116" t="s">
        <v>879</v>
      </c>
    </row>
    <row r="95" spans="1:5" ht="25.5" x14ac:dyDescent="0.2">
      <c r="A95" s="116" t="s">
        <v>204</v>
      </c>
      <c r="B95" s="116" t="s">
        <v>206</v>
      </c>
      <c r="C95" s="2" t="s">
        <v>92</v>
      </c>
      <c r="D95" s="1" t="s">
        <v>885</v>
      </c>
      <c r="E95" s="116" t="s">
        <v>879</v>
      </c>
    </row>
    <row r="96" spans="1:5" x14ac:dyDescent="0.2">
      <c r="A96" s="116" t="s">
        <v>207</v>
      </c>
      <c r="B96" s="116" t="s">
        <v>209</v>
      </c>
      <c r="C96" s="2" t="s">
        <v>92</v>
      </c>
      <c r="D96" s="1" t="s">
        <v>887</v>
      </c>
      <c r="E96" s="116" t="s">
        <v>879</v>
      </c>
    </row>
    <row r="97" spans="1:5" x14ac:dyDescent="0.2">
      <c r="A97" s="116" t="s">
        <v>210</v>
      </c>
      <c r="B97" s="116" t="s">
        <v>212</v>
      </c>
      <c r="C97" s="2" t="s">
        <v>213</v>
      </c>
      <c r="D97" s="1" t="s">
        <v>893</v>
      </c>
      <c r="E97" s="116" t="s">
        <v>879</v>
      </c>
    </row>
    <row r="98" spans="1:5" x14ac:dyDescent="0.2">
      <c r="A98" s="116" t="s">
        <v>214</v>
      </c>
      <c r="B98" s="116" t="s">
        <v>216</v>
      </c>
      <c r="C98" s="2" t="s">
        <v>213</v>
      </c>
      <c r="D98" s="1" t="s">
        <v>892</v>
      </c>
      <c r="E98" s="116" t="s">
        <v>879</v>
      </c>
    </row>
    <row r="99" spans="1:5" x14ac:dyDescent="0.2">
      <c r="A99" s="116" t="s">
        <v>217</v>
      </c>
      <c r="B99" s="116" t="s">
        <v>219</v>
      </c>
      <c r="C99" s="2" t="s">
        <v>92</v>
      </c>
      <c r="D99" s="1" t="s">
        <v>795</v>
      </c>
      <c r="E99" s="116" t="s">
        <v>879</v>
      </c>
    </row>
    <row r="100" spans="1:5" x14ac:dyDescent="0.2">
      <c r="A100" s="116" t="s">
        <v>220</v>
      </c>
      <c r="B100" s="116" t="s">
        <v>222</v>
      </c>
      <c r="C100" s="2" t="s">
        <v>92</v>
      </c>
      <c r="D100" s="1" t="s">
        <v>891</v>
      </c>
      <c r="E100" s="116" t="s">
        <v>879</v>
      </c>
    </row>
    <row r="101" spans="1:5" x14ac:dyDescent="0.2">
      <c r="A101" s="116" t="s">
        <v>223</v>
      </c>
      <c r="B101" s="116" t="s">
        <v>225</v>
      </c>
      <c r="C101" s="2" t="s">
        <v>92</v>
      </c>
      <c r="D101" s="1" t="s">
        <v>890</v>
      </c>
      <c r="E101" s="116" t="s">
        <v>879</v>
      </c>
    </row>
    <row r="102" spans="1:5" x14ac:dyDescent="0.2">
      <c r="A102" s="123" t="s">
        <v>226</v>
      </c>
      <c r="B102" s="123" t="s">
        <v>227</v>
      </c>
      <c r="C102" s="4"/>
      <c r="D102" s="3"/>
      <c r="E102" s="123"/>
    </row>
    <row r="103" spans="1:5" ht="25.5" x14ac:dyDescent="0.2">
      <c r="A103" s="116" t="s">
        <v>228</v>
      </c>
      <c r="B103" s="116" t="s">
        <v>230</v>
      </c>
      <c r="C103" s="2" t="s">
        <v>22</v>
      </c>
      <c r="D103" s="1" t="s">
        <v>889</v>
      </c>
      <c r="E103" s="116" t="s">
        <v>879</v>
      </c>
    </row>
    <row r="104" spans="1:5" x14ac:dyDescent="0.2">
      <c r="A104" s="123" t="s">
        <v>231</v>
      </c>
      <c r="B104" s="123" t="s">
        <v>232</v>
      </c>
      <c r="C104" s="4"/>
      <c r="D104" s="3"/>
      <c r="E104" s="123"/>
    </row>
    <row r="105" spans="1:5" ht="25.5" x14ac:dyDescent="0.2">
      <c r="A105" s="116" t="s">
        <v>233</v>
      </c>
      <c r="B105" s="116" t="s">
        <v>235</v>
      </c>
      <c r="C105" s="2" t="s">
        <v>236</v>
      </c>
      <c r="D105" s="1" t="s">
        <v>888</v>
      </c>
      <c r="E105" s="116" t="s">
        <v>879</v>
      </c>
    </row>
    <row r="106" spans="1:5" ht="25.5" x14ac:dyDescent="0.2">
      <c r="A106" s="116" t="s">
        <v>237</v>
      </c>
      <c r="B106" s="116" t="s">
        <v>238</v>
      </c>
      <c r="C106" s="2" t="s">
        <v>236</v>
      </c>
      <c r="D106" s="1" t="s">
        <v>851</v>
      </c>
      <c r="E106" s="116" t="s">
        <v>879</v>
      </c>
    </row>
    <row r="107" spans="1:5" ht="76.5" x14ac:dyDescent="0.2">
      <c r="A107" s="116" t="s">
        <v>239</v>
      </c>
      <c r="B107" s="116" t="s">
        <v>241</v>
      </c>
      <c r="C107" s="2" t="s">
        <v>236</v>
      </c>
      <c r="D107" s="1" t="s">
        <v>856</v>
      </c>
      <c r="E107" s="116" t="s">
        <v>879</v>
      </c>
    </row>
    <row r="108" spans="1:5" ht="25.5" x14ac:dyDescent="0.2">
      <c r="A108" s="116" t="s">
        <v>242</v>
      </c>
      <c r="B108" s="116" t="s">
        <v>245</v>
      </c>
      <c r="C108" s="2" t="s">
        <v>246</v>
      </c>
      <c r="D108" s="1" t="s">
        <v>871</v>
      </c>
      <c r="E108" s="116" t="s">
        <v>879</v>
      </c>
    </row>
    <row r="109" spans="1:5" x14ac:dyDescent="0.2">
      <c r="A109" s="116" t="s">
        <v>247</v>
      </c>
      <c r="B109" s="116" t="s">
        <v>250</v>
      </c>
      <c r="C109" s="2" t="s">
        <v>236</v>
      </c>
      <c r="D109" s="1" t="s">
        <v>849</v>
      </c>
      <c r="E109" s="116" t="s">
        <v>879</v>
      </c>
    </row>
    <row r="110" spans="1:5" ht="25.5" x14ac:dyDescent="0.2">
      <c r="A110" s="116" t="s">
        <v>251</v>
      </c>
      <c r="B110" s="116" t="s">
        <v>253</v>
      </c>
      <c r="C110" s="2" t="s">
        <v>236</v>
      </c>
      <c r="D110" s="1" t="s">
        <v>887</v>
      </c>
      <c r="E110" s="116" t="s">
        <v>879</v>
      </c>
    </row>
    <row r="111" spans="1:5" x14ac:dyDescent="0.2">
      <c r="A111" s="116" t="s">
        <v>254</v>
      </c>
      <c r="B111" s="116" t="s">
        <v>255</v>
      </c>
      <c r="C111" s="2" t="s">
        <v>236</v>
      </c>
      <c r="D111" s="1" t="s">
        <v>804</v>
      </c>
      <c r="E111" s="116" t="s">
        <v>879</v>
      </c>
    </row>
    <row r="112" spans="1:5" x14ac:dyDescent="0.2">
      <c r="A112" s="116" t="s">
        <v>256</v>
      </c>
      <c r="B112" s="116" t="s">
        <v>258</v>
      </c>
      <c r="C112" s="2" t="s">
        <v>246</v>
      </c>
      <c r="D112" s="1" t="s">
        <v>886</v>
      </c>
      <c r="E112" s="116" t="s">
        <v>879</v>
      </c>
    </row>
    <row r="113" spans="1:5" ht="25.5" x14ac:dyDescent="0.2">
      <c r="A113" s="116" t="s">
        <v>259</v>
      </c>
      <c r="B113" s="116" t="s">
        <v>261</v>
      </c>
      <c r="C113" s="2" t="s">
        <v>246</v>
      </c>
      <c r="D113" s="1" t="s">
        <v>804</v>
      </c>
      <c r="E113" s="116" t="s">
        <v>879</v>
      </c>
    </row>
    <row r="114" spans="1:5" ht="25.5" x14ac:dyDescent="0.2">
      <c r="A114" s="116" t="s">
        <v>262</v>
      </c>
      <c r="B114" s="116" t="s">
        <v>264</v>
      </c>
      <c r="C114" s="2" t="s">
        <v>236</v>
      </c>
      <c r="D114" s="1" t="s">
        <v>885</v>
      </c>
      <c r="E114" s="116" t="s">
        <v>879</v>
      </c>
    </row>
    <row r="115" spans="1:5" ht="25.5" x14ac:dyDescent="0.2">
      <c r="A115" s="116" t="s">
        <v>265</v>
      </c>
      <c r="B115" s="116" t="s">
        <v>267</v>
      </c>
      <c r="C115" s="2" t="s">
        <v>236</v>
      </c>
      <c r="D115" s="1" t="s">
        <v>850</v>
      </c>
      <c r="E115" s="116" t="s">
        <v>879</v>
      </c>
    </row>
    <row r="116" spans="1:5" ht="25.5" x14ac:dyDescent="0.2">
      <c r="A116" s="116" t="s">
        <v>268</v>
      </c>
      <c r="B116" s="116" t="s">
        <v>270</v>
      </c>
      <c r="C116" s="2" t="s">
        <v>236</v>
      </c>
      <c r="D116" s="1" t="s">
        <v>756</v>
      </c>
      <c r="E116" s="116" t="s">
        <v>879</v>
      </c>
    </row>
    <row r="117" spans="1:5" ht="25.5" x14ac:dyDescent="0.2">
      <c r="A117" s="116" t="s">
        <v>271</v>
      </c>
      <c r="B117" s="116" t="s">
        <v>273</v>
      </c>
      <c r="C117" s="2" t="s">
        <v>236</v>
      </c>
      <c r="D117" s="1" t="s">
        <v>756</v>
      </c>
      <c r="E117" s="116" t="s">
        <v>879</v>
      </c>
    </row>
    <row r="118" spans="1:5" ht="25.5" x14ac:dyDescent="0.2">
      <c r="A118" s="116" t="s">
        <v>274</v>
      </c>
      <c r="B118" s="116" t="s">
        <v>276</v>
      </c>
      <c r="C118" s="2" t="s">
        <v>236</v>
      </c>
      <c r="D118" s="1" t="s">
        <v>805</v>
      </c>
      <c r="E118" s="116" t="s">
        <v>879</v>
      </c>
    </row>
    <row r="119" spans="1:5" ht="25.5" x14ac:dyDescent="0.2">
      <c r="A119" s="116" t="s">
        <v>277</v>
      </c>
      <c r="B119" s="116" t="s">
        <v>279</v>
      </c>
      <c r="C119" s="2" t="s">
        <v>236</v>
      </c>
      <c r="D119" s="1" t="s">
        <v>804</v>
      </c>
      <c r="E119" s="116" t="s">
        <v>879</v>
      </c>
    </row>
    <row r="120" spans="1:5" x14ac:dyDescent="0.2">
      <c r="A120" s="116" t="s">
        <v>280</v>
      </c>
      <c r="B120" s="116" t="s">
        <v>282</v>
      </c>
      <c r="C120" s="2" t="s">
        <v>37</v>
      </c>
      <c r="D120" s="1" t="s">
        <v>884</v>
      </c>
      <c r="E120" s="116" t="s">
        <v>879</v>
      </c>
    </row>
    <row r="121" spans="1:5" x14ac:dyDescent="0.2">
      <c r="A121" s="116" t="s">
        <v>283</v>
      </c>
      <c r="B121" s="116" t="s">
        <v>285</v>
      </c>
      <c r="C121" s="2" t="s">
        <v>246</v>
      </c>
      <c r="D121" s="1" t="s">
        <v>883</v>
      </c>
      <c r="E121" s="116" t="s">
        <v>879</v>
      </c>
    </row>
    <row r="122" spans="1:5" x14ac:dyDescent="0.2">
      <c r="A122" s="116" t="s">
        <v>286</v>
      </c>
      <c r="B122" s="116" t="s">
        <v>288</v>
      </c>
      <c r="C122" s="2" t="s">
        <v>37</v>
      </c>
      <c r="D122" s="1" t="s">
        <v>850</v>
      </c>
      <c r="E122" s="116" t="s">
        <v>879</v>
      </c>
    </row>
    <row r="123" spans="1:5" x14ac:dyDescent="0.2">
      <c r="A123" s="123" t="s">
        <v>289</v>
      </c>
      <c r="B123" s="123" t="s">
        <v>290</v>
      </c>
      <c r="C123" s="4"/>
      <c r="D123" s="3"/>
      <c r="E123" s="123"/>
    </row>
    <row r="124" spans="1:5" x14ac:dyDescent="0.2">
      <c r="A124" s="116" t="s">
        <v>291</v>
      </c>
      <c r="B124" s="116" t="s">
        <v>293</v>
      </c>
      <c r="C124" s="2" t="s">
        <v>37</v>
      </c>
      <c r="D124" s="1" t="s">
        <v>882</v>
      </c>
      <c r="E124" s="116" t="s">
        <v>879</v>
      </c>
    </row>
    <row r="125" spans="1:5" x14ac:dyDescent="0.2">
      <c r="A125" s="116" t="s">
        <v>294</v>
      </c>
      <c r="B125" s="116" t="s">
        <v>296</v>
      </c>
      <c r="C125" s="2" t="s">
        <v>37</v>
      </c>
      <c r="D125" s="1" t="s">
        <v>756</v>
      </c>
      <c r="E125" s="116" t="s">
        <v>879</v>
      </c>
    </row>
    <row r="126" spans="1:5" x14ac:dyDescent="0.2">
      <c r="A126" s="116" t="s">
        <v>297</v>
      </c>
      <c r="B126" s="116" t="s">
        <v>299</v>
      </c>
      <c r="C126" s="2" t="s">
        <v>37</v>
      </c>
      <c r="D126" s="1" t="s">
        <v>802</v>
      </c>
      <c r="E126" s="116" t="s">
        <v>879</v>
      </c>
    </row>
    <row r="127" spans="1:5" x14ac:dyDescent="0.2">
      <c r="A127" s="116" t="s">
        <v>300</v>
      </c>
      <c r="B127" s="116" t="s">
        <v>302</v>
      </c>
      <c r="C127" s="2" t="s">
        <v>37</v>
      </c>
      <c r="D127" s="1" t="s">
        <v>756</v>
      </c>
      <c r="E127" s="116" t="s">
        <v>879</v>
      </c>
    </row>
    <row r="128" spans="1:5" x14ac:dyDescent="0.2">
      <c r="A128" s="116" t="s">
        <v>303</v>
      </c>
      <c r="B128" s="116" t="s">
        <v>305</v>
      </c>
      <c r="C128" s="2" t="s">
        <v>37</v>
      </c>
      <c r="D128" s="1" t="s">
        <v>802</v>
      </c>
      <c r="E128" s="116" t="s">
        <v>879</v>
      </c>
    </row>
    <row r="129" spans="1:5" ht="25.5" x14ac:dyDescent="0.2">
      <c r="A129" s="116" t="s">
        <v>306</v>
      </c>
      <c r="B129" s="116" t="s">
        <v>308</v>
      </c>
      <c r="C129" s="2" t="s">
        <v>37</v>
      </c>
      <c r="D129" s="1" t="s">
        <v>795</v>
      </c>
      <c r="E129" s="116" t="s">
        <v>879</v>
      </c>
    </row>
    <row r="130" spans="1:5" x14ac:dyDescent="0.2">
      <c r="A130" s="116" t="s">
        <v>309</v>
      </c>
      <c r="B130" s="116" t="s">
        <v>311</v>
      </c>
      <c r="C130" s="2" t="s">
        <v>37</v>
      </c>
      <c r="D130" s="1" t="s">
        <v>881</v>
      </c>
      <c r="E130" s="116" t="s">
        <v>879</v>
      </c>
    </row>
    <row r="131" spans="1:5" x14ac:dyDescent="0.2">
      <c r="A131" s="116" t="s">
        <v>312</v>
      </c>
      <c r="B131" s="116" t="s">
        <v>314</v>
      </c>
      <c r="C131" s="2" t="s">
        <v>37</v>
      </c>
      <c r="D131" s="1" t="s">
        <v>756</v>
      </c>
      <c r="E131" s="116" t="s">
        <v>879</v>
      </c>
    </row>
    <row r="132" spans="1:5" x14ac:dyDescent="0.2">
      <c r="A132" s="116" t="s">
        <v>315</v>
      </c>
      <c r="B132" s="116" t="s">
        <v>317</v>
      </c>
      <c r="C132" s="2" t="s">
        <v>246</v>
      </c>
      <c r="D132" s="1" t="s">
        <v>802</v>
      </c>
      <c r="E132" s="116" t="s">
        <v>879</v>
      </c>
    </row>
    <row r="133" spans="1:5" x14ac:dyDescent="0.2">
      <c r="A133" s="116" t="s">
        <v>318</v>
      </c>
      <c r="B133" s="116" t="s">
        <v>320</v>
      </c>
      <c r="C133" s="2" t="s">
        <v>37</v>
      </c>
      <c r="D133" s="1" t="s">
        <v>756</v>
      </c>
      <c r="E133" s="116" t="s">
        <v>879</v>
      </c>
    </row>
    <row r="134" spans="1:5" x14ac:dyDescent="0.2">
      <c r="A134" s="116" t="s">
        <v>321</v>
      </c>
      <c r="B134" s="116" t="s">
        <v>322</v>
      </c>
      <c r="C134" s="2" t="s">
        <v>37</v>
      </c>
      <c r="D134" s="1" t="s">
        <v>802</v>
      </c>
      <c r="E134" s="116" t="s">
        <v>879</v>
      </c>
    </row>
    <row r="135" spans="1:5" x14ac:dyDescent="0.2">
      <c r="A135" s="116" t="s">
        <v>323</v>
      </c>
      <c r="B135" s="116" t="s">
        <v>325</v>
      </c>
      <c r="C135" s="2" t="s">
        <v>37</v>
      </c>
      <c r="D135" s="1" t="s">
        <v>880</v>
      </c>
      <c r="E135" s="116" t="s">
        <v>879</v>
      </c>
    </row>
    <row r="136" spans="1:5" x14ac:dyDescent="0.2">
      <c r="A136" s="116" t="s">
        <v>326</v>
      </c>
      <c r="B136" s="116" t="s">
        <v>328</v>
      </c>
      <c r="C136" s="2" t="s">
        <v>236</v>
      </c>
      <c r="D136" s="1" t="s">
        <v>804</v>
      </c>
      <c r="E136" s="116" t="s">
        <v>879</v>
      </c>
    </row>
    <row r="137" spans="1:5" x14ac:dyDescent="0.2">
      <c r="A137" s="123" t="s">
        <v>1650</v>
      </c>
      <c r="B137" s="123" t="s">
        <v>1649</v>
      </c>
      <c r="C137" s="4"/>
      <c r="D137" s="3"/>
      <c r="E137" s="123"/>
    </row>
    <row r="138" spans="1:5" ht="25.5" x14ac:dyDescent="0.2">
      <c r="A138" s="116" t="s">
        <v>1648</v>
      </c>
      <c r="B138" s="116" t="s">
        <v>1680</v>
      </c>
      <c r="C138" s="2" t="s">
        <v>213</v>
      </c>
      <c r="D138" s="1" t="s">
        <v>1429</v>
      </c>
      <c r="E138" s="116" t="s">
        <v>1733</v>
      </c>
    </row>
    <row r="139" spans="1:5" x14ac:dyDescent="0.2">
      <c r="A139" s="116" t="s">
        <v>1645</v>
      </c>
      <c r="B139" s="116" t="s">
        <v>1682</v>
      </c>
      <c r="C139" s="2" t="s">
        <v>37</v>
      </c>
      <c r="D139" s="1" t="s">
        <v>865</v>
      </c>
      <c r="E139" s="116" t="s">
        <v>1733</v>
      </c>
    </row>
    <row r="140" spans="1:5" x14ac:dyDescent="0.2">
      <c r="A140" s="116" t="s">
        <v>1642</v>
      </c>
      <c r="B140" s="116" t="s">
        <v>1684</v>
      </c>
      <c r="C140" s="2" t="s">
        <v>37</v>
      </c>
      <c r="D140" s="1" t="s">
        <v>1708</v>
      </c>
      <c r="E140" s="116" t="s">
        <v>1733</v>
      </c>
    </row>
    <row r="141" spans="1:5" x14ac:dyDescent="0.2">
      <c r="A141" s="116" t="s">
        <v>1639</v>
      </c>
      <c r="B141" s="116" t="s">
        <v>1686</v>
      </c>
      <c r="C141" s="2" t="s">
        <v>37</v>
      </c>
      <c r="D141" s="1" t="s">
        <v>1708</v>
      </c>
      <c r="E141" s="116" t="s">
        <v>1733</v>
      </c>
    </row>
    <row r="142" spans="1:5" x14ac:dyDescent="0.2">
      <c r="A142" s="116" t="s">
        <v>1638</v>
      </c>
      <c r="B142" s="116" t="s">
        <v>1688</v>
      </c>
      <c r="C142" s="2" t="s">
        <v>37</v>
      </c>
      <c r="D142" s="1" t="s">
        <v>1708</v>
      </c>
      <c r="E142" s="116" t="s">
        <v>1733</v>
      </c>
    </row>
    <row r="143" spans="1:5" ht="25.5" x14ac:dyDescent="0.2">
      <c r="A143" s="116" t="s">
        <v>1637</v>
      </c>
      <c r="B143" s="116" t="s">
        <v>1690</v>
      </c>
      <c r="C143" s="2" t="s">
        <v>246</v>
      </c>
      <c r="D143" s="1" t="s">
        <v>850</v>
      </c>
      <c r="E143" s="116" t="s">
        <v>1733</v>
      </c>
    </row>
    <row r="144" spans="1:5" ht="25.5" x14ac:dyDescent="0.2">
      <c r="A144" s="116" t="s">
        <v>1636</v>
      </c>
      <c r="B144" s="116" t="s">
        <v>200</v>
      </c>
      <c r="C144" s="2" t="s">
        <v>92</v>
      </c>
      <c r="D144" s="1" t="s">
        <v>1734</v>
      </c>
      <c r="E144" s="116" t="s">
        <v>1733</v>
      </c>
    </row>
    <row r="145" spans="1:5" x14ac:dyDescent="0.2">
      <c r="A145" s="116" t="s">
        <v>1633</v>
      </c>
      <c r="B145" s="116" t="s">
        <v>1692</v>
      </c>
      <c r="C145" s="2" t="s">
        <v>37</v>
      </c>
      <c r="D145" s="1" t="s">
        <v>756</v>
      </c>
      <c r="E145" s="116" t="s">
        <v>1733</v>
      </c>
    </row>
    <row r="146" spans="1:5" x14ac:dyDescent="0.2">
      <c r="A146" s="116" t="s">
        <v>1630</v>
      </c>
      <c r="B146" s="116" t="s">
        <v>1694</v>
      </c>
      <c r="C146" s="2" t="s">
        <v>236</v>
      </c>
      <c r="D146" s="1" t="s">
        <v>1727</v>
      </c>
      <c r="E146" s="116" t="s">
        <v>1733</v>
      </c>
    </row>
    <row r="147" spans="1:5" x14ac:dyDescent="0.2">
      <c r="A147" s="116" t="s">
        <v>1629</v>
      </c>
      <c r="B147" s="116" t="s">
        <v>1646</v>
      </c>
      <c r="C147" s="2" t="s">
        <v>92</v>
      </c>
      <c r="D147" s="1" t="s">
        <v>1707</v>
      </c>
      <c r="E147" s="116" t="s">
        <v>1733</v>
      </c>
    </row>
    <row r="148" spans="1:5" x14ac:dyDescent="0.2">
      <c r="A148" s="116" t="s">
        <v>1628</v>
      </c>
      <c r="B148" s="116" t="s">
        <v>1640</v>
      </c>
      <c r="C148" s="2" t="s">
        <v>37</v>
      </c>
      <c r="D148" s="1" t="s">
        <v>1713</v>
      </c>
      <c r="E148" s="116" t="s">
        <v>1733</v>
      </c>
    </row>
    <row r="149" spans="1:5" x14ac:dyDescent="0.2">
      <c r="A149" s="116" t="s">
        <v>1695</v>
      </c>
      <c r="B149" s="116" t="s">
        <v>1643</v>
      </c>
      <c r="C149" s="2" t="s">
        <v>37</v>
      </c>
      <c r="D149" s="1" t="s">
        <v>1708</v>
      </c>
      <c r="E149" s="116" t="s">
        <v>1733</v>
      </c>
    </row>
    <row r="150" spans="1:5" x14ac:dyDescent="0.2">
      <c r="A150" s="116" t="s">
        <v>1696</v>
      </c>
      <c r="B150" s="116" t="s">
        <v>1631</v>
      </c>
      <c r="C150" s="2" t="s">
        <v>37</v>
      </c>
      <c r="D150" s="1" t="s">
        <v>850</v>
      </c>
      <c r="E150" s="116" t="s">
        <v>1733</v>
      </c>
    </row>
    <row r="151" spans="1:5" ht="25.5" x14ac:dyDescent="0.2">
      <c r="A151" s="116" t="s">
        <v>1697</v>
      </c>
      <c r="B151" s="116" t="s">
        <v>1634</v>
      </c>
      <c r="C151" s="2" t="s">
        <v>236</v>
      </c>
      <c r="D151" s="1" t="s">
        <v>802</v>
      </c>
      <c r="E151" s="116" t="s">
        <v>1733</v>
      </c>
    </row>
    <row r="152" spans="1:5" x14ac:dyDescent="0.2">
      <c r="A152" s="116" t="s">
        <v>1698</v>
      </c>
      <c r="B152" s="116" t="s">
        <v>1700</v>
      </c>
      <c r="C152" s="2" t="s">
        <v>246</v>
      </c>
      <c r="D152" s="1" t="s">
        <v>756</v>
      </c>
      <c r="E152" s="116" t="s">
        <v>1733</v>
      </c>
    </row>
    <row r="153" spans="1:5" x14ac:dyDescent="0.2">
      <c r="A153" s="116" t="s">
        <v>1701</v>
      </c>
      <c r="B153" s="116" t="s">
        <v>1703</v>
      </c>
      <c r="C153" s="2" t="s">
        <v>246</v>
      </c>
      <c r="D153" s="1" t="s">
        <v>1708</v>
      </c>
      <c r="E153" s="116" t="s">
        <v>1733</v>
      </c>
    </row>
    <row r="154" spans="1:5" x14ac:dyDescent="0.2">
      <c r="A154" s="116" t="s">
        <v>1704</v>
      </c>
      <c r="B154" s="116" t="s">
        <v>1706</v>
      </c>
      <c r="C154" s="2" t="s">
        <v>37</v>
      </c>
      <c r="D154" s="1" t="s">
        <v>1405</v>
      </c>
      <c r="E154" s="116" t="s">
        <v>1733</v>
      </c>
    </row>
    <row r="155" spans="1:5" x14ac:dyDescent="0.2">
      <c r="A155" s="123" t="s">
        <v>329</v>
      </c>
      <c r="B155" s="123" t="s">
        <v>330</v>
      </c>
      <c r="C155" s="4"/>
      <c r="D155" s="3"/>
      <c r="E155" s="123"/>
    </row>
    <row r="156" spans="1:5" x14ac:dyDescent="0.2">
      <c r="A156" s="123" t="s">
        <v>331</v>
      </c>
      <c r="B156" s="123" t="s">
        <v>332</v>
      </c>
      <c r="C156" s="4"/>
      <c r="D156" s="3"/>
      <c r="E156" s="123"/>
    </row>
    <row r="157" spans="1:5" ht="76.5" x14ac:dyDescent="0.2">
      <c r="A157" s="116" t="s">
        <v>333</v>
      </c>
      <c r="B157" s="116" t="s">
        <v>335</v>
      </c>
      <c r="C157" s="2" t="s">
        <v>37</v>
      </c>
      <c r="D157" s="1" t="s">
        <v>878</v>
      </c>
      <c r="E157" s="116" t="s">
        <v>877</v>
      </c>
    </row>
    <row r="158" spans="1:5" x14ac:dyDescent="0.2">
      <c r="A158" s="116" t="s">
        <v>336</v>
      </c>
      <c r="B158" s="116" t="s">
        <v>338</v>
      </c>
      <c r="C158" s="2" t="s">
        <v>37</v>
      </c>
      <c r="D158" s="1" t="s">
        <v>804</v>
      </c>
      <c r="E158" s="116" t="s">
        <v>876</v>
      </c>
    </row>
    <row r="159" spans="1:5" ht="25.5" x14ac:dyDescent="0.2">
      <c r="A159" s="116" t="s">
        <v>339</v>
      </c>
      <c r="B159" s="116" t="s">
        <v>341</v>
      </c>
      <c r="C159" s="2" t="s">
        <v>236</v>
      </c>
      <c r="D159" s="1" t="s">
        <v>850</v>
      </c>
      <c r="E159" s="116" t="s">
        <v>875</v>
      </c>
    </row>
    <row r="160" spans="1:5" ht="25.5" x14ac:dyDescent="0.2">
      <c r="A160" s="116" t="s">
        <v>342</v>
      </c>
      <c r="B160" s="116" t="s">
        <v>344</v>
      </c>
      <c r="C160" s="2" t="s">
        <v>246</v>
      </c>
      <c r="D160" s="1" t="s">
        <v>858</v>
      </c>
      <c r="E160" s="116" t="s">
        <v>874</v>
      </c>
    </row>
    <row r="161" spans="1:5" ht="25.5" x14ac:dyDescent="0.2">
      <c r="A161" s="116" t="s">
        <v>345</v>
      </c>
      <c r="B161" s="116" t="s">
        <v>347</v>
      </c>
      <c r="C161" s="2" t="s">
        <v>37</v>
      </c>
      <c r="D161" s="1" t="s">
        <v>850</v>
      </c>
      <c r="E161" s="116" t="s">
        <v>873</v>
      </c>
    </row>
    <row r="162" spans="1:5" ht="51" x14ac:dyDescent="0.2">
      <c r="A162" s="116" t="s">
        <v>348</v>
      </c>
      <c r="B162" s="116" t="s">
        <v>350</v>
      </c>
      <c r="C162" s="2" t="s">
        <v>37</v>
      </c>
      <c r="D162" s="1" t="s">
        <v>849</v>
      </c>
      <c r="E162" s="116" t="s">
        <v>872</v>
      </c>
    </row>
    <row r="163" spans="1:5" x14ac:dyDescent="0.2">
      <c r="A163" s="116" t="s">
        <v>351</v>
      </c>
      <c r="B163" s="116" t="s">
        <v>353</v>
      </c>
      <c r="C163" s="2" t="s">
        <v>37</v>
      </c>
      <c r="D163" s="1" t="s">
        <v>756</v>
      </c>
      <c r="E163" s="116" t="s">
        <v>866</v>
      </c>
    </row>
    <row r="164" spans="1:5" x14ac:dyDescent="0.2">
      <c r="A164" s="116" t="s">
        <v>354</v>
      </c>
      <c r="B164" s="116" t="s">
        <v>356</v>
      </c>
      <c r="C164" s="2" t="s">
        <v>37</v>
      </c>
      <c r="D164" s="1" t="s">
        <v>804</v>
      </c>
      <c r="E164" s="116" t="s">
        <v>867</v>
      </c>
    </row>
    <row r="165" spans="1:5" ht="38.25" x14ac:dyDescent="0.2">
      <c r="A165" s="116" t="s">
        <v>1296</v>
      </c>
      <c r="B165" s="116" t="s">
        <v>1294</v>
      </c>
      <c r="C165" s="2" t="s">
        <v>37</v>
      </c>
      <c r="D165" s="1" t="s">
        <v>850</v>
      </c>
      <c r="E165" s="116" t="s">
        <v>1530</v>
      </c>
    </row>
    <row r="166" spans="1:5" x14ac:dyDescent="0.2">
      <c r="A166" s="116" t="s">
        <v>1293</v>
      </c>
      <c r="B166" s="116" t="s">
        <v>1291</v>
      </c>
      <c r="C166" s="2" t="s">
        <v>246</v>
      </c>
      <c r="D166" s="1" t="s">
        <v>878</v>
      </c>
      <c r="E166" s="116" t="s">
        <v>1529</v>
      </c>
    </row>
    <row r="167" spans="1:5" ht="25.5" x14ac:dyDescent="0.2">
      <c r="A167" s="116" t="s">
        <v>1290</v>
      </c>
      <c r="B167" s="116" t="s">
        <v>1288</v>
      </c>
      <c r="C167" s="2" t="s">
        <v>246</v>
      </c>
      <c r="D167" s="1" t="s">
        <v>878</v>
      </c>
      <c r="E167" s="116" t="s">
        <v>1528</v>
      </c>
    </row>
    <row r="168" spans="1:5" ht="25.5" x14ac:dyDescent="0.2">
      <c r="A168" s="116" t="s">
        <v>1287</v>
      </c>
      <c r="B168" s="116" t="s">
        <v>1285</v>
      </c>
      <c r="C168" s="2" t="s">
        <v>236</v>
      </c>
      <c r="D168" s="1" t="s">
        <v>849</v>
      </c>
      <c r="E168" s="116" t="s">
        <v>1527</v>
      </c>
    </row>
    <row r="169" spans="1:5" ht="25.5" x14ac:dyDescent="0.2">
      <c r="A169" s="116" t="s">
        <v>1284</v>
      </c>
      <c r="B169" s="116" t="s">
        <v>1282</v>
      </c>
      <c r="C169" s="2" t="s">
        <v>236</v>
      </c>
      <c r="D169" s="1" t="s">
        <v>849</v>
      </c>
      <c r="E169" s="116" t="s">
        <v>1526</v>
      </c>
    </row>
    <row r="170" spans="1:5" x14ac:dyDescent="0.2">
      <c r="A170" s="123" t="s">
        <v>357</v>
      </c>
      <c r="B170" s="123" t="s">
        <v>358</v>
      </c>
      <c r="C170" s="4"/>
      <c r="D170" s="3"/>
      <c r="E170" s="123"/>
    </row>
    <row r="171" spans="1:5" ht="51" x14ac:dyDescent="0.2">
      <c r="A171" s="116" t="s">
        <v>359</v>
      </c>
      <c r="B171" s="116" t="s">
        <v>361</v>
      </c>
      <c r="C171" s="2" t="s">
        <v>246</v>
      </c>
      <c r="D171" s="1" t="s">
        <v>871</v>
      </c>
      <c r="E171" s="116" t="s">
        <v>870</v>
      </c>
    </row>
    <row r="172" spans="1:5" ht="25.5" x14ac:dyDescent="0.2">
      <c r="A172" s="116" t="s">
        <v>362</v>
      </c>
      <c r="B172" s="116" t="s">
        <v>364</v>
      </c>
      <c r="C172" s="2" t="s">
        <v>246</v>
      </c>
      <c r="D172" s="1" t="s">
        <v>850</v>
      </c>
      <c r="E172" s="116" t="s">
        <v>869</v>
      </c>
    </row>
    <row r="173" spans="1:5" x14ac:dyDescent="0.2">
      <c r="A173" s="116" t="s">
        <v>365</v>
      </c>
      <c r="B173" s="116" t="s">
        <v>367</v>
      </c>
      <c r="C173" s="2" t="s">
        <v>37</v>
      </c>
      <c r="D173" s="1" t="s">
        <v>804</v>
      </c>
      <c r="E173" s="116" t="s">
        <v>868</v>
      </c>
    </row>
    <row r="174" spans="1:5" x14ac:dyDescent="0.2">
      <c r="A174" s="116" t="s">
        <v>368</v>
      </c>
      <c r="B174" s="116" t="s">
        <v>370</v>
      </c>
      <c r="C174" s="2" t="s">
        <v>246</v>
      </c>
      <c r="D174" s="1" t="s">
        <v>804</v>
      </c>
      <c r="E174" s="116" t="s">
        <v>867</v>
      </c>
    </row>
    <row r="175" spans="1:5" ht="25.5" x14ac:dyDescent="0.2">
      <c r="A175" s="116" t="s">
        <v>371</v>
      </c>
      <c r="B175" s="116" t="s">
        <v>373</v>
      </c>
      <c r="C175" s="2" t="s">
        <v>37</v>
      </c>
      <c r="D175" s="1" t="s">
        <v>756</v>
      </c>
      <c r="E175" s="116" t="s">
        <v>866</v>
      </c>
    </row>
    <row r="176" spans="1:5" ht="114.75" x14ac:dyDescent="0.2">
      <c r="A176" s="116" t="s">
        <v>374</v>
      </c>
      <c r="B176" s="116" t="s">
        <v>376</v>
      </c>
      <c r="C176" s="2" t="s">
        <v>37</v>
      </c>
      <c r="D176" s="1" t="s">
        <v>865</v>
      </c>
      <c r="E176" s="116" t="s">
        <v>864</v>
      </c>
    </row>
    <row r="177" spans="1:5" ht="89.25" x14ac:dyDescent="0.2">
      <c r="A177" s="116" t="s">
        <v>377</v>
      </c>
      <c r="B177" s="116" t="s">
        <v>379</v>
      </c>
      <c r="C177" s="2" t="s">
        <v>37</v>
      </c>
      <c r="D177" s="1" t="s">
        <v>863</v>
      </c>
      <c r="E177" s="116" t="s">
        <v>862</v>
      </c>
    </row>
    <row r="178" spans="1:5" ht="51" x14ac:dyDescent="0.2">
      <c r="A178" s="116" t="s">
        <v>380</v>
      </c>
      <c r="B178" s="116" t="s">
        <v>382</v>
      </c>
      <c r="C178" s="2" t="s">
        <v>37</v>
      </c>
      <c r="D178" s="1" t="s">
        <v>851</v>
      </c>
      <c r="E178" s="116" t="s">
        <v>861</v>
      </c>
    </row>
    <row r="179" spans="1:5" x14ac:dyDescent="0.2">
      <c r="A179" s="123" t="s">
        <v>383</v>
      </c>
      <c r="B179" s="123" t="s">
        <v>384</v>
      </c>
      <c r="C179" s="4"/>
      <c r="D179" s="3"/>
      <c r="E179" s="123"/>
    </row>
    <row r="180" spans="1:5" x14ac:dyDescent="0.2">
      <c r="A180" s="116" t="s">
        <v>385</v>
      </c>
      <c r="B180" s="116" t="s">
        <v>1280</v>
      </c>
      <c r="C180" s="2" t="s">
        <v>1279</v>
      </c>
      <c r="D180" s="1" t="s">
        <v>756</v>
      </c>
      <c r="E180" s="116" t="s">
        <v>1525</v>
      </c>
    </row>
    <row r="181" spans="1:5" x14ac:dyDescent="0.2">
      <c r="A181" s="116" t="s">
        <v>388</v>
      </c>
      <c r="B181" s="116" t="s">
        <v>387</v>
      </c>
      <c r="C181" s="2" t="s">
        <v>213</v>
      </c>
      <c r="D181" s="1" t="s">
        <v>1394</v>
      </c>
      <c r="E181" s="116" t="s">
        <v>1525</v>
      </c>
    </row>
    <row r="182" spans="1:5" x14ac:dyDescent="0.2">
      <c r="A182" s="116" t="s">
        <v>391</v>
      </c>
      <c r="B182" s="116" t="s">
        <v>390</v>
      </c>
      <c r="C182" s="2" t="s">
        <v>213</v>
      </c>
      <c r="D182" s="1" t="s">
        <v>1419</v>
      </c>
      <c r="E182" s="116" t="s">
        <v>1525</v>
      </c>
    </row>
    <row r="183" spans="1:5" x14ac:dyDescent="0.2">
      <c r="A183" s="116" t="s">
        <v>394</v>
      </c>
      <c r="B183" s="116" t="s">
        <v>393</v>
      </c>
      <c r="C183" s="2" t="s">
        <v>92</v>
      </c>
      <c r="D183" s="1" t="s">
        <v>1438</v>
      </c>
      <c r="E183" s="116" t="s">
        <v>1525</v>
      </c>
    </row>
    <row r="184" spans="1:5" x14ac:dyDescent="0.2">
      <c r="A184" s="116" t="s">
        <v>397</v>
      </c>
      <c r="B184" s="116" t="s">
        <v>1277</v>
      </c>
      <c r="C184" s="2" t="s">
        <v>213</v>
      </c>
      <c r="D184" s="1" t="s">
        <v>1482</v>
      </c>
      <c r="E184" s="116" t="s">
        <v>1525</v>
      </c>
    </row>
    <row r="185" spans="1:5" ht="25.5" x14ac:dyDescent="0.2">
      <c r="A185" s="116" t="s">
        <v>398</v>
      </c>
      <c r="B185" s="116" t="s">
        <v>400</v>
      </c>
      <c r="C185" s="2" t="s">
        <v>246</v>
      </c>
      <c r="D185" s="1" t="s">
        <v>854</v>
      </c>
      <c r="E185" s="116" t="s">
        <v>1525</v>
      </c>
    </row>
    <row r="186" spans="1:5" x14ac:dyDescent="0.2">
      <c r="A186" s="116" t="s">
        <v>401</v>
      </c>
      <c r="B186" s="116" t="s">
        <v>403</v>
      </c>
      <c r="C186" s="2" t="s">
        <v>236</v>
      </c>
      <c r="D186" s="1" t="s">
        <v>854</v>
      </c>
      <c r="E186" s="116" t="s">
        <v>1525</v>
      </c>
    </row>
    <row r="187" spans="1:5" x14ac:dyDescent="0.2">
      <c r="A187" s="116" t="s">
        <v>404</v>
      </c>
      <c r="B187" s="116" t="s">
        <v>407</v>
      </c>
      <c r="C187" s="2" t="s">
        <v>37</v>
      </c>
      <c r="D187" s="1" t="s">
        <v>804</v>
      </c>
      <c r="E187" s="116" t="s">
        <v>1525</v>
      </c>
    </row>
    <row r="188" spans="1:5" ht="25.5" x14ac:dyDescent="0.2">
      <c r="A188" s="116" t="s">
        <v>405</v>
      </c>
      <c r="B188" s="116" t="s">
        <v>1274</v>
      </c>
      <c r="C188" s="2" t="s">
        <v>213</v>
      </c>
      <c r="D188" s="1" t="s">
        <v>795</v>
      </c>
      <c r="E188" s="116" t="s">
        <v>1525</v>
      </c>
    </row>
    <row r="189" spans="1:5" ht="25.5" x14ac:dyDescent="0.2">
      <c r="A189" s="116" t="s">
        <v>408</v>
      </c>
      <c r="B189" s="116" t="s">
        <v>410</v>
      </c>
      <c r="C189" s="2" t="s">
        <v>92</v>
      </c>
      <c r="D189" s="1" t="s">
        <v>795</v>
      </c>
      <c r="E189" s="116" t="s">
        <v>1525</v>
      </c>
    </row>
    <row r="190" spans="1:5" x14ac:dyDescent="0.2">
      <c r="A190" s="123" t="s">
        <v>412</v>
      </c>
      <c r="B190" s="123" t="s">
        <v>413</v>
      </c>
      <c r="C190" s="4"/>
      <c r="D190" s="3"/>
      <c r="E190" s="123"/>
    </row>
    <row r="191" spans="1:5" x14ac:dyDescent="0.2">
      <c r="A191" s="116" t="s">
        <v>414</v>
      </c>
      <c r="B191" s="116" t="s">
        <v>416</v>
      </c>
      <c r="C191" s="2" t="s">
        <v>213</v>
      </c>
      <c r="D191" s="1" t="s">
        <v>860</v>
      </c>
      <c r="E191" s="116" t="s">
        <v>846</v>
      </c>
    </row>
    <row r="192" spans="1:5" x14ac:dyDescent="0.2">
      <c r="A192" s="116" t="s">
        <v>417</v>
      </c>
      <c r="B192" s="116" t="s">
        <v>419</v>
      </c>
      <c r="C192" s="2" t="s">
        <v>37</v>
      </c>
      <c r="D192" s="1" t="s">
        <v>756</v>
      </c>
      <c r="E192" s="116" t="s">
        <v>846</v>
      </c>
    </row>
    <row r="193" spans="1:5" x14ac:dyDescent="0.2">
      <c r="A193" s="116" t="s">
        <v>420</v>
      </c>
      <c r="B193" s="116" t="s">
        <v>422</v>
      </c>
      <c r="C193" s="2" t="s">
        <v>213</v>
      </c>
      <c r="D193" s="1" t="s">
        <v>859</v>
      </c>
      <c r="E193" s="116" t="s">
        <v>846</v>
      </c>
    </row>
    <row r="194" spans="1:5" x14ac:dyDescent="0.2">
      <c r="A194" s="116" t="s">
        <v>423</v>
      </c>
      <c r="B194" s="116" t="s">
        <v>425</v>
      </c>
      <c r="C194" s="2" t="s">
        <v>37</v>
      </c>
      <c r="D194" s="1" t="s">
        <v>850</v>
      </c>
      <c r="E194" s="116" t="s">
        <v>846</v>
      </c>
    </row>
    <row r="195" spans="1:5" x14ac:dyDescent="0.2">
      <c r="A195" s="116" t="s">
        <v>426</v>
      </c>
      <c r="B195" s="116" t="s">
        <v>428</v>
      </c>
      <c r="C195" s="2" t="s">
        <v>37</v>
      </c>
      <c r="D195" s="1" t="s">
        <v>804</v>
      </c>
      <c r="E195" s="116" t="s">
        <v>846</v>
      </c>
    </row>
    <row r="196" spans="1:5" x14ac:dyDescent="0.2">
      <c r="A196" s="116" t="s">
        <v>429</v>
      </c>
      <c r="B196" s="116" t="s">
        <v>431</v>
      </c>
      <c r="C196" s="2" t="s">
        <v>37</v>
      </c>
      <c r="D196" s="1" t="s">
        <v>804</v>
      </c>
      <c r="E196" s="116" t="s">
        <v>846</v>
      </c>
    </row>
    <row r="197" spans="1:5" x14ac:dyDescent="0.2">
      <c r="A197" s="116" t="s">
        <v>432</v>
      </c>
      <c r="B197" s="116" t="s">
        <v>434</v>
      </c>
      <c r="C197" s="2" t="s">
        <v>37</v>
      </c>
      <c r="D197" s="1" t="s">
        <v>756</v>
      </c>
      <c r="E197" s="116" t="s">
        <v>846</v>
      </c>
    </row>
    <row r="198" spans="1:5" x14ac:dyDescent="0.2">
      <c r="A198" s="116" t="s">
        <v>435</v>
      </c>
      <c r="B198" s="116" t="s">
        <v>437</v>
      </c>
      <c r="C198" s="2" t="s">
        <v>37</v>
      </c>
      <c r="D198" s="1" t="s">
        <v>849</v>
      </c>
      <c r="E198" s="116" t="s">
        <v>846</v>
      </c>
    </row>
    <row r="199" spans="1:5" x14ac:dyDescent="0.2">
      <c r="A199" s="116" t="s">
        <v>438</v>
      </c>
      <c r="B199" s="116" t="s">
        <v>440</v>
      </c>
      <c r="C199" s="2" t="s">
        <v>37</v>
      </c>
      <c r="D199" s="1" t="s">
        <v>804</v>
      </c>
      <c r="E199" s="116" t="s">
        <v>846</v>
      </c>
    </row>
    <row r="200" spans="1:5" x14ac:dyDescent="0.2">
      <c r="A200" s="116" t="s">
        <v>441</v>
      </c>
      <c r="B200" s="116" t="s">
        <v>443</v>
      </c>
      <c r="C200" s="2" t="s">
        <v>37</v>
      </c>
      <c r="D200" s="1" t="s">
        <v>858</v>
      </c>
      <c r="E200" s="116" t="s">
        <v>846</v>
      </c>
    </row>
    <row r="201" spans="1:5" x14ac:dyDescent="0.2">
      <c r="A201" s="116" t="s">
        <v>444</v>
      </c>
      <c r="B201" s="116" t="s">
        <v>447</v>
      </c>
      <c r="C201" s="2" t="s">
        <v>37</v>
      </c>
      <c r="D201" s="1" t="s">
        <v>756</v>
      </c>
      <c r="E201" s="116" t="s">
        <v>846</v>
      </c>
    </row>
    <row r="202" spans="1:5" x14ac:dyDescent="0.2">
      <c r="A202" s="116" t="s">
        <v>445</v>
      </c>
      <c r="B202" s="116" t="s">
        <v>450</v>
      </c>
      <c r="C202" s="2" t="s">
        <v>37</v>
      </c>
      <c r="D202" s="1" t="s">
        <v>804</v>
      </c>
      <c r="E202" s="116" t="s">
        <v>846</v>
      </c>
    </row>
    <row r="203" spans="1:5" x14ac:dyDescent="0.2">
      <c r="A203" s="116" t="s">
        <v>448</v>
      </c>
      <c r="B203" s="116" t="s">
        <v>396</v>
      </c>
      <c r="C203" s="2" t="s">
        <v>37</v>
      </c>
      <c r="D203" s="1" t="s">
        <v>804</v>
      </c>
      <c r="E203" s="116" t="s">
        <v>846</v>
      </c>
    </row>
    <row r="204" spans="1:5" ht="25.5" x14ac:dyDescent="0.2">
      <c r="A204" s="116" t="s">
        <v>451</v>
      </c>
      <c r="B204" s="116" t="s">
        <v>454</v>
      </c>
      <c r="C204" s="2" t="s">
        <v>246</v>
      </c>
      <c r="D204" s="1" t="s">
        <v>756</v>
      </c>
      <c r="E204" s="116" t="s">
        <v>846</v>
      </c>
    </row>
    <row r="205" spans="1:5" x14ac:dyDescent="0.2">
      <c r="A205" s="116" t="s">
        <v>452</v>
      </c>
      <c r="B205" s="116" t="s">
        <v>456</v>
      </c>
      <c r="C205" s="2" t="s">
        <v>37</v>
      </c>
      <c r="D205" s="1" t="s">
        <v>857</v>
      </c>
      <c r="E205" s="116" t="s">
        <v>846</v>
      </c>
    </row>
    <row r="206" spans="1:5" x14ac:dyDescent="0.2">
      <c r="A206" s="123" t="s">
        <v>457</v>
      </c>
      <c r="B206" s="123" t="s">
        <v>458</v>
      </c>
      <c r="C206" s="4"/>
      <c r="D206" s="3"/>
      <c r="E206" s="123"/>
    </row>
    <row r="207" spans="1:5" ht="38.25" x14ac:dyDescent="0.2">
      <c r="A207" s="116" t="s">
        <v>459</v>
      </c>
      <c r="B207" s="116" t="s">
        <v>461</v>
      </c>
      <c r="C207" s="2" t="s">
        <v>246</v>
      </c>
      <c r="D207" s="1" t="s">
        <v>856</v>
      </c>
      <c r="E207" s="116" t="s">
        <v>855</v>
      </c>
    </row>
    <row r="208" spans="1:5" ht="25.5" x14ac:dyDescent="0.2">
      <c r="A208" s="116" t="s">
        <v>462</v>
      </c>
      <c r="B208" s="116" t="s">
        <v>464</v>
      </c>
      <c r="C208" s="2" t="s">
        <v>246</v>
      </c>
      <c r="D208" s="1" t="s">
        <v>854</v>
      </c>
      <c r="E208" s="116" t="s">
        <v>853</v>
      </c>
    </row>
    <row r="209" spans="1:5" x14ac:dyDescent="0.2">
      <c r="A209" s="123" t="s">
        <v>465</v>
      </c>
      <c r="B209" s="123" t="s">
        <v>466</v>
      </c>
      <c r="C209" s="4"/>
      <c r="D209" s="3"/>
      <c r="E209" s="123"/>
    </row>
    <row r="210" spans="1:5" x14ac:dyDescent="0.2">
      <c r="A210" s="116" t="s">
        <v>467</v>
      </c>
      <c r="B210" s="116" t="s">
        <v>469</v>
      </c>
      <c r="C210" s="2" t="s">
        <v>213</v>
      </c>
      <c r="D210" s="1" t="s">
        <v>852</v>
      </c>
      <c r="E210" s="116" t="s">
        <v>846</v>
      </c>
    </row>
    <row r="211" spans="1:5" x14ac:dyDescent="0.2">
      <c r="A211" s="116" t="s">
        <v>470</v>
      </c>
      <c r="B211" s="116" t="s">
        <v>473</v>
      </c>
      <c r="C211" s="2" t="s">
        <v>37</v>
      </c>
      <c r="D211" s="1" t="s">
        <v>851</v>
      </c>
      <c r="E211" s="116" t="s">
        <v>846</v>
      </c>
    </row>
    <row r="212" spans="1:5" x14ac:dyDescent="0.2">
      <c r="A212" s="116" t="s">
        <v>471</v>
      </c>
      <c r="B212" s="116" t="s">
        <v>476</v>
      </c>
      <c r="C212" s="2" t="s">
        <v>37</v>
      </c>
      <c r="D212" s="1" t="s">
        <v>850</v>
      </c>
      <c r="E212" s="116" t="s">
        <v>846</v>
      </c>
    </row>
    <row r="213" spans="1:5" x14ac:dyDescent="0.2">
      <c r="A213" s="116" t="s">
        <v>474</v>
      </c>
      <c r="B213" s="116" t="s">
        <v>479</v>
      </c>
      <c r="C213" s="2" t="s">
        <v>37</v>
      </c>
      <c r="D213" s="1" t="s">
        <v>849</v>
      </c>
      <c r="E213" s="116" t="s">
        <v>846</v>
      </c>
    </row>
    <row r="214" spans="1:5" x14ac:dyDescent="0.2">
      <c r="A214" s="116" t="s">
        <v>477</v>
      </c>
      <c r="B214" s="116" t="s">
        <v>482</v>
      </c>
      <c r="C214" s="2" t="s">
        <v>37</v>
      </c>
      <c r="D214" s="1" t="s">
        <v>802</v>
      </c>
      <c r="E214" s="116" t="s">
        <v>846</v>
      </c>
    </row>
    <row r="215" spans="1:5" x14ac:dyDescent="0.2">
      <c r="A215" s="116" t="s">
        <v>480</v>
      </c>
      <c r="B215" s="116" t="s">
        <v>485</v>
      </c>
      <c r="C215" s="2" t="s">
        <v>37</v>
      </c>
      <c r="D215" s="1" t="s">
        <v>802</v>
      </c>
      <c r="E215" s="116" t="s">
        <v>846</v>
      </c>
    </row>
    <row r="216" spans="1:5" x14ac:dyDescent="0.2">
      <c r="A216" s="116" t="s">
        <v>483</v>
      </c>
      <c r="B216" s="116" t="s">
        <v>488</v>
      </c>
      <c r="C216" s="2" t="s">
        <v>213</v>
      </c>
      <c r="D216" s="1" t="s">
        <v>848</v>
      </c>
      <c r="E216" s="116" t="s">
        <v>846</v>
      </c>
    </row>
    <row r="217" spans="1:5" x14ac:dyDescent="0.2">
      <c r="A217" s="116" t="s">
        <v>486</v>
      </c>
      <c r="B217" s="116" t="s">
        <v>491</v>
      </c>
      <c r="C217" s="2" t="s">
        <v>37</v>
      </c>
      <c r="D217" s="1" t="s">
        <v>804</v>
      </c>
      <c r="E217" s="116" t="s">
        <v>846</v>
      </c>
    </row>
    <row r="218" spans="1:5" x14ac:dyDescent="0.2">
      <c r="A218" s="116" t="s">
        <v>489</v>
      </c>
      <c r="B218" s="116" t="s">
        <v>494</v>
      </c>
      <c r="C218" s="2" t="s">
        <v>37</v>
      </c>
      <c r="D218" s="1" t="s">
        <v>802</v>
      </c>
      <c r="E218" s="116" t="s">
        <v>846</v>
      </c>
    </row>
    <row r="219" spans="1:5" x14ac:dyDescent="0.2">
      <c r="A219" s="116" t="s">
        <v>492</v>
      </c>
      <c r="B219" s="116" t="s">
        <v>497</v>
      </c>
      <c r="C219" s="2" t="s">
        <v>37</v>
      </c>
      <c r="D219" s="1" t="s">
        <v>802</v>
      </c>
      <c r="E219" s="116" t="s">
        <v>846</v>
      </c>
    </row>
    <row r="220" spans="1:5" x14ac:dyDescent="0.2">
      <c r="A220" s="116" t="s">
        <v>495</v>
      </c>
      <c r="B220" s="116" t="s">
        <v>500</v>
      </c>
      <c r="C220" s="2" t="s">
        <v>37</v>
      </c>
      <c r="D220" s="1" t="s">
        <v>802</v>
      </c>
      <c r="E220" s="116" t="s">
        <v>846</v>
      </c>
    </row>
    <row r="221" spans="1:5" x14ac:dyDescent="0.2">
      <c r="A221" s="116" t="s">
        <v>498</v>
      </c>
      <c r="B221" s="116" t="s">
        <v>503</v>
      </c>
      <c r="C221" s="2" t="s">
        <v>37</v>
      </c>
      <c r="D221" s="1" t="s">
        <v>804</v>
      </c>
      <c r="E221" s="116" t="s">
        <v>846</v>
      </c>
    </row>
    <row r="222" spans="1:5" ht="25.5" x14ac:dyDescent="0.2">
      <c r="A222" s="116" t="s">
        <v>501</v>
      </c>
      <c r="B222" s="116" t="s">
        <v>506</v>
      </c>
      <c r="C222" s="2" t="s">
        <v>37</v>
      </c>
      <c r="D222" s="1" t="s">
        <v>802</v>
      </c>
      <c r="E222" s="116" t="s">
        <v>846</v>
      </c>
    </row>
    <row r="223" spans="1:5" x14ac:dyDescent="0.2">
      <c r="A223" s="116" t="s">
        <v>504</v>
      </c>
      <c r="B223" s="116" t="s">
        <v>509</v>
      </c>
      <c r="C223" s="2" t="s">
        <v>37</v>
      </c>
      <c r="D223" s="1" t="s">
        <v>802</v>
      </c>
      <c r="E223" s="116" t="s">
        <v>846</v>
      </c>
    </row>
    <row r="224" spans="1:5" x14ac:dyDescent="0.2">
      <c r="A224" s="116" t="s">
        <v>507</v>
      </c>
      <c r="B224" s="116" t="s">
        <v>512</v>
      </c>
      <c r="C224" s="2" t="s">
        <v>37</v>
      </c>
      <c r="D224" s="1" t="s">
        <v>802</v>
      </c>
      <c r="E224" s="116" t="s">
        <v>846</v>
      </c>
    </row>
    <row r="225" spans="1:5" x14ac:dyDescent="0.2">
      <c r="A225" s="116" t="s">
        <v>510</v>
      </c>
      <c r="B225" s="116" t="s">
        <v>514</v>
      </c>
      <c r="C225" s="2" t="s">
        <v>37</v>
      </c>
      <c r="D225" s="1" t="s">
        <v>847</v>
      </c>
      <c r="E225" s="116" t="s">
        <v>846</v>
      </c>
    </row>
    <row r="226" spans="1:5" x14ac:dyDescent="0.2">
      <c r="A226" s="123" t="s">
        <v>1273</v>
      </c>
      <c r="B226" s="123" t="s">
        <v>1272</v>
      </c>
      <c r="C226" s="4"/>
      <c r="D226" s="3"/>
      <c r="E226" s="123"/>
    </row>
    <row r="227" spans="1:5" x14ac:dyDescent="0.2">
      <c r="A227" s="116" t="s">
        <v>1271</v>
      </c>
      <c r="B227" s="116" t="s">
        <v>1269</v>
      </c>
      <c r="C227" s="2" t="s">
        <v>213</v>
      </c>
      <c r="D227" s="1" t="s">
        <v>1421</v>
      </c>
      <c r="E227" s="116" t="s">
        <v>1524</v>
      </c>
    </row>
    <row r="228" spans="1:5" x14ac:dyDescent="0.2">
      <c r="A228" s="116" t="s">
        <v>1268</v>
      </c>
      <c r="B228" s="116" t="s">
        <v>1266</v>
      </c>
      <c r="C228" s="2" t="s">
        <v>92</v>
      </c>
      <c r="D228" s="1" t="s">
        <v>1405</v>
      </c>
      <c r="E228" s="116" t="s">
        <v>1524</v>
      </c>
    </row>
    <row r="229" spans="1:5" x14ac:dyDescent="0.2">
      <c r="A229" s="116" t="s">
        <v>1265</v>
      </c>
      <c r="B229" s="116" t="s">
        <v>1263</v>
      </c>
      <c r="C229" s="2" t="s">
        <v>92</v>
      </c>
      <c r="D229" s="1" t="s">
        <v>1406</v>
      </c>
      <c r="E229" s="116" t="s">
        <v>1524</v>
      </c>
    </row>
    <row r="230" spans="1:5" x14ac:dyDescent="0.2">
      <c r="A230" s="116" t="s">
        <v>1262</v>
      </c>
      <c r="B230" s="116" t="s">
        <v>1260</v>
      </c>
      <c r="C230" s="2" t="s">
        <v>49</v>
      </c>
      <c r="D230" s="1" t="s">
        <v>1376</v>
      </c>
      <c r="E230" s="116" t="s">
        <v>1524</v>
      </c>
    </row>
    <row r="231" spans="1:5" x14ac:dyDescent="0.2">
      <c r="A231" s="123" t="s">
        <v>515</v>
      </c>
      <c r="B231" s="123" t="s">
        <v>516</v>
      </c>
      <c r="C231" s="4"/>
      <c r="D231" s="3"/>
      <c r="E231" s="123"/>
    </row>
    <row r="232" spans="1:5" ht="25.5" x14ac:dyDescent="0.2">
      <c r="A232" s="116" t="s">
        <v>517</v>
      </c>
      <c r="B232" s="116" t="s">
        <v>519</v>
      </c>
      <c r="C232" s="2" t="s">
        <v>22</v>
      </c>
      <c r="D232" s="1" t="s">
        <v>845</v>
      </c>
      <c r="E232" s="116" t="s">
        <v>832</v>
      </c>
    </row>
    <row r="233" spans="1:5" ht="25.5" x14ac:dyDescent="0.2">
      <c r="A233" s="116" t="s">
        <v>520</v>
      </c>
      <c r="B233" s="116" t="s">
        <v>522</v>
      </c>
      <c r="C233" s="2" t="s">
        <v>22</v>
      </c>
      <c r="D233" s="1" t="s">
        <v>844</v>
      </c>
      <c r="E233" s="116" t="s">
        <v>843</v>
      </c>
    </row>
    <row r="234" spans="1:5" ht="38.25" x14ac:dyDescent="0.2">
      <c r="A234" s="116" t="s">
        <v>523</v>
      </c>
      <c r="B234" s="116" t="s">
        <v>525</v>
      </c>
      <c r="C234" s="2" t="s">
        <v>22</v>
      </c>
      <c r="D234" s="1" t="s">
        <v>842</v>
      </c>
      <c r="E234" s="116" t="s">
        <v>832</v>
      </c>
    </row>
    <row r="235" spans="1:5" ht="25.5" x14ac:dyDescent="0.2">
      <c r="A235" s="116" t="s">
        <v>526</v>
      </c>
      <c r="B235" s="116" t="s">
        <v>1258</v>
      </c>
      <c r="C235" s="2" t="s">
        <v>22</v>
      </c>
      <c r="D235" s="1" t="s">
        <v>841</v>
      </c>
      <c r="E235" s="116" t="s">
        <v>832</v>
      </c>
    </row>
    <row r="236" spans="1:5" ht="63.75" x14ac:dyDescent="0.2">
      <c r="A236" s="116" t="s">
        <v>527</v>
      </c>
      <c r="B236" s="116" t="s">
        <v>529</v>
      </c>
      <c r="C236" s="2" t="s">
        <v>22</v>
      </c>
      <c r="D236" s="1" t="s">
        <v>840</v>
      </c>
      <c r="E236" s="116" t="s">
        <v>839</v>
      </c>
    </row>
    <row r="237" spans="1:5" ht="25.5" x14ac:dyDescent="0.2">
      <c r="A237" s="116" t="s">
        <v>530</v>
      </c>
      <c r="B237" s="116" t="s">
        <v>1256</v>
      </c>
      <c r="C237" s="2" t="s">
        <v>22</v>
      </c>
      <c r="D237" s="1" t="s">
        <v>1423</v>
      </c>
      <c r="E237" s="116" t="s">
        <v>1523</v>
      </c>
    </row>
    <row r="238" spans="1:5" ht="25.5" x14ac:dyDescent="0.2">
      <c r="A238" s="116" t="s">
        <v>533</v>
      </c>
      <c r="B238" s="116" t="s">
        <v>532</v>
      </c>
      <c r="C238" s="2" t="s">
        <v>96</v>
      </c>
      <c r="D238" s="1" t="s">
        <v>838</v>
      </c>
      <c r="E238" s="116" t="s">
        <v>837</v>
      </c>
    </row>
    <row r="239" spans="1:5" x14ac:dyDescent="0.2">
      <c r="A239" s="116" t="s">
        <v>1255</v>
      </c>
      <c r="B239" s="116" t="s">
        <v>535</v>
      </c>
      <c r="C239" s="2" t="s">
        <v>22</v>
      </c>
      <c r="D239" s="1" t="s">
        <v>836</v>
      </c>
      <c r="E239" s="116" t="s">
        <v>835</v>
      </c>
    </row>
    <row r="240" spans="1:5" x14ac:dyDescent="0.2">
      <c r="A240" s="123" t="s">
        <v>536</v>
      </c>
      <c r="B240" s="123" t="s">
        <v>537</v>
      </c>
      <c r="C240" s="4"/>
      <c r="D240" s="3"/>
      <c r="E240" s="123"/>
    </row>
    <row r="241" spans="1:5" x14ac:dyDescent="0.2">
      <c r="A241" s="116" t="s">
        <v>538</v>
      </c>
      <c r="B241" s="116" t="s">
        <v>540</v>
      </c>
      <c r="C241" s="2" t="s">
        <v>22</v>
      </c>
      <c r="D241" s="1" t="s">
        <v>1522</v>
      </c>
      <c r="E241" s="116" t="s">
        <v>832</v>
      </c>
    </row>
    <row r="242" spans="1:5" x14ac:dyDescent="0.2">
      <c r="A242" s="116" t="s">
        <v>541</v>
      </c>
      <c r="B242" s="116" t="s">
        <v>543</v>
      </c>
      <c r="C242" s="2" t="s">
        <v>22</v>
      </c>
      <c r="D242" s="1" t="s">
        <v>1521</v>
      </c>
      <c r="E242" s="116" t="s">
        <v>832</v>
      </c>
    </row>
    <row r="243" spans="1:5" x14ac:dyDescent="0.2">
      <c r="A243" s="116" t="s">
        <v>544</v>
      </c>
      <c r="B243" s="116" t="s">
        <v>546</v>
      </c>
      <c r="C243" s="2" t="s">
        <v>22</v>
      </c>
      <c r="D243" s="1" t="s">
        <v>1441</v>
      </c>
      <c r="E243" s="116" t="s">
        <v>832</v>
      </c>
    </row>
    <row r="244" spans="1:5" x14ac:dyDescent="0.2">
      <c r="A244" s="116" t="s">
        <v>547</v>
      </c>
      <c r="B244" s="116" t="s">
        <v>549</v>
      </c>
      <c r="C244" s="2" t="s">
        <v>22</v>
      </c>
      <c r="D244" s="1" t="s">
        <v>834</v>
      </c>
      <c r="E244" s="116" t="s">
        <v>832</v>
      </c>
    </row>
    <row r="245" spans="1:5" x14ac:dyDescent="0.2">
      <c r="A245" s="116" t="s">
        <v>550</v>
      </c>
      <c r="B245" s="116" t="s">
        <v>552</v>
      </c>
      <c r="C245" s="2" t="s">
        <v>22</v>
      </c>
      <c r="D245" s="1" t="s">
        <v>1455</v>
      </c>
      <c r="E245" s="116" t="s">
        <v>832</v>
      </c>
    </row>
    <row r="246" spans="1:5" x14ac:dyDescent="0.2">
      <c r="A246" s="116" t="s">
        <v>553</v>
      </c>
      <c r="B246" s="116" t="s">
        <v>555</v>
      </c>
      <c r="C246" s="2" t="s">
        <v>22</v>
      </c>
      <c r="D246" s="1" t="s">
        <v>1455</v>
      </c>
      <c r="E246" s="116" t="s">
        <v>832</v>
      </c>
    </row>
    <row r="247" spans="1:5" x14ac:dyDescent="0.2">
      <c r="A247" s="116" t="s">
        <v>556</v>
      </c>
      <c r="B247" s="116" t="s">
        <v>558</v>
      </c>
      <c r="C247" s="2" t="s">
        <v>22</v>
      </c>
      <c r="D247" s="1" t="s">
        <v>1455</v>
      </c>
      <c r="E247" s="116" t="s">
        <v>832</v>
      </c>
    </row>
    <row r="248" spans="1:5" x14ac:dyDescent="0.2">
      <c r="A248" s="116" t="s">
        <v>559</v>
      </c>
      <c r="B248" s="116" t="s">
        <v>561</v>
      </c>
      <c r="C248" s="2" t="s">
        <v>22</v>
      </c>
      <c r="D248" s="1" t="s">
        <v>833</v>
      </c>
      <c r="E248" s="116" t="s">
        <v>832</v>
      </c>
    </row>
    <row r="249" spans="1:5" x14ac:dyDescent="0.2">
      <c r="A249" s="116" t="s">
        <v>562</v>
      </c>
      <c r="B249" s="116" t="s">
        <v>564</v>
      </c>
      <c r="C249" s="2" t="s">
        <v>22</v>
      </c>
      <c r="D249" s="1" t="s">
        <v>1487</v>
      </c>
      <c r="E249" s="116" t="s">
        <v>832</v>
      </c>
    </row>
    <row r="250" spans="1:5" x14ac:dyDescent="0.2">
      <c r="A250" s="123" t="s">
        <v>565</v>
      </c>
      <c r="B250" s="123" t="s">
        <v>566</v>
      </c>
      <c r="C250" s="4"/>
      <c r="D250" s="3"/>
      <c r="E250" s="123"/>
    </row>
    <row r="251" spans="1:5" ht="38.25" x14ac:dyDescent="0.2">
      <c r="A251" s="116" t="s">
        <v>567</v>
      </c>
      <c r="B251" s="116" t="s">
        <v>569</v>
      </c>
      <c r="C251" s="2" t="s">
        <v>22</v>
      </c>
      <c r="D251" s="1" t="s">
        <v>831</v>
      </c>
      <c r="E251" s="116" t="s">
        <v>830</v>
      </c>
    </row>
    <row r="252" spans="1:5" x14ac:dyDescent="0.2">
      <c r="A252" s="116" t="s">
        <v>570</v>
      </c>
      <c r="B252" s="116" t="s">
        <v>572</v>
      </c>
      <c r="C252" s="2" t="s">
        <v>22</v>
      </c>
      <c r="D252" s="1" t="s">
        <v>829</v>
      </c>
      <c r="E252" s="116" t="s">
        <v>828</v>
      </c>
    </row>
    <row r="253" spans="1:5" ht="63.75" x14ac:dyDescent="0.2">
      <c r="A253" s="116" t="s">
        <v>573</v>
      </c>
      <c r="B253" s="116" t="s">
        <v>575</v>
      </c>
      <c r="C253" s="2" t="s">
        <v>22</v>
      </c>
      <c r="D253" s="1" t="s">
        <v>827</v>
      </c>
      <c r="E253" s="116" t="s">
        <v>826</v>
      </c>
    </row>
    <row r="254" spans="1:5" x14ac:dyDescent="0.2">
      <c r="A254" s="116" t="s">
        <v>576</v>
      </c>
      <c r="B254" s="116" t="s">
        <v>578</v>
      </c>
      <c r="C254" s="2" t="s">
        <v>22</v>
      </c>
      <c r="D254" s="1" t="s">
        <v>779</v>
      </c>
      <c r="E254" s="116" t="s">
        <v>825</v>
      </c>
    </row>
    <row r="255" spans="1:5" x14ac:dyDescent="0.2">
      <c r="A255" s="116" t="s">
        <v>1254</v>
      </c>
      <c r="B255" s="116" t="s">
        <v>1252</v>
      </c>
      <c r="C255" s="2" t="s">
        <v>22</v>
      </c>
      <c r="D255" s="1" t="s">
        <v>1438</v>
      </c>
      <c r="E255" s="116" t="s">
        <v>1520</v>
      </c>
    </row>
    <row r="256" spans="1:5" x14ac:dyDescent="0.2">
      <c r="A256" s="123" t="s">
        <v>579</v>
      </c>
      <c r="B256" s="123" t="s">
        <v>580</v>
      </c>
      <c r="C256" s="4"/>
      <c r="D256" s="3"/>
      <c r="E256" s="123"/>
    </row>
    <row r="257" spans="1:5" ht="25.5" x14ac:dyDescent="0.2">
      <c r="A257" s="116" t="s">
        <v>581</v>
      </c>
      <c r="B257" s="116" t="s">
        <v>583</v>
      </c>
      <c r="C257" s="2" t="s">
        <v>22</v>
      </c>
      <c r="D257" s="1" t="s">
        <v>824</v>
      </c>
      <c r="E257" s="116" t="s">
        <v>1519</v>
      </c>
    </row>
    <row r="258" spans="1:5" ht="25.5" x14ac:dyDescent="0.2">
      <c r="A258" s="116" t="s">
        <v>584</v>
      </c>
      <c r="B258" s="116" t="s">
        <v>586</v>
      </c>
      <c r="C258" s="2" t="s">
        <v>22</v>
      </c>
      <c r="D258" s="1" t="s">
        <v>824</v>
      </c>
      <c r="E258" s="116" t="s">
        <v>819</v>
      </c>
    </row>
    <row r="259" spans="1:5" ht="51" x14ac:dyDescent="0.2">
      <c r="A259" s="116" t="s">
        <v>587</v>
      </c>
      <c r="B259" s="116" t="s">
        <v>1208</v>
      </c>
      <c r="C259" s="2" t="s">
        <v>22</v>
      </c>
      <c r="D259" s="1" t="s">
        <v>1518</v>
      </c>
      <c r="E259" s="116" t="s">
        <v>1517</v>
      </c>
    </row>
    <row r="260" spans="1:5" ht="25.5" x14ac:dyDescent="0.2">
      <c r="A260" s="116" t="s">
        <v>588</v>
      </c>
      <c r="B260" s="116" t="s">
        <v>1226</v>
      </c>
      <c r="C260" s="2" t="s">
        <v>22</v>
      </c>
      <c r="D260" s="1" t="s">
        <v>823</v>
      </c>
      <c r="E260" s="116" t="s">
        <v>1516</v>
      </c>
    </row>
    <row r="261" spans="1:5" x14ac:dyDescent="0.2">
      <c r="A261" s="116" t="s">
        <v>591</v>
      </c>
      <c r="B261" s="116" t="s">
        <v>590</v>
      </c>
      <c r="C261" s="2" t="s">
        <v>22</v>
      </c>
      <c r="D261" s="1" t="s">
        <v>822</v>
      </c>
      <c r="E261" s="116" t="s">
        <v>819</v>
      </c>
    </row>
    <row r="262" spans="1:5" x14ac:dyDescent="0.2">
      <c r="A262" s="116" t="s">
        <v>594</v>
      </c>
      <c r="B262" s="116" t="s">
        <v>593</v>
      </c>
      <c r="C262" s="2" t="s">
        <v>22</v>
      </c>
      <c r="D262" s="1" t="s">
        <v>821</v>
      </c>
      <c r="E262" s="116" t="s">
        <v>819</v>
      </c>
    </row>
    <row r="263" spans="1:5" ht="38.25" x14ac:dyDescent="0.2">
      <c r="A263" s="116" t="s">
        <v>1251</v>
      </c>
      <c r="B263" s="116" t="s">
        <v>596</v>
      </c>
      <c r="C263" s="2" t="s">
        <v>22</v>
      </c>
      <c r="D263" s="1" t="s">
        <v>820</v>
      </c>
      <c r="E263" s="116" t="s">
        <v>819</v>
      </c>
    </row>
    <row r="264" spans="1:5" x14ac:dyDescent="0.2">
      <c r="A264" s="123" t="s">
        <v>597</v>
      </c>
      <c r="B264" s="123" t="s">
        <v>598</v>
      </c>
      <c r="C264" s="4"/>
      <c r="D264" s="3"/>
      <c r="E264" s="123"/>
    </row>
    <row r="265" spans="1:5" ht="63.75" x14ac:dyDescent="0.2">
      <c r="A265" s="116" t="s">
        <v>599</v>
      </c>
      <c r="B265" s="116" t="s">
        <v>1626</v>
      </c>
      <c r="C265" s="2" t="s">
        <v>22</v>
      </c>
      <c r="D265" s="1" t="s">
        <v>1653</v>
      </c>
      <c r="E265" s="116" t="s">
        <v>1652</v>
      </c>
    </row>
    <row r="266" spans="1:5" ht="25.5" x14ac:dyDescent="0.2">
      <c r="A266" s="116" t="s">
        <v>600</v>
      </c>
      <c r="B266" s="116" t="s">
        <v>1624</v>
      </c>
      <c r="C266" s="2" t="s">
        <v>22</v>
      </c>
      <c r="D266" s="1" t="s">
        <v>818</v>
      </c>
      <c r="E266" s="116" t="s">
        <v>811</v>
      </c>
    </row>
    <row r="267" spans="1:5" x14ac:dyDescent="0.2">
      <c r="A267" s="116" t="s">
        <v>603</v>
      </c>
      <c r="B267" s="116" t="s">
        <v>602</v>
      </c>
      <c r="C267" s="2" t="s">
        <v>213</v>
      </c>
      <c r="D267" s="1" t="s">
        <v>817</v>
      </c>
      <c r="E267" s="116" t="s">
        <v>811</v>
      </c>
    </row>
    <row r="268" spans="1:5" ht="25.5" x14ac:dyDescent="0.2">
      <c r="A268" s="116" t="s">
        <v>606</v>
      </c>
      <c r="B268" s="116" t="s">
        <v>605</v>
      </c>
      <c r="C268" s="2" t="s">
        <v>22</v>
      </c>
      <c r="D268" s="1" t="s">
        <v>1452</v>
      </c>
      <c r="E268" s="116" t="s">
        <v>811</v>
      </c>
    </row>
    <row r="269" spans="1:5" ht="25.5" x14ac:dyDescent="0.2">
      <c r="A269" s="116" t="s">
        <v>609</v>
      </c>
      <c r="B269" s="116" t="s">
        <v>608</v>
      </c>
      <c r="C269" s="2" t="s">
        <v>22</v>
      </c>
      <c r="D269" s="1" t="s">
        <v>1475</v>
      </c>
      <c r="E269" s="116" t="s">
        <v>811</v>
      </c>
    </row>
    <row r="270" spans="1:5" x14ac:dyDescent="0.2">
      <c r="A270" s="116" t="s">
        <v>612</v>
      </c>
      <c r="B270" s="116" t="s">
        <v>611</v>
      </c>
      <c r="C270" s="2" t="s">
        <v>49</v>
      </c>
      <c r="D270" s="1" t="s">
        <v>816</v>
      </c>
      <c r="E270" s="116" t="s">
        <v>811</v>
      </c>
    </row>
    <row r="271" spans="1:5" x14ac:dyDescent="0.2">
      <c r="A271" s="116" t="s">
        <v>615</v>
      </c>
      <c r="B271" s="116" t="s">
        <v>614</v>
      </c>
      <c r="C271" s="2" t="s">
        <v>22</v>
      </c>
      <c r="D271" s="1" t="s">
        <v>1450</v>
      </c>
      <c r="E271" s="116" t="s">
        <v>811</v>
      </c>
    </row>
    <row r="272" spans="1:5" ht="38.25" x14ac:dyDescent="0.2">
      <c r="A272" s="116" t="s">
        <v>618</v>
      </c>
      <c r="B272" s="116" t="s">
        <v>617</v>
      </c>
      <c r="C272" s="2" t="s">
        <v>22</v>
      </c>
      <c r="D272" s="1" t="s">
        <v>1464</v>
      </c>
      <c r="E272" s="116" t="s">
        <v>811</v>
      </c>
    </row>
    <row r="273" spans="1:5" x14ac:dyDescent="0.2">
      <c r="A273" s="116" t="s">
        <v>621</v>
      </c>
      <c r="B273" s="116" t="s">
        <v>620</v>
      </c>
      <c r="C273" s="2" t="s">
        <v>22</v>
      </c>
      <c r="D273" s="1" t="s">
        <v>815</v>
      </c>
      <c r="E273" s="116" t="s">
        <v>811</v>
      </c>
    </row>
    <row r="274" spans="1:5" ht="38.25" x14ac:dyDescent="0.2">
      <c r="A274" s="116" t="s">
        <v>624</v>
      </c>
      <c r="B274" s="116" t="s">
        <v>623</v>
      </c>
      <c r="C274" s="2" t="s">
        <v>22</v>
      </c>
      <c r="D274" s="1" t="s">
        <v>814</v>
      </c>
      <c r="E274" s="116" t="s">
        <v>811</v>
      </c>
    </row>
    <row r="275" spans="1:5" ht="25.5" x14ac:dyDescent="0.2">
      <c r="A275" s="116" t="s">
        <v>627</v>
      </c>
      <c r="B275" s="116" t="s">
        <v>626</v>
      </c>
      <c r="C275" s="2" t="s">
        <v>22</v>
      </c>
      <c r="D275" s="1" t="s">
        <v>813</v>
      </c>
      <c r="E275" s="116" t="s">
        <v>811</v>
      </c>
    </row>
    <row r="276" spans="1:5" ht="25.5" x14ac:dyDescent="0.2">
      <c r="A276" s="116" t="s">
        <v>630</v>
      </c>
      <c r="B276" s="116" t="s">
        <v>629</v>
      </c>
      <c r="C276" s="2" t="s">
        <v>22</v>
      </c>
      <c r="D276" s="1" t="s">
        <v>812</v>
      </c>
      <c r="E276" s="116" t="s">
        <v>811</v>
      </c>
    </row>
    <row r="277" spans="1:5" ht="25.5" x14ac:dyDescent="0.2">
      <c r="A277" s="116" t="s">
        <v>1623</v>
      </c>
      <c r="B277" s="116" t="s">
        <v>632</v>
      </c>
      <c r="C277" s="2" t="s">
        <v>22</v>
      </c>
      <c r="D277" s="1" t="s">
        <v>795</v>
      </c>
      <c r="E277" s="116" t="s">
        <v>810</v>
      </c>
    </row>
    <row r="278" spans="1:5" x14ac:dyDescent="0.2">
      <c r="A278" s="123" t="s">
        <v>633</v>
      </c>
      <c r="B278" s="123" t="s">
        <v>634</v>
      </c>
      <c r="C278" s="4"/>
      <c r="D278" s="3"/>
      <c r="E278" s="123"/>
    </row>
    <row r="279" spans="1:5" x14ac:dyDescent="0.2">
      <c r="A279" s="123" t="s">
        <v>635</v>
      </c>
      <c r="B279" s="123" t="s">
        <v>636</v>
      </c>
      <c r="C279" s="4"/>
      <c r="D279" s="3"/>
      <c r="E279" s="123"/>
    </row>
    <row r="280" spans="1:5" x14ac:dyDescent="0.2">
      <c r="A280" s="116" t="s">
        <v>637</v>
      </c>
      <c r="B280" s="116" t="s">
        <v>639</v>
      </c>
      <c r="C280" s="2" t="s">
        <v>22</v>
      </c>
      <c r="D280" s="1" t="s">
        <v>809</v>
      </c>
      <c r="E280" s="116" t="s">
        <v>770</v>
      </c>
    </row>
    <row r="281" spans="1:5" x14ac:dyDescent="0.2">
      <c r="A281" s="116" t="s">
        <v>640</v>
      </c>
      <c r="B281" s="116" t="s">
        <v>641</v>
      </c>
      <c r="C281" s="2" t="s">
        <v>22</v>
      </c>
      <c r="D281" s="1" t="s">
        <v>808</v>
      </c>
      <c r="E281" s="116" t="s">
        <v>770</v>
      </c>
    </row>
    <row r="282" spans="1:5" x14ac:dyDescent="0.2">
      <c r="A282" s="116" t="s">
        <v>642</v>
      </c>
      <c r="B282" s="116" t="s">
        <v>643</v>
      </c>
      <c r="C282" s="2" t="s">
        <v>22</v>
      </c>
      <c r="D282" s="1" t="s">
        <v>807</v>
      </c>
      <c r="E282" s="116" t="s">
        <v>770</v>
      </c>
    </row>
    <row r="283" spans="1:5" x14ac:dyDescent="0.2">
      <c r="A283" s="116" t="s">
        <v>644</v>
      </c>
      <c r="B283" s="116" t="s">
        <v>645</v>
      </c>
      <c r="C283" s="2" t="s">
        <v>22</v>
      </c>
      <c r="D283" s="1" t="s">
        <v>806</v>
      </c>
      <c r="E283" s="116" t="s">
        <v>770</v>
      </c>
    </row>
    <row r="284" spans="1:5" x14ac:dyDescent="0.2">
      <c r="A284" s="116" t="s">
        <v>646</v>
      </c>
      <c r="B284" s="116" t="s">
        <v>648</v>
      </c>
      <c r="C284" s="2" t="s">
        <v>246</v>
      </c>
      <c r="D284" s="1" t="s">
        <v>805</v>
      </c>
      <c r="E284" s="116" t="s">
        <v>770</v>
      </c>
    </row>
    <row r="285" spans="1:5" x14ac:dyDescent="0.2">
      <c r="A285" s="116" t="s">
        <v>649</v>
      </c>
      <c r="B285" s="116" t="s">
        <v>650</v>
      </c>
      <c r="C285" s="2" t="s">
        <v>246</v>
      </c>
      <c r="D285" s="1" t="s">
        <v>802</v>
      </c>
      <c r="E285" s="116" t="s">
        <v>770</v>
      </c>
    </row>
    <row r="286" spans="1:5" x14ac:dyDescent="0.2">
      <c r="A286" s="116" t="s">
        <v>651</v>
      </c>
      <c r="B286" s="116" t="s">
        <v>653</v>
      </c>
      <c r="C286" s="2" t="s">
        <v>246</v>
      </c>
      <c r="D286" s="1" t="s">
        <v>804</v>
      </c>
      <c r="E286" s="116" t="s">
        <v>770</v>
      </c>
    </row>
    <row r="287" spans="1:5" x14ac:dyDescent="0.2">
      <c r="A287" s="116" t="s">
        <v>654</v>
      </c>
      <c r="B287" s="116" t="s">
        <v>655</v>
      </c>
      <c r="C287" s="2" t="s">
        <v>246</v>
      </c>
      <c r="D287" s="1" t="s">
        <v>802</v>
      </c>
      <c r="E287" s="116" t="s">
        <v>770</v>
      </c>
    </row>
    <row r="288" spans="1:5" ht="25.5" x14ac:dyDescent="0.2">
      <c r="A288" s="116" t="s">
        <v>656</v>
      </c>
      <c r="B288" s="116" t="s">
        <v>658</v>
      </c>
      <c r="C288" s="2" t="s">
        <v>22</v>
      </c>
      <c r="D288" s="1" t="s">
        <v>803</v>
      </c>
      <c r="E288" s="116" t="s">
        <v>770</v>
      </c>
    </row>
    <row r="289" spans="1:5" x14ac:dyDescent="0.2">
      <c r="A289" s="116" t="s">
        <v>659</v>
      </c>
      <c r="B289" s="116" t="s">
        <v>660</v>
      </c>
      <c r="C289" s="2" t="s">
        <v>246</v>
      </c>
      <c r="D289" s="1" t="s">
        <v>802</v>
      </c>
      <c r="E289" s="116" t="s">
        <v>770</v>
      </c>
    </row>
    <row r="290" spans="1:5" ht="25.5" x14ac:dyDescent="0.2">
      <c r="A290" s="116" t="s">
        <v>661</v>
      </c>
      <c r="B290" s="116" t="s">
        <v>662</v>
      </c>
      <c r="C290" s="2" t="s">
        <v>22</v>
      </c>
      <c r="D290" s="1" t="s">
        <v>801</v>
      </c>
      <c r="E290" s="116" t="s">
        <v>770</v>
      </c>
    </row>
    <row r="291" spans="1:5" x14ac:dyDescent="0.2">
      <c r="A291" s="116" t="s">
        <v>663</v>
      </c>
      <c r="B291" s="116" t="s">
        <v>664</v>
      </c>
      <c r="C291" s="2" t="s">
        <v>246</v>
      </c>
      <c r="D291" s="1" t="s">
        <v>756</v>
      </c>
      <c r="E291" s="116" t="s">
        <v>770</v>
      </c>
    </row>
    <row r="292" spans="1:5" x14ac:dyDescent="0.2">
      <c r="A292" s="116" t="s">
        <v>665</v>
      </c>
      <c r="B292" s="116" t="s">
        <v>667</v>
      </c>
      <c r="C292" s="2" t="s">
        <v>246</v>
      </c>
      <c r="D292" s="1" t="s">
        <v>756</v>
      </c>
      <c r="E292" s="116" t="s">
        <v>770</v>
      </c>
    </row>
    <row r="293" spans="1:5" ht="25.5" x14ac:dyDescent="0.2">
      <c r="A293" s="116" t="s">
        <v>668</v>
      </c>
      <c r="B293" s="116" t="s">
        <v>669</v>
      </c>
      <c r="C293" s="2" t="s">
        <v>22</v>
      </c>
      <c r="D293" s="1" t="s">
        <v>800</v>
      </c>
      <c r="E293" s="116" t="s">
        <v>770</v>
      </c>
    </row>
    <row r="294" spans="1:5" ht="25.5" x14ac:dyDescent="0.2">
      <c r="A294" s="116" t="s">
        <v>670</v>
      </c>
      <c r="B294" s="116" t="s">
        <v>671</v>
      </c>
      <c r="C294" s="2" t="s">
        <v>22</v>
      </c>
      <c r="D294" s="1" t="s">
        <v>799</v>
      </c>
      <c r="E294" s="116" t="s">
        <v>770</v>
      </c>
    </row>
    <row r="295" spans="1:5" ht="25.5" x14ac:dyDescent="0.2">
      <c r="A295" s="116" t="s">
        <v>672</v>
      </c>
      <c r="B295" s="116" t="s">
        <v>673</v>
      </c>
      <c r="C295" s="2" t="s">
        <v>22</v>
      </c>
      <c r="D295" s="1" t="s">
        <v>798</v>
      </c>
      <c r="E295" s="116" t="s">
        <v>770</v>
      </c>
    </row>
    <row r="296" spans="1:5" ht="25.5" x14ac:dyDescent="0.2">
      <c r="A296" s="116" t="s">
        <v>674</v>
      </c>
      <c r="B296" s="116" t="s">
        <v>676</v>
      </c>
      <c r="C296" s="2" t="s">
        <v>37</v>
      </c>
      <c r="D296" s="1" t="s">
        <v>797</v>
      </c>
      <c r="E296" s="116" t="s">
        <v>796</v>
      </c>
    </row>
    <row r="297" spans="1:5" x14ac:dyDescent="0.2">
      <c r="A297" s="116" t="s">
        <v>677</v>
      </c>
      <c r="B297" s="116" t="s">
        <v>679</v>
      </c>
      <c r="C297" s="2" t="s">
        <v>37</v>
      </c>
      <c r="D297" s="1" t="s">
        <v>795</v>
      </c>
      <c r="E297" s="116" t="s">
        <v>794</v>
      </c>
    </row>
    <row r="298" spans="1:5" ht="25.5" x14ac:dyDescent="0.2">
      <c r="A298" s="116" t="s">
        <v>680</v>
      </c>
      <c r="B298" s="116" t="s">
        <v>682</v>
      </c>
      <c r="C298" s="2" t="s">
        <v>92</v>
      </c>
      <c r="D298" s="1" t="s">
        <v>793</v>
      </c>
      <c r="E298" s="116" t="s">
        <v>792</v>
      </c>
    </row>
    <row r="299" spans="1:5" x14ac:dyDescent="0.2">
      <c r="A299" s="116" t="s">
        <v>683</v>
      </c>
      <c r="B299" s="116" t="s">
        <v>685</v>
      </c>
      <c r="C299" s="2" t="s">
        <v>49</v>
      </c>
      <c r="D299" s="1" t="s">
        <v>791</v>
      </c>
      <c r="E299" s="116" t="s">
        <v>770</v>
      </c>
    </row>
    <row r="300" spans="1:5" ht="63.75" x14ac:dyDescent="0.2">
      <c r="A300" s="116" t="s">
        <v>1250</v>
      </c>
      <c r="B300" s="116" t="s">
        <v>1248</v>
      </c>
      <c r="C300" s="2" t="s">
        <v>1247</v>
      </c>
      <c r="D300" s="1" t="s">
        <v>857</v>
      </c>
      <c r="E300" s="116" t="s">
        <v>770</v>
      </c>
    </row>
    <row r="301" spans="1:5" ht="38.25" x14ac:dyDescent="0.2">
      <c r="A301" s="116" t="s">
        <v>1246</v>
      </c>
      <c r="B301" s="116" t="s">
        <v>1244</v>
      </c>
      <c r="C301" s="2" t="s">
        <v>92</v>
      </c>
      <c r="D301" s="1" t="s">
        <v>1368</v>
      </c>
      <c r="E301" s="116" t="s">
        <v>770</v>
      </c>
    </row>
    <row r="302" spans="1:5" x14ac:dyDescent="0.2">
      <c r="A302" s="123" t="s">
        <v>686</v>
      </c>
      <c r="B302" s="123" t="s">
        <v>687</v>
      </c>
      <c r="C302" s="4"/>
      <c r="D302" s="3"/>
      <c r="E302" s="123"/>
    </row>
    <row r="303" spans="1:5" x14ac:dyDescent="0.2">
      <c r="A303" s="116" t="s">
        <v>688</v>
      </c>
      <c r="B303" s="116" t="s">
        <v>1622</v>
      </c>
      <c r="C303" s="2" t="s">
        <v>22</v>
      </c>
      <c r="D303" s="1" t="s">
        <v>790</v>
      </c>
      <c r="E303" s="116" t="s">
        <v>770</v>
      </c>
    </row>
    <row r="304" spans="1:5" x14ac:dyDescent="0.2">
      <c r="A304" s="116" t="s">
        <v>689</v>
      </c>
      <c r="B304" s="116" t="s">
        <v>1621</v>
      </c>
      <c r="C304" s="2" t="s">
        <v>22</v>
      </c>
      <c r="D304" s="1" t="s">
        <v>789</v>
      </c>
      <c r="E304" s="116" t="s">
        <v>770</v>
      </c>
    </row>
    <row r="305" spans="1:5" x14ac:dyDescent="0.2">
      <c r="A305" s="116" t="s">
        <v>690</v>
      </c>
      <c r="B305" s="116" t="s">
        <v>1620</v>
      </c>
      <c r="C305" s="2" t="s">
        <v>22</v>
      </c>
      <c r="D305" s="1" t="s">
        <v>784</v>
      </c>
      <c r="E305" s="116" t="s">
        <v>770</v>
      </c>
    </row>
    <row r="306" spans="1:5" x14ac:dyDescent="0.2">
      <c r="A306" s="116" t="s">
        <v>691</v>
      </c>
      <c r="B306" s="116" t="s">
        <v>1619</v>
      </c>
      <c r="C306" s="2" t="s">
        <v>22</v>
      </c>
      <c r="D306" s="1" t="s">
        <v>788</v>
      </c>
      <c r="E306" s="116" t="s">
        <v>770</v>
      </c>
    </row>
    <row r="307" spans="1:5" x14ac:dyDescent="0.2">
      <c r="A307" s="116" t="s">
        <v>692</v>
      </c>
      <c r="B307" s="116" t="s">
        <v>1618</v>
      </c>
      <c r="C307" s="2" t="s">
        <v>22</v>
      </c>
      <c r="D307" s="1" t="s">
        <v>787</v>
      </c>
      <c r="E307" s="116" t="s">
        <v>770</v>
      </c>
    </row>
    <row r="308" spans="1:5" x14ac:dyDescent="0.2">
      <c r="A308" s="116" t="s">
        <v>693</v>
      </c>
      <c r="B308" s="116" t="s">
        <v>1617</v>
      </c>
      <c r="C308" s="2" t="s">
        <v>22</v>
      </c>
      <c r="D308" s="1" t="s">
        <v>786</v>
      </c>
      <c r="E308" s="116" t="s">
        <v>770</v>
      </c>
    </row>
    <row r="309" spans="1:5" x14ac:dyDescent="0.2">
      <c r="A309" s="116" t="s">
        <v>694</v>
      </c>
      <c r="B309" s="116" t="s">
        <v>1616</v>
      </c>
      <c r="C309" s="2" t="s">
        <v>22</v>
      </c>
      <c r="D309" s="1" t="s">
        <v>785</v>
      </c>
      <c r="E309" s="116" t="s">
        <v>770</v>
      </c>
    </row>
    <row r="310" spans="1:5" x14ac:dyDescent="0.2">
      <c r="A310" s="116" t="s">
        <v>695</v>
      </c>
      <c r="B310" s="116" t="s">
        <v>1615</v>
      </c>
      <c r="C310" s="2" t="s">
        <v>22</v>
      </c>
      <c r="D310" s="1" t="s">
        <v>784</v>
      </c>
      <c r="E310" s="116" t="s">
        <v>770</v>
      </c>
    </row>
    <row r="311" spans="1:5" x14ac:dyDescent="0.2">
      <c r="A311" s="116" t="s">
        <v>696</v>
      </c>
      <c r="B311" s="116" t="s">
        <v>1614</v>
      </c>
      <c r="C311" s="2" t="s">
        <v>22</v>
      </c>
      <c r="D311" s="1" t="s">
        <v>783</v>
      </c>
      <c r="E311" s="116" t="s">
        <v>770</v>
      </c>
    </row>
    <row r="312" spans="1:5" x14ac:dyDescent="0.2">
      <c r="A312" s="116" t="s">
        <v>697</v>
      </c>
      <c r="B312" s="116" t="s">
        <v>1613</v>
      </c>
      <c r="C312" s="2" t="s">
        <v>22</v>
      </c>
      <c r="D312" s="1" t="s">
        <v>782</v>
      </c>
      <c r="E312" s="116" t="s">
        <v>770</v>
      </c>
    </row>
    <row r="313" spans="1:5" x14ac:dyDescent="0.2">
      <c r="A313" s="116" t="s">
        <v>698</v>
      </c>
      <c r="B313" s="116" t="s">
        <v>1612</v>
      </c>
      <c r="C313" s="2" t="s">
        <v>22</v>
      </c>
      <c r="D313" s="1" t="s">
        <v>781</v>
      </c>
      <c r="E313" s="116" t="s">
        <v>770</v>
      </c>
    </row>
    <row r="314" spans="1:5" x14ac:dyDescent="0.2">
      <c r="A314" s="116" t="s">
        <v>699</v>
      </c>
      <c r="B314" s="116" t="s">
        <v>1611</v>
      </c>
      <c r="C314" s="2" t="s">
        <v>22</v>
      </c>
      <c r="D314" s="1" t="s">
        <v>780</v>
      </c>
      <c r="E314" s="116" t="s">
        <v>770</v>
      </c>
    </row>
    <row r="315" spans="1:5" x14ac:dyDescent="0.2">
      <c r="A315" s="116" t="s">
        <v>700</v>
      </c>
      <c r="B315" s="116" t="s">
        <v>1610</v>
      </c>
      <c r="C315" s="2" t="s">
        <v>22</v>
      </c>
      <c r="D315" s="1" t="s">
        <v>779</v>
      </c>
      <c r="E315" s="116" t="s">
        <v>770</v>
      </c>
    </row>
    <row r="316" spans="1:5" x14ac:dyDescent="0.2">
      <c r="A316" s="116" t="s">
        <v>701</v>
      </c>
      <c r="B316" s="116" t="s">
        <v>1609</v>
      </c>
      <c r="C316" s="2" t="s">
        <v>22</v>
      </c>
      <c r="D316" s="1" t="s">
        <v>778</v>
      </c>
      <c r="E316" s="116" t="s">
        <v>770</v>
      </c>
    </row>
    <row r="317" spans="1:5" x14ac:dyDescent="0.2">
      <c r="A317" s="116" t="s">
        <v>702</v>
      </c>
      <c r="B317" s="116" t="s">
        <v>1607</v>
      </c>
      <c r="C317" s="2" t="s">
        <v>22</v>
      </c>
      <c r="D317" s="1" t="s">
        <v>777</v>
      </c>
      <c r="E317" s="116" t="s">
        <v>770</v>
      </c>
    </row>
    <row r="318" spans="1:5" x14ac:dyDescent="0.2">
      <c r="A318" s="116" t="s">
        <v>703</v>
      </c>
      <c r="B318" s="116" t="s">
        <v>705</v>
      </c>
      <c r="C318" s="2" t="s">
        <v>22</v>
      </c>
      <c r="D318" s="1" t="s">
        <v>776</v>
      </c>
      <c r="E318" s="116" t="s">
        <v>770</v>
      </c>
    </row>
    <row r="319" spans="1:5" x14ac:dyDescent="0.2">
      <c r="A319" s="116" t="s">
        <v>706</v>
      </c>
      <c r="B319" s="116" t="s">
        <v>707</v>
      </c>
      <c r="C319" s="2" t="s">
        <v>22</v>
      </c>
      <c r="D319" s="1" t="s">
        <v>775</v>
      </c>
      <c r="E319" s="116" t="s">
        <v>770</v>
      </c>
    </row>
    <row r="320" spans="1:5" x14ac:dyDescent="0.2">
      <c r="A320" s="116" t="s">
        <v>708</v>
      </c>
      <c r="B320" s="116" t="s">
        <v>709</v>
      </c>
      <c r="C320" s="2" t="s">
        <v>22</v>
      </c>
      <c r="D320" s="1" t="s">
        <v>774</v>
      </c>
      <c r="E320" s="116" t="s">
        <v>770</v>
      </c>
    </row>
    <row r="321" spans="1:5" ht="25.5" x14ac:dyDescent="0.2">
      <c r="A321" s="116" t="s">
        <v>710</v>
      </c>
      <c r="B321" s="116" t="s">
        <v>1242</v>
      </c>
      <c r="C321" s="2" t="s">
        <v>22</v>
      </c>
      <c r="D321" s="1" t="s">
        <v>773</v>
      </c>
      <c r="E321" s="116" t="s">
        <v>770</v>
      </c>
    </row>
    <row r="322" spans="1:5" x14ac:dyDescent="0.2">
      <c r="A322" s="116" t="s">
        <v>711</v>
      </c>
      <c r="B322" s="116" t="s">
        <v>685</v>
      </c>
      <c r="C322" s="2" t="s">
        <v>49</v>
      </c>
      <c r="D322" s="1" t="s">
        <v>772</v>
      </c>
      <c r="E322" s="116" t="s">
        <v>770</v>
      </c>
    </row>
    <row r="323" spans="1:5" ht="38.25" x14ac:dyDescent="0.2">
      <c r="A323" s="116" t="s">
        <v>712</v>
      </c>
      <c r="B323" s="116" t="s">
        <v>714</v>
      </c>
      <c r="C323" s="2" t="s">
        <v>92</v>
      </c>
      <c r="D323" s="1" t="s">
        <v>771</v>
      </c>
      <c r="E323" s="116" t="s">
        <v>770</v>
      </c>
    </row>
    <row r="324" spans="1:5" x14ac:dyDescent="0.2">
      <c r="A324" s="123" t="s">
        <v>715</v>
      </c>
      <c r="B324" s="123" t="s">
        <v>716</v>
      </c>
      <c r="C324" s="4"/>
      <c r="D324" s="3"/>
      <c r="E324" s="123"/>
    </row>
    <row r="325" spans="1:5" x14ac:dyDescent="0.2">
      <c r="A325" s="116" t="s">
        <v>717</v>
      </c>
      <c r="B325" s="116" t="s">
        <v>718</v>
      </c>
      <c r="C325" s="2" t="s">
        <v>22</v>
      </c>
      <c r="D325" s="1" t="s">
        <v>769</v>
      </c>
      <c r="E325" s="116" t="s">
        <v>770</v>
      </c>
    </row>
    <row r="326" spans="1:5" x14ac:dyDescent="0.2">
      <c r="A326" s="116" t="s">
        <v>719</v>
      </c>
      <c r="B326" s="116" t="s">
        <v>535</v>
      </c>
      <c r="C326" s="2" t="s">
        <v>22</v>
      </c>
      <c r="D326" s="1" t="s">
        <v>769</v>
      </c>
      <c r="E326" s="116" t="s">
        <v>768</v>
      </c>
    </row>
    <row r="327" spans="1:5" x14ac:dyDescent="0.2">
      <c r="A327" s="123" t="s">
        <v>720</v>
      </c>
      <c r="B327" s="123" t="s">
        <v>721</v>
      </c>
      <c r="C327" s="4"/>
      <c r="D327" s="3"/>
      <c r="E327" s="123"/>
    </row>
    <row r="328" spans="1:5" ht="51" x14ac:dyDescent="0.2">
      <c r="A328" s="116" t="s">
        <v>722</v>
      </c>
      <c r="B328" s="116" t="s">
        <v>724</v>
      </c>
      <c r="C328" s="2" t="s">
        <v>22</v>
      </c>
      <c r="D328" s="1" t="s">
        <v>767</v>
      </c>
      <c r="E328" s="116" t="s">
        <v>766</v>
      </c>
    </row>
    <row r="329" spans="1:5" ht="51" x14ac:dyDescent="0.2">
      <c r="A329" s="116" t="s">
        <v>1241</v>
      </c>
      <c r="B329" s="116" t="s">
        <v>1208</v>
      </c>
      <c r="C329" s="2" t="s">
        <v>22</v>
      </c>
      <c r="D329" s="1" t="s">
        <v>767</v>
      </c>
      <c r="E329" s="116" t="s">
        <v>1515</v>
      </c>
    </row>
    <row r="330" spans="1:5" x14ac:dyDescent="0.2">
      <c r="A330" s="123" t="s">
        <v>725</v>
      </c>
      <c r="B330" s="123" t="s">
        <v>726</v>
      </c>
      <c r="C330" s="4"/>
      <c r="D330" s="3"/>
      <c r="E330" s="123"/>
    </row>
    <row r="331" spans="1:5" x14ac:dyDescent="0.2">
      <c r="A331" s="123" t="s">
        <v>727</v>
      </c>
      <c r="B331" s="123" t="s">
        <v>728</v>
      </c>
      <c r="C331" s="4"/>
      <c r="D331" s="3"/>
      <c r="E331" s="123"/>
    </row>
    <row r="332" spans="1:5" ht="25.5" x14ac:dyDescent="0.2">
      <c r="A332" s="116" t="s">
        <v>729</v>
      </c>
      <c r="B332" s="116" t="s">
        <v>1239</v>
      </c>
      <c r="C332" s="2" t="s">
        <v>22</v>
      </c>
      <c r="D332" s="1" t="s">
        <v>1500</v>
      </c>
      <c r="E332" s="116" t="s">
        <v>1514</v>
      </c>
    </row>
    <row r="333" spans="1:5" x14ac:dyDescent="0.2">
      <c r="A333" s="116" t="s">
        <v>730</v>
      </c>
      <c r="B333" s="116" t="s">
        <v>1237</v>
      </c>
      <c r="C333" s="2" t="s">
        <v>213</v>
      </c>
      <c r="D333" s="1" t="s">
        <v>1484</v>
      </c>
      <c r="E333" s="116" t="s">
        <v>819</v>
      </c>
    </row>
    <row r="334" spans="1:5" x14ac:dyDescent="0.2">
      <c r="A334" s="123" t="s">
        <v>731</v>
      </c>
      <c r="B334" s="123" t="s">
        <v>1236</v>
      </c>
      <c r="C334" s="4"/>
      <c r="D334" s="3"/>
      <c r="E334" s="123"/>
    </row>
    <row r="335" spans="1:5" x14ac:dyDescent="0.2">
      <c r="A335" s="116" t="s">
        <v>733</v>
      </c>
      <c r="B335" s="116" t="s">
        <v>1234</v>
      </c>
      <c r="C335" s="2" t="s">
        <v>22</v>
      </c>
      <c r="D335" s="1" t="s">
        <v>1364</v>
      </c>
      <c r="E335" s="116" t="s">
        <v>1651</v>
      </c>
    </row>
    <row r="336" spans="1:5" x14ac:dyDescent="0.2">
      <c r="A336" s="116" t="s">
        <v>736</v>
      </c>
      <c r="B336" s="116" t="s">
        <v>540</v>
      </c>
      <c r="C336" s="2" t="s">
        <v>22</v>
      </c>
      <c r="D336" s="1" t="s">
        <v>809</v>
      </c>
      <c r="E336" s="116" t="s">
        <v>1651</v>
      </c>
    </row>
    <row r="337" spans="1:5" x14ac:dyDescent="0.2">
      <c r="A337" s="116" t="s">
        <v>737</v>
      </c>
      <c r="B337" s="116" t="s">
        <v>543</v>
      </c>
      <c r="C337" s="2" t="s">
        <v>22</v>
      </c>
      <c r="D337" s="1" t="s">
        <v>809</v>
      </c>
      <c r="E337" s="116" t="s">
        <v>1651</v>
      </c>
    </row>
    <row r="338" spans="1:5" x14ac:dyDescent="0.2">
      <c r="A338" s="116" t="s">
        <v>740</v>
      </c>
      <c r="B338" s="116" t="s">
        <v>1232</v>
      </c>
      <c r="C338" s="2" t="s">
        <v>22</v>
      </c>
      <c r="D338" s="1" t="s">
        <v>1396</v>
      </c>
      <c r="E338" s="116" t="s">
        <v>1651</v>
      </c>
    </row>
    <row r="339" spans="1:5" x14ac:dyDescent="0.2">
      <c r="A339" s="116" t="s">
        <v>743</v>
      </c>
      <c r="B339" s="116" t="s">
        <v>1230</v>
      </c>
      <c r="C339" s="2" t="s">
        <v>22</v>
      </c>
      <c r="D339" s="1" t="s">
        <v>1396</v>
      </c>
      <c r="E339" s="116" t="s">
        <v>1651</v>
      </c>
    </row>
    <row r="340" spans="1:5" ht="25.5" x14ac:dyDescent="0.2">
      <c r="A340" s="116" t="s">
        <v>746</v>
      </c>
      <c r="B340" s="116" t="s">
        <v>1228</v>
      </c>
      <c r="C340" s="2" t="s">
        <v>22</v>
      </c>
      <c r="D340" s="1" t="s">
        <v>1388</v>
      </c>
      <c r="E340" s="116" t="s">
        <v>1651</v>
      </c>
    </row>
    <row r="341" spans="1:5" ht="25.5" x14ac:dyDescent="0.2">
      <c r="A341" s="116" t="s">
        <v>749</v>
      </c>
      <c r="B341" s="116" t="s">
        <v>1226</v>
      </c>
      <c r="C341" s="2" t="s">
        <v>22</v>
      </c>
      <c r="D341" s="1" t="s">
        <v>802</v>
      </c>
      <c r="E341" s="116" t="s">
        <v>1651</v>
      </c>
    </row>
    <row r="342" spans="1:5" ht="25.5" x14ac:dyDescent="0.2">
      <c r="A342" s="116" t="s">
        <v>1225</v>
      </c>
      <c r="B342" s="116" t="s">
        <v>1223</v>
      </c>
      <c r="C342" s="2" t="s">
        <v>37</v>
      </c>
      <c r="D342" s="1" t="s">
        <v>756</v>
      </c>
      <c r="E342" s="116" t="s">
        <v>1651</v>
      </c>
    </row>
    <row r="343" spans="1:5" x14ac:dyDescent="0.2">
      <c r="A343" s="116" t="s">
        <v>1222</v>
      </c>
      <c r="B343" s="116" t="s">
        <v>1220</v>
      </c>
      <c r="C343" s="2" t="s">
        <v>92</v>
      </c>
      <c r="D343" s="1" t="s">
        <v>878</v>
      </c>
      <c r="E343" s="116" t="s">
        <v>1651</v>
      </c>
    </row>
    <row r="344" spans="1:5" x14ac:dyDescent="0.2">
      <c r="A344" s="116" t="s">
        <v>1219</v>
      </c>
      <c r="B344" s="116" t="s">
        <v>1217</v>
      </c>
      <c r="C344" s="2" t="s">
        <v>37</v>
      </c>
      <c r="D344" s="1" t="s">
        <v>756</v>
      </c>
      <c r="E344" s="116" t="s">
        <v>1651</v>
      </c>
    </row>
    <row r="345" spans="1:5" x14ac:dyDescent="0.2">
      <c r="A345" s="123" t="s">
        <v>1216</v>
      </c>
      <c r="B345" s="123" t="s">
        <v>732</v>
      </c>
      <c r="C345" s="4"/>
      <c r="D345" s="3"/>
      <c r="E345" s="123"/>
    </row>
    <row r="346" spans="1:5" ht="102" x14ac:dyDescent="0.2">
      <c r="A346" s="116" t="s">
        <v>1215</v>
      </c>
      <c r="B346" s="116" t="s">
        <v>735</v>
      </c>
      <c r="C346" s="2" t="s">
        <v>22</v>
      </c>
      <c r="D346" s="1" t="s">
        <v>765</v>
      </c>
      <c r="E346" s="116" t="s">
        <v>764</v>
      </c>
    </row>
    <row r="347" spans="1:5" ht="89.25" x14ac:dyDescent="0.2">
      <c r="A347" s="116" t="s">
        <v>1214</v>
      </c>
      <c r="B347" s="116" t="s">
        <v>1212</v>
      </c>
      <c r="C347" s="2" t="s">
        <v>213</v>
      </c>
      <c r="D347" s="1" t="s">
        <v>763</v>
      </c>
      <c r="E347" s="116" t="s">
        <v>1513</v>
      </c>
    </row>
    <row r="348" spans="1:5" ht="63.75" x14ac:dyDescent="0.2">
      <c r="A348" s="116" t="s">
        <v>1211</v>
      </c>
      <c r="B348" s="116" t="s">
        <v>739</v>
      </c>
      <c r="C348" s="2" t="s">
        <v>92</v>
      </c>
      <c r="D348" s="1" t="s">
        <v>762</v>
      </c>
      <c r="E348" s="116" t="s">
        <v>761</v>
      </c>
    </row>
    <row r="349" spans="1:5" ht="51" x14ac:dyDescent="0.2">
      <c r="A349" s="116" t="s">
        <v>1210</v>
      </c>
      <c r="B349" s="116" t="s">
        <v>1208</v>
      </c>
      <c r="C349" s="2" t="s">
        <v>22</v>
      </c>
      <c r="D349" s="1" t="s">
        <v>1512</v>
      </c>
      <c r="E349" s="116" t="s">
        <v>1511</v>
      </c>
    </row>
    <row r="350" spans="1:5" ht="25.5" x14ac:dyDescent="0.2">
      <c r="A350" s="116" t="s">
        <v>1207</v>
      </c>
      <c r="B350" s="116" t="s">
        <v>1205</v>
      </c>
      <c r="C350" s="2" t="s">
        <v>236</v>
      </c>
      <c r="D350" s="1" t="s">
        <v>1462</v>
      </c>
      <c r="E350" s="116" t="s">
        <v>1510</v>
      </c>
    </row>
    <row r="351" spans="1:5" ht="140.25" x14ac:dyDescent="0.2">
      <c r="A351" s="116" t="s">
        <v>1204</v>
      </c>
      <c r="B351" s="116" t="s">
        <v>742</v>
      </c>
      <c r="C351" s="2" t="s">
        <v>22</v>
      </c>
      <c r="D351" s="1" t="s">
        <v>760</v>
      </c>
      <c r="E351" s="116" t="s">
        <v>759</v>
      </c>
    </row>
    <row r="352" spans="1:5" ht="25.5" x14ac:dyDescent="0.2">
      <c r="A352" s="116" t="s">
        <v>1203</v>
      </c>
      <c r="B352" s="116" t="s">
        <v>1201</v>
      </c>
      <c r="C352" s="2" t="s">
        <v>22</v>
      </c>
      <c r="D352" s="1" t="s">
        <v>1384</v>
      </c>
      <c r="E352" s="116" t="s">
        <v>1509</v>
      </c>
    </row>
    <row r="353" spans="1:5" x14ac:dyDescent="0.2">
      <c r="A353" s="116" t="s">
        <v>1200</v>
      </c>
      <c r="B353" s="116" t="s">
        <v>745</v>
      </c>
      <c r="C353" s="2" t="s">
        <v>22</v>
      </c>
      <c r="D353" s="1" t="s">
        <v>758</v>
      </c>
      <c r="E353" s="116" t="s">
        <v>757</v>
      </c>
    </row>
    <row r="354" spans="1:5" x14ac:dyDescent="0.2">
      <c r="A354" s="116" t="s">
        <v>1199</v>
      </c>
      <c r="B354" s="116" t="s">
        <v>748</v>
      </c>
      <c r="C354" s="2" t="s">
        <v>37</v>
      </c>
      <c r="D354" s="1" t="s">
        <v>756</v>
      </c>
      <c r="E354" s="116" t="s">
        <v>755</v>
      </c>
    </row>
    <row r="355" spans="1:5" x14ac:dyDescent="0.2">
      <c r="A355" s="116" t="s">
        <v>1198</v>
      </c>
      <c r="B355" s="116" t="s">
        <v>751</v>
      </c>
      <c r="C355" s="2" t="s">
        <v>213</v>
      </c>
      <c r="D355" s="1" t="s">
        <v>795</v>
      </c>
      <c r="E355" s="116" t="s">
        <v>1508</v>
      </c>
    </row>
    <row r="356" spans="1:5" ht="25.5" x14ac:dyDescent="0.2">
      <c r="A356" s="116" t="s">
        <v>1197</v>
      </c>
      <c r="B356" s="116" t="s">
        <v>1196</v>
      </c>
      <c r="C356" s="2" t="s">
        <v>92</v>
      </c>
      <c r="D356" s="1" t="s">
        <v>1410</v>
      </c>
      <c r="E356" s="116" t="s">
        <v>1507</v>
      </c>
    </row>
  </sheetData>
  <mergeCells count="5">
    <mergeCell ref="F1:H1"/>
    <mergeCell ref="I1:J1"/>
    <mergeCell ref="F2:H2"/>
    <mergeCell ref="I2:J2"/>
    <mergeCell ref="A3:E3"/>
  </mergeCells>
  <pageMargins left="0.51181102362204722" right="0.51181102362204722" top="0.98425196850393704" bottom="0.98425196850393704" header="0.51181102362204722" footer="0.51181102362204722"/>
  <pageSetup paperSize="9" scale="82" fitToHeight="0" orientation="landscape" r:id="rId1"/>
  <headerFooter>
    <oddFooter>&amp;L&amp;A&amp;CPágina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4"/>
  <sheetViews>
    <sheetView tabSelected="1" view="pageBreakPreview" topLeftCell="A40" zoomScale="60" zoomScaleNormal="100" workbookViewId="0">
      <selection activeCell="Q99" sqref="Q99"/>
    </sheetView>
  </sheetViews>
  <sheetFormatPr defaultRowHeight="14.25" x14ac:dyDescent="0.2"/>
  <cols>
    <col min="1" max="3" width="8.75" style="8"/>
    <col min="4" max="4" width="10.25" style="8" customWidth="1"/>
    <col min="5" max="5" width="8.75" style="8"/>
    <col min="7" max="7" width="12.25" style="58" bestFit="1" customWidth="1"/>
    <col min="8" max="11" width="8.75" style="58"/>
  </cols>
  <sheetData>
    <row r="1" spans="1:11" s="58" customFormat="1" ht="27.6" customHeight="1" thickBot="1" x14ac:dyDescent="0.25">
      <c r="A1" s="155" t="s">
        <v>1548</v>
      </c>
      <c r="B1" s="156"/>
      <c r="C1" s="156"/>
      <c r="D1" s="156"/>
      <c r="E1" s="157"/>
      <c r="G1" s="158" t="s">
        <v>1549</v>
      </c>
      <c r="H1" s="159"/>
      <c r="I1" s="159"/>
      <c r="J1" s="159"/>
      <c r="K1" s="160"/>
    </row>
    <row r="2" spans="1:11" s="16" customFormat="1" x14ac:dyDescent="0.2">
      <c r="A2" s="19" t="s">
        <v>971</v>
      </c>
      <c r="B2" s="18"/>
      <c r="C2" s="18"/>
      <c r="D2" s="18"/>
      <c r="E2" s="17"/>
      <c r="G2" s="161" t="s">
        <v>144</v>
      </c>
      <c r="H2" s="162"/>
      <c r="I2" s="162"/>
      <c r="J2" s="162"/>
      <c r="K2" s="163"/>
    </row>
    <row r="3" spans="1:11" ht="15" x14ac:dyDescent="0.25">
      <c r="A3" s="14" t="s">
        <v>71</v>
      </c>
      <c r="B3" s="13"/>
      <c r="C3" s="13"/>
      <c r="D3" s="13"/>
      <c r="E3" s="12"/>
      <c r="G3" s="32" t="s">
        <v>1015</v>
      </c>
      <c r="H3" s="24"/>
      <c r="I3" s="24"/>
      <c r="J3" s="24"/>
      <c r="K3" s="28"/>
    </row>
    <row r="4" spans="1:11" x14ac:dyDescent="0.2">
      <c r="A4" s="14" t="s">
        <v>959</v>
      </c>
      <c r="B4" s="13" t="s">
        <v>953</v>
      </c>
      <c r="C4" s="13" t="s">
        <v>965</v>
      </c>
      <c r="D4" s="13" t="s">
        <v>967</v>
      </c>
      <c r="E4" s="12" t="s">
        <v>12</v>
      </c>
      <c r="G4" s="29" t="s">
        <v>985</v>
      </c>
      <c r="H4" s="146" t="s">
        <v>1013</v>
      </c>
      <c r="I4" s="146"/>
      <c r="J4" s="24" t="s">
        <v>964</v>
      </c>
      <c r="K4" s="28" t="s">
        <v>12</v>
      </c>
    </row>
    <row r="5" spans="1:11" ht="15" x14ac:dyDescent="0.25">
      <c r="A5" s="14">
        <v>3</v>
      </c>
      <c r="B5" s="13">
        <v>0.6</v>
      </c>
      <c r="C5" s="13">
        <v>0.6</v>
      </c>
      <c r="D5" s="13">
        <v>0.6</v>
      </c>
      <c r="E5" s="23">
        <f>A5*(B5+0.2)*(C5+0.2)*D5</f>
        <v>1.1520000000000001</v>
      </c>
      <c r="G5" s="29" t="s">
        <v>983</v>
      </c>
      <c r="H5" s="24"/>
      <c r="I5" s="24"/>
      <c r="J5" s="24"/>
      <c r="K5" s="28">
        <v>20.91</v>
      </c>
    </row>
    <row r="6" spans="1:11" x14ac:dyDescent="0.2">
      <c r="A6" s="14"/>
      <c r="B6" s="13"/>
      <c r="C6" s="13"/>
      <c r="D6" s="13"/>
      <c r="E6" s="12"/>
      <c r="G6" s="29" t="s">
        <v>991</v>
      </c>
      <c r="H6" s="24"/>
      <c r="I6" s="24"/>
      <c r="J6" s="24"/>
      <c r="K6" s="28"/>
    </row>
    <row r="7" spans="1:11" x14ac:dyDescent="0.2">
      <c r="A7" s="14" t="s">
        <v>969</v>
      </c>
      <c r="B7" s="13"/>
      <c r="C7" s="13"/>
      <c r="D7" s="13"/>
      <c r="E7" s="12"/>
      <c r="G7" s="29" t="s">
        <v>1000</v>
      </c>
      <c r="H7" s="24">
        <v>0.15</v>
      </c>
      <c r="I7" s="24">
        <v>0.55000000000000004</v>
      </c>
      <c r="J7" s="24">
        <v>3.7</v>
      </c>
      <c r="K7" s="28">
        <f t="shared" ref="K7:K17" si="0">2*J7*H7+2*J7*I7</f>
        <v>5.1800000000000006</v>
      </c>
    </row>
    <row r="8" spans="1:11" x14ac:dyDescent="0.2">
      <c r="A8" s="14" t="s">
        <v>959</v>
      </c>
      <c r="B8" s="13" t="s">
        <v>953</v>
      </c>
      <c r="C8" s="13" t="s">
        <v>965</v>
      </c>
      <c r="D8" s="13" t="s">
        <v>967</v>
      </c>
      <c r="E8" s="12" t="s">
        <v>12</v>
      </c>
      <c r="G8" s="29" t="s">
        <v>990</v>
      </c>
      <c r="H8" s="24">
        <v>0.2</v>
      </c>
      <c r="I8" s="24">
        <v>0.4</v>
      </c>
      <c r="J8" s="24">
        <v>3.7</v>
      </c>
      <c r="K8" s="28">
        <f t="shared" si="0"/>
        <v>4.4400000000000004</v>
      </c>
    </row>
    <row r="9" spans="1:11" ht="15" x14ac:dyDescent="0.25">
      <c r="A9" s="14">
        <v>3</v>
      </c>
      <c r="B9" s="13">
        <v>0.6</v>
      </c>
      <c r="C9" s="13">
        <v>0.6</v>
      </c>
      <c r="D9" s="13">
        <v>0.6</v>
      </c>
      <c r="E9" s="23">
        <f>PRODUCT(A9:D9)</f>
        <v>0.64799999999999991</v>
      </c>
      <c r="G9" s="29" t="s">
        <v>1010</v>
      </c>
      <c r="H9" s="24">
        <v>0.2</v>
      </c>
      <c r="I9" s="24">
        <v>0.4</v>
      </c>
      <c r="J9" s="24">
        <v>3.7</v>
      </c>
      <c r="K9" s="28">
        <f t="shared" si="0"/>
        <v>4.4400000000000004</v>
      </c>
    </row>
    <row r="10" spans="1:11" x14ac:dyDescent="0.2">
      <c r="A10" s="14"/>
      <c r="B10" s="13"/>
      <c r="C10" s="13"/>
      <c r="D10" s="13"/>
      <c r="E10" s="12"/>
      <c r="G10" s="29" t="s">
        <v>1009</v>
      </c>
      <c r="H10" s="24">
        <v>0.2</v>
      </c>
      <c r="I10" s="24">
        <v>0.4</v>
      </c>
      <c r="J10" s="24">
        <v>3.7</v>
      </c>
      <c r="K10" s="28">
        <f t="shared" si="0"/>
        <v>4.4400000000000004</v>
      </c>
    </row>
    <row r="11" spans="1:11" x14ac:dyDescent="0.2">
      <c r="A11" s="14" t="s">
        <v>968</v>
      </c>
      <c r="B11" s="13"/>
      <c r="C11" s="13"/>
      <c r="D11" s="13"/>
      <c r="E11" s="12"/>
      <c r="G11" s="29" t="s">
        <v>1008</v>
      </c>
      <c r="H11" s="24">
        <v>0.2</v>
      </c>
      <c r="I11" s="24">
        <v>0.3</v>
      </c>
      <c r="J11" s="24">
        <v>3.7</v>
      </c>
      <c r="K11" s="28">
        <f t="shared" si="0"/>
        <v>3.7</v>
      </c>
    </row>
    <row r="12" spans="1:11" ht="13.15" customHeight="1" x14ac:dyDescent="0.2">
      <c r="A12" s="14" t="s">
        <v>959</v>
      </c>
      <c r="B12" s="13" t="s">
        <v>953</v>
      </c>
      <c r="C12" s="13" t="s">
        <v>965</v>
      </c>
      <c r="D12" s="13" t="s">
        <v>967</v>
      </c>
      <c r="E12" s="12" t="s">
        <v>12</v>
      </c>
      <c r="G12" s="29" t="s">
        <v>989</v>
      </c>
      <c r="H12" s="24">
        <v>0.2</v>
      </c>
      <c r="I12" s="24">
        <v>0.4</v>
      </c>
      <c r="J12" s="24">
        <v>3.7</v>
      </c>
      <c r="K12" s="28">
        <f t="shared" si="0"/>
        <v>4.4400000000000004</v>
      </c>
    </row>
    <row r="13" spans="1:11" ht="13.15" customHeight="1" thickBot="1" x14ac:dyDescent="0.3">
      <c r="A13" s="22">
        <v>3</v>
      </c>
      <c r="B13" s="21">
        <v>0.6</v>
      </c>
      <c r="C13" s="21">
        <v>0.6</v>
      </c>
      <c r="D13" s="21">
        <v>0.05</v>
      </c>
      <c r="E13" s="20">
        <f>PRODUCT(A13:D13)</f>
        <v>5.3999999999999992E-2</v>
      </c>
      <c r="G13" s="29" t="s">
        <v>1007</v>
      </c>
      <c r="H13" s="24">
        <v>0.2</v>
      </c>
      <c r="I13" s="24">
        <v>0.4</v>
      </c>
      <c r="J13" s="24">
        <v>3.7</v>
      </c>
      <c r="K13" s="28">
        <f t="shared" si="0"/>
        <v>4.4400000000000004</v>
      </c>
    </row>
    <row r="14" spans="1:11" s="16" customFormat="1" x14ac:dyDescent="0.2">
      <c r="A14" s="19" t="s">
        <v>970</v>
      </c>
      <c r="B14" s="18"/>
      <c r="C14" s="18"/>
      <c r="D14" s="18"/>
      <c r="E14" s="17"/>
      <c r="F14" s="65"/>
      <c r="G14" s="29" t="s">
        <v>1006</v>
      </c>
      <c r="H14" s="24">
        <v>0.15</v>
      </c>
      <c r="I14" s="24">
        <v>0.3</v>
      </c>
      <c r="J14" s="24">
        <v>3.7</v>
      </c>
      <c r="K14" s="28">
        <f t="shared" si="0"/>
        <v>3.33</v>
      </c>
    </row>
    <row r="15" spans="1:11" ht="15" x14ac:dyDescent="0.25">
      <c r="A15" s="15" t="s">
        <v>71</v>
      </c>
      <c r="B15" s="13"/>
      <c r="C15" s="13"/>
      <c r="D15" s="13"/>
      <c r="E15" s="12"/>
      <c r="G15" s="29" t="s">
        <v>988</v>
      </c>
      <c r="H15" s="24">
        <v>0.18</v>
      </c>
      <c r="I15" s="24">
        <v>0.3</v>
      </c>
      <c r="J15" s="24">
        <v>3.7</v>
      </c>
      <c r="K15" s="28">
        <f t="shared" si="0"/>
        <v>3.5520000000000005</v>
      </c>
    </row>
    <row r="16" spans="1:11" x14ac:dyDescent="0.2">
      <c r="A16" s="14" t="s">
        <v>966</v>
      </c>
      <c r="B16" s="13" t="s">
        <v>953</v>
      </c>
      <c r="C16" s="13" t="s">
        <v>965</v>
      </c>
      <c r="D16" s="13" t="s">
        <v>964</v>
      </c>
      <c r="E16" s="12" t="s">
        <v>12</v>
      </c>
      <c r="G16" s="29" t="s">
        <v>997</v>
      </c>
      <c r="H16" s="24">
        <v>0.15</v>
      </c>
      <c r="I16" s="24">
        <v>0.25</v>
      </c>
      <c r="J16" s="24">
        <v>3.7</v>
      </c>
      <c r="K16" s="28">
        <f t="shared" si="0"/>
        <v>2.96</v>
      </c>
    </row>
    <row r="17" spans="1:11" x14ac:dyDescent="0.2">
      <c r="A17" s="14" t="s">
        <v>963</v>
      </c>
      <c r="B17" s="13">
        <v>8</v>
      </c>
      <c r="C17" s="13">
        <v>0.15</v>
      </c>
      <c r="D17" s="13">
        <v>0.4</v>
      </c>
      <c r="E17" s="12">
        <f>B17*(C17+0.2)*(D17+0.2)</f>
        <v>1.6800000000000002</v>
      </c>
      <c r="G17" s="29" t="s">
        <v>993</v>
      </c>
      <c r="H17" s="24">
        <v>0.15</v>
      </c>
      <c r="I17" s="24">
        <v>0.25</v>
      </c>
      <c r="J17" s="24">
        <v>3.7</v>
      </c>
      <c r="K17" s="28">
        <f t="shared" si="0"/>
        <v>2.96</v>
      </c>
    </row>
    <row r="18" spans="1:11" x14ac:dyDescent="0.2">
      <c r="A18" s="14" t="s">
        <v>962</v>
      </c>
      <c r="B18" s="13">
        <v>4</v>
      </c>
      <c r="C18" s="13">
        <v>0.15</v>
      </c>
      <c r="D18" s="13">
        <v>0.4</v>
      </c>
      <c r="E18" s="12">
        <f>B18*(C18+0.2)*(D18+0.2)</f>
        <v>0.84000000000000008</v>
      </c>
      <c r="G18" s="29" t="s">
        <v>1005</v>
      </c>
      <c r="H18" s="24"/>
      <c r="I18" s="24"/>
      <c r="J18" s="24"/>
      <c r="K18" s="28"/>
    </row>
    <row r="19" spans="1:11" ht="15" x14ac:dyDescent="0.25">
      <c r="A19" s="14"/>
      <c r="B19" s="13"/>
      <c r="C19" s="13"/>
      <c r="D19" s="13"/>
      <c r="E19" s="23">
        <f>SUM(E17:E18)</f>
        <v>2.5200000000000005</v>
      </c>
      <c r="G19" s="29" t="s">
        <v>1004</v>
      </c>
      <c r="H19" s="24">
        <v>0.15</v>
      </c>
      <c r="I19" s="24">
        <v>0.3</v>
      </c>
      <c r="J19" s="24">
        <v>2</v>
      </c>
      <c r="K19" s="28">
        <f t="shared" ref="K19:K31" si="1">2*J19*H19+2*J19*I19</f>
        <v>1.7999999999999998</v>
      </c>
    </row>
    <row r="20" spans="1:11" x14ac:dyDescent="0.2">
      <c r="A20" s="14"/>
      <c r="B20" s="13"/>
      <c r="C20" s="13"/>
      <c r="D20" s="13"/>
      <c r="E20" s="12"/>
      <c r="G20" s="29" t="s">
        <v>1003</v>
      </c>
      <c r="H20" s="24">
        <v>0.15</v>
      </c>
      <c r="I20" s="24">
        <v>0.3</v>
      </c>
      <c r="J20" s="24">
        <v>2</v>
      </c>
      <c r="K20" s="28">
        <f t="shared" si="1"/>
        <v>1.7999999999999998</v>
      </c>
    </row>
    <row r="21" spans="1:11" ht="15" x14ac:dyDescent="0.25">
      <c r="A21" s="15" t="s">
        <v>969</v>
      </c>
      <c r="B21" s="13"/>
      <c r="C21" s="13"/>
      <c r="D21" s="13"/>
      <c r="E21" s="12"/>
      <c r="G21" s="29" t="s">
        <v>1002</v>
      </c>
      <c r="H21" s="24">
        <v>0.15</v>
      </c>
      <c r="I21" s="24">
        <v>0.3</v>
      </c>
      <c r="J21" s="24">
        <v>2</v>
      </c>
      <c r="K21" s="28">
        <f t="shared" si="1"/>
        <v>1.7999999999999998</v>
      </c>
    </row>
    <row r="22" spans="1:11" x14ac:dyDescent="0.2">
      <c r="A22" s="14" t="s">
        <v>966</v>
      </c>
      <c r="B22" s="13" t="s">
        <v>953</v>
      </c>
      <c r="C22" s="13" t="s">
        <v>965</v>
      </c>
      <c r="D22" s="13" t="s">
        <v>964</v>
      </c>
      <c r="E22" s="12" t="s">
        <v>12</v>
      </c>
      <c r="G22" s="29" t="s">
        <v>1001</v>
      </c>
      <c r="H22" s="24">
        <v>0.15</v>
      </c>
      <c r="I22" s="24">
        <v>0.3</v>
      </c>
      <c r="J22" s="24">
        <v>2</v>
      </c>
      <c r="K22" s="28">
        <f t="shared" si="1"/>
        <v>1.7999999999999998</v>
      </c>
    </row>
    <row r="23" spans="1:11" x14ac:dyDescent="0.2">
      <c r="A23" s="14" t="s">
        <v>963</v>
      </c>
      <c r="B23" s="13">
        <v>8</v>
      </c>
      <c r="C23" s="13">
        <v>0.15</v>
      </c>
      <c r="D23" s="13">
        <v>0.4</v>
      </c>
      <c r="E23" s="12">
        <f>PRODUCT(B23:D23)</f>
        <v>0.48</v>
      </c>
      <c r="G23" s="29" t="s">
        <v>1000</v>
      </c>
      <c r="H23" s="24">
        <v>0.15</v>
      </c>
      <c r="I23" s="24">
        <v>0.55000000000000004</v>
      </c>
      <c r="J23" s="24">
        <v>2</v>
      </c>
      <c r="K23" s="28">
        <f t="shared" si="1"/>
        <v>2.8000000000000003</v>
      </c>
    </row>
    <row r="24" spans="1:11" x14ac:dyDescent="0.2">
      <c r="A24" s="14" t="s">
        <v>962</v>
      </c>
      <c r="B24" s="13">
        <v>4</v>
      </c>
      <c r="C24" s="13">
        <v>0.15</v>
      </c>
      <c r="D24" s="13">
        <v>0.4</v>
      </c>
      <c r="E24" s="12">
        <f>PRODUCT(B24:D24)</f>
        <v>0.24</v>
      </c>
      <c r="G24" s="29" t="s">
        <v>990</v>
      </c>
      <c r="H24" s="24">
        <v>0.2</v>
      </c>
      <c r="I24" s="24">
        <v>0.4</v>
      </c>
      <c r="J24" s="24">
        <v>2</v>
      </c>
      <c r="K24" s="28">
        <f t="shared" si="1"/>
        <v>2.4000000000000004</v>
      </c>
    </row>
    <row r="25" spans="1:11" ht="15" x14ac:dyDescent="0.25">
      <c r="A25" s="14"/>
      <c r="B25" s="13"/>
      <c r="C25" s="13"/>
      <c r="D25" s="13"/>
      <c r="E25" s="23">
        <f>SUM(E23:E24)</f>
        <v>0.72</v>
      </c>
      <c r="G25" s="29" t="s">
        <v>999</v>
      </c>
      <c r="H25" s="24">
        <v>0.2</v>
      </c>
      <c r="I25" s="24">
        <v>0.4</v>
      </c>
      <c r="J25" s="24">
        <v>2</v>
      </c>
      <c r="K25" s="28">
        <f t="shared" si="1"/>
        <v>2.4000000000000004</v>
      </c>
    </row>
    <row r="26" spans="1:11" x14ac:dyDescent="0.2">
      <c r="A26" s="14"/>
      <c r="B26" s="13"/>
      <c r="C26" s="13"/>
      <c r="D26" s="13"/>
      <c r="E26" s="12"/>
      <c r="G26" s="29" t="s">
        <v>998</v>
      </c>
      <c r="H26" s="24">
        <v>0.15</v>
      </c>
      <c r="I26" s="24">
        <v>0.3</v>
      </c>
      <c r="J26" s="24">
        <v>2</v>
      </c>
      <c r="K26" s="28">
        <f t="shared" si="1"/>
        <v>1.7999999999999998</v>
      </c>
    </row>
    <row r="27" spans="1:11" ht="15" x14ac:dyDescent="0.25">
      <c r="A27" s="15" t="s">
        <v>968</v>
      </c>
      <c r="B27" s="13"/>
      <c r="C27" s="13"/>
      <c r="D27" s="13"/>
      <c r="E27" s="12"/>
      <c r="G27" s="29" t="s">
        <v>997</v>
      </c>
      <c r="H27" s="24">
        <v>0.15</v>
      </c>
      <c r="I27" s="24">
        <v>0.25</v>
      </c>
      <c r="J27" s="24">
        <v>2</v>
      </c>
      <c r="K27" s="28">
        <f t="shared" si="1"/>
        <v>1.6</v>
      </c>
    </row>
    <row r="28" spans="1:11" x14ac:dyDescent="0.2">
      <c r="A28" s="14" t="s">
        <v>966</v>
      </c>
      <c r="B28" s="13" t="s">
        <v>953</v>
      </c>
      <c r="C28" s="13" t="s">
        <v>965</v>
      </c>
      <c r="D28" s="13" t="s">
        <v>967</v>
      </c>
      <c r="E28" s="12" t="s">
        <v>12</v>
      </c>
      <c r="G28" s="29" t="s">
        <v>996</v>
      </c>
      <c r="H28" s="24">
        <v>0.15</v>
      </c>
      <c r="I28" s="24">
        <v>0.3</v>
      </c>
      <c r="J28" s="24">
        <v>2</v>
      </c>
      <c r="K28" s="28">
        <f t="shared" si="1"/>
        <v>1.7999999999999998</v>
      </c>
    </row>
    <row r="29" spans="1:11" x14ac:dyDescent="0.2">
      <c r="A29" s="14" t="s">
        <v>963</v>
      </c>
      <c r="B29" s="13">
        <v>8</v>
      </c>
      <c r="C29" s="13">
        <v>0.15</v>
      </c>
      <c r="D29" s="24">
        <v>0.05</v>
      </c>
      <c r="E29" s="12">
        <f>PRODUCT(B29:D29)</f>
        <v>0.06</v>
      </c>
      <c r="G29" s="29" t="s">
        <v>995</v>
      </c>
      <c r="H29" s="24">
        <v>0.15</v>
      </c>
      <c r="I29" s="24">
        <v>0.3</v>
      </c>
      <c r="J29" s="24">
        <v>2</v>
      </c>
      <c r="K29" s="28">
        <f t="shared" si="1"/>
        <v>1.7999999999999998</v>
      </c>
    </row>
    <row r="30" spans="1:11" x14ac:dyDescent="0.2">
      <c r="A30" s="14" t="s">
        <v>962</v>
      </c>
      <c r="B30" s="13">
        <v>4</v>
      </c>
      <c r="C30" s="13">
        <v>0.15</v>
      </c>
      <c r="D30" s="24">
        <v>0.05</v>
      </c>
      <c r="E30" s="12">
        <f>PRODUCT(B30:D30)</f>
        <v>0.03</v>
      </c>
      <c r="G30" s="29" t="s">
        <v>994</v>
      </c>
      <c r="H30" s="24">
        <v>0.15</v>
      </c>
      <c r="I30" s="24">
        <v>0.3</v>
      </c>
      <c r="J30" s="24">
        <v>2</v>
      </c>
      <c r="K30" s="28">
        <f t="shared" si="1"/>
        <v>1.7999999999999998</v>
      </c>
    </row>
    <row r="31" spans="1:11" ht="15" x14ac:dyDescent="0.25">
      <c r="A31" s="14"/>
      <c r="B31" s="13"/>
      <c r="C31" s="13"/>
      <c r="D31" s="24"/>
      <c r="E31" s="23">
        <f>SUM(E29:E30)</f>
        <v>0.09</v>
      </c>
      <c r="G31" s="29" t="s">
        <v>993</v>
      </c>
      <c r="H31" s="24">
        <v>0.15</v>
      </c>
      <c r="I31" s="24">
        <v>0.25</v>
      </c>
      <c r="J31" s="24">
        <v>2</v>
      </c>
      <c r="K31" s="28">
        <f t="shared" si="1"/>
        <v>1.6</v>
      </c>
    </row>
    <row r="32" spans="1:11" ht="15" x14ac:dyDescent="0.25">
      <c r="A32" s="14"/>
      <c r="B32" s="13"/>
      <c r="C32" s="13"/>
      <c r="D32" s="13"/>
      <c r="E32" s="12"/>
      <c r="G32" s="29"/>
      <c r="H32" s="24"/>
      <c r="I32" s="24"/>
      <c r="J32" s="24"/>
      <c r="K32" s="34">
        <f>SUM(K5:K31)</f>
        <v>89.991999999999962</v>
      </c>
    </row>
    <row r="33" spans="1:11" ht="15" x14ac:dyDescent="0.25">
      <c r="A33" s="15" t="s">
        <v>566</v>
      </c>
      <c r="B33" s="13"/>
      <c r="C33" s="13"/>
      <c r="D33" s="13"/>
      <c r="E33" s="12"/>
      <c r="G33" s="29"/>
      <c r="H33" s="24"/>
      <c r="I33" s="24"/>
      <c r="J33" s="24"/>
      <c r="K33" s="28"/>
    </row>
    <row r="34" spans="1:11" ht="15" x14ac:dyDescent="0.25">
      <c r="A34" s="14" t="s">
        <v>966</v>
      </c>
      <c r="B34" s="13" t="s">
        <v>965</v>
      </c>
      <c r="C34" s="13" t="s">
        <v>964</v>
      </c>
      <c r="D34" s="13" t="s">
        <v>953</v>
      </c>
      <c r="E34" s="12" t="s">
        <v>12</v>
      </c>
      <c r="G34" s="32" t="s">
        <v>1014</v>
      </c>
      <c r="H34" s="24"/>
      <c r="I34" s="24"/>
      <c r="J34" s="24"/>
      <c r="K34" s="28"/>
    </row>
    <row r="35" spans="1:11" x14ac:dyDescent="0.2">
      <c r="A35" s="14" t="s">
        <v>963</v>
      </c>
      <c r="B35" s="13">
        <v>0.15</v>
      </c>
      <c r="C35" s="13">
        <v>0.4</v>
      </c>
      <c r="D35" s="13">
        <v>8</v>
      </c>
      <c r="E35" s="12">
        <f>(2*C35*D35)+B35*D35</f>
        <v>7.6000000000000005</v>
      </c>
      <c r="G35" s="29" t="s">
        <v>985</v>
      </c>
      <c r="H35" s="146" t="s">
        <v>1013</v>
      </c>
      <c r="I35" s="146"/>
      <c r="J35" s="24" t="s">
        <v>964</v>
      </c>
      <c r="K35" s="28" t="s">
        <v>12</v>
      </c>
    </row>
    <row r="36" spans="1:11" x14ac:dyDescent="0.2">
      <c r="A36" s="14" t="s">
        <v>962</v>
      </c>
      <c r="B36" s="13">
        <v>0.15</v>
      </c>
      <c r="C36" s="13">
        <v>0.4</v>
      </c>
      <c r="D36" s="13">
        <v>4</v>
      </c>
      <c r="E36" s="12">
        <f>(2*C36*D36)+B36*D36</f>
        <v>3.8000000000000003</v>
      </c>
      <c r="G36" s="29" t="s">
        <v>983</v>
      </c>
      <c r="H36" s="24"/>
      <c r="I36" s="24"/>
      <c r="J36" s="24"/>
      <c r="K36" s="28">
        <v>1.29</v>
      </c>
    </row>
    <row r="37" spans="1:11" ht="15.75" thickBot="1" x14ac:dyDescent="0.3">
      <c r="A37" s="22"/>
      <c r="B37" s="21"/>
      <c r="C37" s="21"/>
      <c r="D37" s="21"/>
      <c r="E37" s="20">
        <f>SUM(E35:E36)</f>
        <v>11.4</v>
      </c>
      <c r="G37" s="29" t="s">
        <v>991</v>
      </c>
      <c r="H37" s="24"/>
      <c r="I37" s="24"/>
      <c r="J37" s="24"/>
      <c r="K37" s="28"/>
    </row>
    <row r="38" spans="1:11" s="16" customFormat="1" x14ac:dyDescent="0.2">
      <c r="A38" s="19" t="s">
        <v>961</v>
      </c>
      <c r="B38" s="18"/>
      <c r="C38" s="18"/>
      <c r="D38" s="18"/>
      <c r="E38" s="17"/>
      <c r="F38" s="65"/>
      <c r="G38" s="29" t="s">
        <v>1000</v>
      </c>
      <c r="H38" s="24">
        <v>0.15</v>
      </c>
      <c r="I38" s="24">
        <v>0.55000000000000004</v>
      </c>
      <c r="J38" s="24">
        <v>3.7</v>
      </c>
      <c r="K38" s="28">
        <f t="shared" ref="K38:K48" si="2">PRODUCT(H38:J38)</f>
        <v>0.30525000000000002</v>
      </c>
    </row>
    <row r="39" spans="1:11" ht="15" x14ac:dyDescent="0.25">
      <c r="A39" s="15" t="s">
        <v>960</v>
      </c>
      <c r="B39" s="13"/>
      <c r="C39" s="13"/>
      <c r="D39" s="13"/>
      <c r="E39" s="12"/>
      <c r="G39" s="29" t="s">
        <v>990</v>
      </c>
      <c r="H39" s="24">
        <v>0.2</v>
      </c>
      <c r="I39" s="24">
        <v>0.4</v>
      </c>
      <c r="J39" s="24"/>
      <c r="K39" s="28">
        <f t="shared" si="2"/>
        <v>8.0000000000000016E-2</v>
      </c>
    </row>
    <row r="40" spans="1:11" x14ac:dyDescent="0.2">
      <c r="A40" s="14" t="s">
        <v>959</v>
      </c>
      <c r="B40" s="13" t="s">
        <v>953</v>
      </c>
      <c r="C40" s="13" t="s">
        <v>958</v>
      </c>
      <c r="D40" s="13" t="s">
        <v>12</v>
      </c>
      <c r="E40" s="12"/>
      <c r="G40" s="29" t="s">
        <v>1010</v>
      </c>
      <c r="H40" s="24">
        <v>0.2</v>
      </c>
      <c r="I40" s="24">
        <v>0.4</v>
      </c>
      <c r="J40" s="24">
        <v>3.7</v>
      </c>
      <c r="K40" s="28">
        <f t="shared" si="2"/>
        <v>0.2960000000000001</v>
      </c>
    </row>
    <row r="41" spans="1:11" x14ac:dyDescent="0.2">
      <c r="A41" s="14">
        <v>3</v>
      </c>
      <c r="B41" s="13">
        <v>6</v>
      </c>
      <c r="C41" s="13">
        <v>0.3</v>
      </c>
      <c r="D41" s="13">
        <f>PI()*C41^2*B41*A41</f>
        <v>5.0893800988154654</v>
      </c>
      <c r="E41" s="12"/>
      <c r="G41" s="29" t="s">
        <v>1009</v>
      </c>
      <c r="H41" s="24">
        <v>0.2</v>
      </c>
      <c r="I41" s="24">
        <v>0.4</v>
      </c>
      <c r="J41" s="24">
        <v>3.7</v>
      </c>
      <c r="K41" s="28">
        <f t="shared" si="2"/>
        <v>0.2960000000000001</v>
      </c>
    </row>
    <row r="42" spans="1:11" x14ac:dyDescent="0.2">
      <c r="A42" s="14"/>
      <c r="B42" s="13"/>
      <c r="C42" s="13"/>
      <c r="D42" s="13"/>
      <c r="E42" s="12"/>
      <c r="G42" s="29" t="s">
        <v>1008</v>
      </c>
      <c r="H42" s="24">
        <v>0.2</v>
      </c>
      <c r="I42" s="24">
        <v>0.3</v>
      </c>
      <c r="J42" s="24">
        <v>3.7</v>
      </c>
      <c r="K42" s="28">
        <f t="shared" si="2"/>
        <v>0.222</v>
      </c>
    </row>
    <row r="43" spans="1:11" ht="15" x14ac:dyDescent="0.25">
      <c r="A43" s="15" t="s">
        <v>957</v>
      </c>
      <c r="B43" s="13"/>
      <c r="C43" s="13"/>
      <c r="D43" s="13"/>
      <c r="E43" s="12"/>
      <c r="G43" s="29" t="s">
        <v>989</v>
      </c>
      <c r="H43" s="24">
        <v>0.2</v>
      </c>
      <c r="I43" s="24">
        <v>0.4</v>
      </c>
      <c r="J43" s="24">
        <v>3.7</v>
      </c>
      <c r="K43" s="28">
        <f t="shared" si="2"/>
        <v>0.2960000000000001</v>
      </c>
    </row>
    <row r="44" spans="1:11" x14ac:dyDescent="0.2">
      <c r="A44" s="14" t="s">
        <v>954</v>
      </c>
      <c r="B44" s="13" t="s">
        <v>956</v>
      </c>
      <c r="C44" s="13" t="s">
        <v>952</v>
      </c>
      <c r="D44" s="13" t="s">
        <v>12</v>
      </c>
      <c r="E44" s="12"/>
      <c r="G44" s="29" t="s">
        <v>1007</v>
      </c>
      <c r="H44" s="24">
        <v>0.2</v>
      </c>
      <c r="I44" s="24">
        <v>0.4</v>
      </c>
      <c r="J44" s="24">
        <v>3.7</v>
      </c>
      <c r="K44" s="28">
        <f t="shared" si="2"/>
        <v>0.2960000000000001</v>
      </c>
    </row>
    <row r="45" spans="1:11" x14ac:dyDescent="0.2">
      <c r="A45" s="14">
        <v>18</v>
      </c>
      <c r="B45" s="13">
        <v>6</v>
      </c>
      <c r="C45" s="13">
        <v>0.61699999999999999</v>
      </c>
      <c r="D45" s="13">
        <f>PRODUCT(A45:C45)</f>
        <v>66.635999999999996</v>
      </c>
      <c r="E45" s="12"/>
      <c r="G45" s="29" t="s">
        <v>1006</v>
      </c>
      <c r="H45" s="24">
        <v>0.15</v>
      </c>
      <c r="I45" s="24">
        <v>0.3</v>
      </c>
      <c r="J45" s="24">
        <v>3.7</v>
      </c>
      <c r="K45" s="28">
        <f t="shared" si="2"/>
        <v>0.16650000000000001</v>
      </c>
    </row>
    <row r="46" spans="1:11" x14ac:dyDescent="0.2">
      <c r="A46" s="14"/>
      <c r="B46" s="13"/>
      <c r="C46" s="13"/>
      <c r="D46" s="13"/>
      <c r="E46" s="12"/>
      <c r="G46" s="29" t="s">
        <v>988</v>
      </c>
      <c r="H46" s="24">
        <v>0.18</v>
      </c>
      <c r="I46" s="24">
        <v>0.3</v>
      </c>
      <c r="J46" s="24">
        <v>3.7</v>
      </c>
      <c r="K46" s="28">
        <f t="shared" si="2"/>
        <v>0.19980000000000001</v>
      </c>
    </row>
    <row r="47" spans="1:11" ht="15" x14ac:dyDescent="0.25">
      <c r="A47" s="15" t="s">
        <v>955</v>
      </c>
      <c r="B47" s="13"/>
      <c r="C47" s="13"/>
      <c r="D47" s="13"/>
      <c r="E47" s="12"/>
      <c r="G47" s="29" t="s">
        <v>997</v>
      </c>
      <c r="H47" s="24">
        <v>0.15</v>
      </c>
      <c r="I47" s="24">
        <v>0.25</v>
      </c>
      <c r="J47" s="24">
        <v>3.7</v>
      </c>
      <c r="K47" s="28">
        <f t="shared" si="2"/>
        <v>0.13875000000000001</v>
      </c>
    </row>
    <row r="48" spans="1:11" x14ac:dyDescent="0.2">
      <c r="A48" s="14" t="s">
        <v>954</v>
      </c>
      <c r="B48" s="13" t="s">
        <v>953</v>
      </c>
      <c r="C48" s="13" t="s">
        <v>952</v>
      </c>
      <c r="D48" s="13" t="s">
        <v>12</v>
      </c>
      <c r="E48" s="12"/>
      <c r="G48" s="29" t="s">
        <v>993</v>
      </c>
      <c r="H48" s="24">
        <v>0.15</v>
      </c>
      <c r="I48" s="24">
        <v>0.25</v>
      </c>
      <c r="J48" s="24">
        <v>3.7</v>
      </c>
      <c r="K48" s="28">
        <f t="shared" si="2"/>
        <v>0.13875000000000001</v>
      </c>
    </row>
    <row r="49" spans="1:11" ht="15" thickBot="1" x14ac:dyDescent="0.25">
      <c r="A49" s="11">
        <v>60</v>
      </c>
      <c r="B49" s="10">
        <v>0.8</v>
      </c>
      <c r="C49" s="10">
        <v>0.154</v>
      </c>
      <c r="D49" s="10">
        <f>PRODUCT(A49:C49)</f>
        <v>7.3919999999999995</v>
      </c>
      <c r="E49" s="9"/>
      <c r="G49" s="29" t="s">
        <v>1005</v>
      </c>
      <c r="H49" s="24"/>
      <c r="I49" s="24"/>
      <c r="J49" s="24"/>
      <c r="K49" s="28"/>
    </row>
    <row r="50" spans="1:11" x14ac:dyDescent="0.2">
      <c r="G50" s="29" t="s">
        <v>1004</v>
      </c>
      <c r="H50" s="24">
        <v>0.15</v>
      </c>
      <c r="I50" s="24">
        <v>0.3</v>
      </c>
      <c r="J50" s="24">
        <v>2</v>
      </c>
      <c r="K50" s="28">
        <f t="shared" ref="K50:K62" si="3">PRODUCT(H50:J50)</f>
        <v>0.09</v>
      </c>
    </row>
    <row r="51" spans="1:11" x14ac:dyDescent="0.2">
      <c r="G51" s="29" t="s">
        <v>1003</v>
      </c>
      <c r="H51" s="24">
        <v>0.15</v>
      </c>
      <c r="I51" s="24">
        <v>0.3</v>
      </c>
      <c r="J51" s="24">
        <v>2</v>
      </c>
      <c r="K51" s="28">
        <f t="shared" si="3"/>
        <v>0.09</v>
      </c>
    </row>
    <row r="52" spans="1:11" x14ac:dyDescent="0.2">
      <c r="G52" s="29" t="s">
        <v>1002</v>
      </c>
      <c r="H52" s="24">
        <v>0.15</v>
      </c>
      <c r="I52" s="24">
        <v>0.3</v>
      </c>
      <c r="J52" s="24">
        <v>2</v>
      </c>
      <c r="K52" s="28">
        <f t="shared" si="3"/>
        <v>0.09</v>
      </c>
    </row>
    <row r="53" spans="1:11" x14ac:dyDescent="0.2">
      <c r="G53" s="29" t="s">
        <v>1001</v>
      </c>
      <c r="H53" s="24">
        <v>0.15</v>
      </c>
      <c r="I53" s="24">
        <v>0.3</v>
      </c>
      <c r="J53" s="24">
        <v>2</v>
      </c>
      <c r="K53" s="28">
        <f t="shared" si="3"/>
        <v>0.09</v>
      </c>
    </row>
    <row r="54" spans="1:11" x14ac:dyDescent="0.2">
      <c r="G54" s="29" t="s">
        <v>1000</v>
      </c>
      <c r="H54" s="24">
        <v>0.15</v>
      </c>
      <c r="I54" s="24">
        <v>0.55000000000000004</v>
      </c>
      <c r="J54" s="24">
        <v>2</v>
      </c>
      <c r="K54" s="28">
        <f t="shared" si="3"/>
        <v>0.16500000000000001</v>
      </c>
    </row>
    <row r="55" spans="1:11" x14ac:dyDescent="0.2">
      <c r="G55" s="29" t="s">
        <v>990</v>
      </c>
      <c r="H55" s="24">
        <v>0.2</v>
      </c>
      <c r="I55" s="24">
        <v>0.4</v>
      </c>
      <c r="J55" s="24">
        <v>2</v>
      </c>
      <c r="K55" s="28">
        <f t="shared" si="3"/>
        <v>0.16000000000000003</v>
      </c>
    </row>
    <row r="56" spans="1:11" x14ac:dyDescent="0.2">
      <c r="G56" s="29" t="s">
        <v>999</v>
      </c>
      <c r="H56" s="24">
        <v>0.2</v>
      </c>
      <c r="I56" s="24">
        <v>0.4</v>
      </c>
      <c r="J56" s="24">
        <v>2</v>
      </c>
      <c r="K56" s="28">
        <f t="shared" si="3"/>
        <v>0.16000000000000003</v>
      </c>
    </row>
    <row r="57" spans="1:11" x14ac:dyDescent="0.2">
      <c r="G57" s="29" t="s">
        <v>998</v>
      </c>
      <c r="H57" s="24">
        <v>0.15</v>
      </c>
      <c r="I57" s="24">
        <v>0.3</v>
      </c>
      <c r="J57" s="24">
        <v>2</v>
      </c>
      <c r="K57" s="28">
        <f t="shared" si="3"/>
        <v>0.09</v>
      </c>
    </row>
    <row r="58" spans="1:11" x14ac:dyDescent="0.2">
      <c r="G58" s="29" t="s">
        <v>997</v>
      </c>
      <c r="H58" s="24">
        <v>0.15</v>
      </c>
      <c r="I58" s="24">
        <v>0.25</v>
      </c>
      <c r="J58" s="24">
        <v>2</v>
      </c>
      <c r="K58" s="28">
        <f t="shared" si="3"/>
        <v>7.4999999999999997E-2</v>
      </c>
    </row>
    <row r="59" spans="1:11" x14ac:dyDescent="0.2">
      <c r="G59" s="29" t="s">
        <v>996</v>
      </c>
      <c r="H59" s="24">
        <v>0.15</v>
      </c>
      <c r="I59" s="24">
        <v>0.3</v>
      </c>
      <c r="J59" s="24">
        <v>2</v>
      </c>
      <c r="K59" s="28">
        <f t="shared" si="3"/>
        <v>0.09</v>
      </c>
    </row>
    <row r="60" spans="1:11" x14ac:dyDescent="0.2">
      <c r="G60" s="29" t="s">
        <v>995</v>
      </c>
      <c r="H60" s="24">
        <v>0.15</v>
      </c>
      <c r="I60" s="24">
        <v>0.3</v>
      </c>
      <c r="J60" s="24">
        <v>2</v>
      </c>
      <c r="K60" s="28">
        <f t="shared" si="3"/>
        <v>0.09</v>
      </c>
    </row>
    <row r="61" spans="1:11" x14ac:dyDescent="0.2">
      <c r="G61" s="29" t="s">
        <v>994</v>
      </c>
      <c r="H61" s="24">
        <v>0.15</v>
      </c>
      <c r="I61" s="24">
        <v>0.3</v>
      </c>
      <c r="J61" s="24">
        <v>2</v>
      </c>
      <c r="K61" s="28">
        <f t="shared" si="3"/>
        <v>0.09</v>
      </c>
    </row>
    <row r="62" spans="1:11" x14ac:dyDescent="0.2">
      <c r="G62" s="29" t="s">
        <v>993</v>
      </c>
      <c r="H62" s="24">
        <v>0.15</v>
      </c>
      <c r="I62" s="24">
        <v>0.25</v>
      </c>
      <c r="J62" s="24">
        <v>2</v>
      </c>
      <c r="K62" s="28">
        <f t="shared" si="3"/>
        <v>7.4999999999999997E-2</v>
      </c>
    </row>
    <row r="63" spans="1:11" ht="15" x14ac:dyDescent="0.25">
      <c r="G63" s="29"/>
      <c r="H63" s="24"/>
      <c r="I63" s="24"/>
      <c r="J63" s="24"/>
      <c r="K63" s="34">
        <f>SUM(K36:K62)</f>
        <v>5.0800500000000008</v>
      </c>
    </row>
    <row r="64" spans="1:11" x14ac:dyDescent="0.2">
      <c r="G64" s="29"/>
      <c r="H64" s="24"/>
      <c r="I64" s="24"/>
      <c r="J64" s="24"/>
      <c r="K64" s="28"/>
    </row>
    <row r="65" spans="7:11" ht="15" x14ac:dyDescent="0.25">
      <c r="G65" s="32" t="s">
        <v>1012</v>
      </c>
      <c r="H65" s="24"/>
      <c r="I65" s="24"/>
      <c r="J65" s="24"/>
      <c r="K65" s="28"/>
    </row>
    <row r="66" spans="7:11" x14ac:dyDescent="0.2">
      <c r="G66" s="29" t="s">
        <v>985</v>
      </c>
      <c r="H66" s="24" t="s">
        <v>953</v>
      </c>
      <c r="I66" s="24" t="s">
        <v>984</v>
      </c>
      <c r="J66" s="24" t="s">
        <v>12</v>
      </c>
      <c r="K66" s="28"/>
    </row>
    <row r="67" spans="7:11" x14ac:dyDescent="0.2">
      <c r="G67" s="29" t="s">
        <v>983</v>
      </c>
      <c r="H67" s="24"/>
      <c r="I67" s="24"/>
      <c r="J67" s="24">
        <v>32.299999999999997</v>
      </c>
      <c r="K67" s="28"/>
    </row>
    <row r="68" spans="7:11" x14ac:dyDescent="0.2">
      <c r="G68" s="29" t="s">
        <v>991</v>
      </c>
      <c r="H68" s="24"/>
      <c r="I68" s="24"/>
      <c r="J68" s="24"/>
      <c r="K68" s="28"/>
    </row>
    <row r="69" spans="7:11" x14ac:dyDescent="0.2">
      <c r="G69" s="29" t="s">
        <v>1000</v>
      </c>
      <c r="H69" s="24">
        <f>32*1.28+64*0.24</f>
        <v>56.32</v>
      </c>
      <c r="I69" s="13">
        <v>0.154</v>
      </c>
      <c r="J69" s="24">
        <f t="shared" ref="J69:J79" si="4">PRODUCT(H69:I69)</f>
        <v>8.6732800000000001</v>
      </c>
      <c r="K69" s="28"/>
    </row>
    <row r="70" spans="7:11" x14ac:dyDescent="0.2">
      <c r="G70" s="29" t="s">
        <v>990</v>
      </c>
      <c r="H70" s="24">
        <f>40*1.08+40*0.29</f>
        <v>54.800000000000004</v>
      </c>
      <c r="I70" s="13">
        <v>0.154</v>
      </c>
      <c r="J70" s="24">
        <f t="shared" si="4"/>
        <v>8.4392000000000014</v>
      </c>
      <c r="K70" s="28"/>
    </row>
    <row r="71" spans="7:11" x14ac:dyDescent="0.2">
      <c r="G71" s="29" t="s">
        <v>1010</v>
      </c>
      <c r="H71" s="24">
        <f>32*1.08+32*0.29</f>
        <v>43.84</v>
      </c>
      <c r="I71" s="13">
        <v>0.154</v>
      </c>
      <c r="J71" s="24">
        <f t="shared" si="4"/>
        <v>6.75136</v>
      </c>
      <c r="K71" s="28"/>
    </row>
    <row r="72" spans="7:11" x14ac:dyDescent="0.2">
      <c r="G72" s="29" t="s">
        <v>1009</v>
      </c>
      <c r="H72" s="24">
        <f>32*1.08+32*0.29</f>
        <v>43.84</v>
      </c>
      <c r="I72" s="13">
        <v>0.154</v>
      </c>
      <c r="J72" s="24">
        <f t="shared" si="4"/>
        <v>6.75136</v>
      </c>
      <c r="K72" s="28"/>
    </row>
    <row r="73" spans="7:11" x14ac:dyDescent="0.2">
      <c r="G73" s="29" t="s">
        <v>1008</v>
      </c>
      <c r="H73" s="24">
        <f>32*0.88</f>
        <v>28.16</v>
      </c>
      <c r="I73" s="13">
        <v>0.154</v>
      </c>
      <c r="J73" s="24">
        <f t="shared" si="4"/>
        <v>4.3366400000000001</v>
      </c>
      <c r="K73" s="28"/>
    </row>
    <row r="74" spans="7:11" x14ac:dyDescent="0.2">
      <c r="G74" s="29" t="s">
        <v>989</v>
      </c>
      <c r="H74" s="24">
        <f>25*1.08+25*0.29</f>
        <v>34.25</v>
      </c>
      <c r="I74" s="13">
        <v>0.154</v>
      </c>
      <c r="J74" s="24">
        <f t="shared" si="4"/>
        <v>5.2744999999999997</v>
      </c>
      <c r="K74" s="28"/>
    </row>
    <row r="75" spans="7:11" x14ac:dyDescent="0.2">
      <c r="G75" s="29" t="s">
        <v>1007</v>
      </c>
      <c r="H75" s="24">
        <f>32*1.08+32*0.29</f>
        <v>43.84</v>
      </c>
      <c r="I75" s="13">
        <v>0.154</v>
      </c>
      <c r="J75" s="24">
        <f t="shared" si="4"/>
        <v>6.75136</v>
      </c>
      <c r="K75" s="28"/>
    </row>
    <row r="76" spans="7:11" x14ac:dyDescent="0.2">
      <c r="G76" s="29" t="s">
        <v>1006</v>
      </c>
      <c r="H76" s="24">
        <f>32*0.78+32*0.24</f>
        <v>32.64</v>
      </c>
      <c r="I76" s="13">
        <v>0.154</v>
      </c>
      <c r="J76" s="24">
        <f t="shared" si="4"/>
        <v>5.0265599999999999</v>
      </c>
      <c r="K76" s="28"/>
    </row>
    <row r="77" spans="7:11" x14ac:dyDescent="0.2">
      <c r="G77" s="29" t="s">
        <v>988</v>
      </c>
      <c r="H77" s="24">
        <f>25*0.84+25*0.27</f>
        <v>27.75</v>
      </c>
      <c r="I77" s="13">
        <v>0.154</v>
      </c>
      <c r="J77" s="24">
        <f t="shared" si="4"/>
        <v>4.2735000000000003</v>
      </c>
      <c r="K77" s="28"/>
    </row>
    <row r="78" spans="7:11" x14ac:dyDescent="0.2">
      <c r="G78" s="29" t="s">
        <v>997</v>
      </c>
      <c r="H78" s="24">
        <f>30*0.42</f>
        <v>12.6</v>
      </c>
      <c r="I78" s="13">
        <v>0.154</v>
      </c>
      <c r="J78" s="24">
        <f t="shared" si="4"/>
        <v>1.9403999999999999</v>
      </c>
      <c r="K78" s="28"/>
    </row>
    <row r="79" spans="7:11" x14ac:dyDescent="0.2">
      <c r="G79" s="29" t="s">
        <v>993</v>
      </c>
      <c r="H79" s="24">
        <f>30*0.42</f>
        <v>12.6</v>
      </c>
      <c r="I79" s="13">
        <v>0.154</v>
      </c>
      <c r="J79" s="24">
        <f t="shared" si="4"/>
        <v>1.9403999999999999</v>
      </c>
      <c r="K79" s="28"/>
    </row>
    <row r="80" spans="7:11" x14ac:dyDescent="0.2">
      <c r="G80" s="29" t="s">
        <v>1005</v>
      </c>
      <c r="H80" s="24"/>
      <c r="I80" s="24"/>
      <c r="J80" s="24"/>
      <c r="K80" s="28"/>
    </row>
    <row r="81" spans="7:11" x14ac:dyDescent="0.2">
      <c r="G81" s="29" t="s">
        <v>1004</v>
      </c>
      <c r="H81" s="24">
        <f>32*0.78+32*0.24</f>
        <v>32.64</v>
      </c>
      <c r="I81" s="13">
        <v>0.154</v>
      </c>
      <c r="J81" s="24">
        <f t="shared" ref="J81:J93" si="5">PRODUCT(H81:I81)</f>
        <v>5.0265599999999999</v>
      </c>
      <c r="K81" s="28"/>
    </row>
    <row r="82" spans="7:11" x14ac:dyDescent="0.2">
      <c r="G82" s="29" t="s">
        <v>1003</v>
      </c>
      <c r="H82" s="24">
        <f>32*0.78+32*0.24</f>
        <v>32.64</v>
      </c>
      <c r="I82" s="13">
        <v>0.154</v>
      </c>
      <c r="J82" s="24">
        <f t="shared" si="5"/>
        <v>5.0265599999999999</v>
      </c>
      <c r="K82" s="28"/>
    </row>
    <row r="83" spans="7:11" x14ac:dyDescent="0.2">
      <c r="G83" s="29" t="s">
        <v>1002</v>
      </c>
      <c r="H83" s="24">
        <f>25*0.78+25*0.24</f>
        <v>25.5</v>
      </c>
      <c r="I83" s="13">
        <v>0.154</v>
      </c>
      <c r="J83" s="24">
        <f t="shared" si="5"/>
        <v>3.927</v>
      </c>
      <c r="K83" s="28"/>
    </row>
    <row r="84" spans="7:11" x14ac:dyDescent="0.2">
      <c r="G84" s="29" t="s">
        <v>1001</v>
      </c>
      <c r="H84" s="24">
        <f>25*0.78+25*0.24</f>
        <v>25.5</v>
      </c>
      <c r="I84" s="13">
        <v>0.154</v>
      </c>
      <c r="J84" s="24">
        <f t="shared" si="5"/>
        <v>3.927</v>
      </c>
      <c r="K84" s="28"/>
    </row>
    <row r="85" spans="7:11" x14ac:dyDescent="0.2">
      <c r="G85" s="29" t="s">
        <v>1000</v>
      </c>
      <c r="H85" s="24">
        <f>32*1.28+64*0.24</f>
        <v>56.32</v>
      </c>
      <c r="I85" s="13">
        <v>0.154</v>
      </c>
      <c r="J85" s="24">
        <f t="shared" si="5"/>
        <v>8.6732800000000001</v>
      </c>
      <c r="K85" s="28"/>
    </row>
    <row r="86" spans="7:11" x14ac:dyDescent="0.2">
      <c r="G86" s="29" t="s">
        <v>990</v>
      </c>
      <c r="H86" s="24">
        <f>40*1.08+40*0.29</f>
        <v>54.800000000000004</v>
      </c>
      <c r="I86" s="13">
        <v>0.154</v>
      </c>
      <c r="J86" s="24">
        <f t="shared" si="5"/>
        <v>8.4392000000000014</v>
      </c>
      <c r="K86" s="28"/>
    </row>
    <row r="87" spans="7:11" x14ac:dyDescent="0.2">
      <c r="G87" s="29" t="s">
        <v>999</v>
      </c>
      <c r="H87" s="24">
        <f>20*1.08</f>
        <v>21.6</v>
      </c>
      <c r="I87" s="13">
        <v>0.154</v>
      </c>
      <c r="J87" s="24">
        <f t="shared" si="5"/>
        <v>3.3264</v>
      </c>
      <c r="K87" s="28"/>
    </row>
    <row r="88" spans="7:11" x14ac:dyDescent="0.2">
      <c r="G88" s="29" t="s">
        <v>998</v>
      </c>
      <c r="H88" s="24">
        <f>25*0.78+25*0.24</f>
        <v>25.5</v>
      </c>
      <c r="I88" s="13">
        <v>0.154</v>
      </c>
      <c r="J88" s="24">
        <f t="shared" si="5"/>
        <v>3.927</v>
      </c>
      <c r="K88" s="28"/>
    </row>
    <row r="89" spans="7:11" x14ac:dyDescent="0.2">
      <c r="G89" s="29" t="s">
        <v>997</v>
      </c>
      <c r="H89" s="24">
        <f>30*0.42</f>
        <v>12.6</v>
      </c>
      <c r="I89" s="13">
        <v>0.154</v>
      </c>
      <c r="J89" s="24">
        <f t="shared" si="5"/>
        <v>1.9403999999999999</v>
      </c>
      <c r="K89" s="28"/>
    </row>
    <row r="90" spans="7:11" x14ac:dyDescent="0.2">
      <c r="G90" s="29" t="s">
        <v>996</v>
      </c>
      <c r="H90" s="24">
        <f>13*1.08+13*0.29</f>
        <v>17.810000000000002</v>
      </c>
      <c r="I90" s="13">
        <v>0.154</v>
      </c>
      <c r="J90" s="24">
        <f t="shared" si="5"/>
        <v>2.7427400000000004</v>
      </c>
      <c r="K90" s="28"/>
    </row>
    <row r="91" spans="7:11" x14ac:dyDescent="0.2">
      <c r="G91" s="29" t="s">
        <v>995</v>
      </c>
      <c r="H91" s="24">
        <f>13*1.08+13*0.29</f>
        <v>17.810000000000002</v>
      </c>
      <c r="I91" s="13">
        <v>0.154</v>
      </c>
      <c r="J91" s="24">
        <f t="shared" si="5"/>
        <v>2.7427400000000004</v>
      </c>
      <c r="K91" s="28"/>
    </row>
    <row r="92" spans="7:11" x14ac:dyDescent="0.2">
      <c r="G92" s="29" t="s">
        <v>994</v>
      </c>
      <c r="H92" s="24">
        <f>13*1.08+13*0.29</f>
        <v>17.810000000000002</v>
      </c>
      <c r="I92" s="13">
        <v>0.154</v>
      </c>
      <c r="J92" s="24">
        <f t="shared" si="5"/>
        <v>2.7427400000000004</v>
      </c>
      <c r="K92" s="28"/>
    </row>
    <row r="93" spans="7:11" x14ac:dyDescent="0.2">
      <c r="G93" s="29" t="s">
        <v>993</v>
      </c>
      <c r="H93" s="24">
        <f>30*0.42</f>
        <v>12.6</v>
      </c>
      <c r="I93" s="13">
        <v>0.154</v>
      </c>
      <c r="J93" s="24">
        <f t="shared" si="5"/>
        <v>1.9403999999999999</v>
      </c>
      <c r="K93" s="28"/>
    </row>
    <row r="94" spans="7:11" ht="15" x14ac:dyDescent="0.25">
      <c r="G94" s="29"/>
      <c r="H94" s="24"/>
      <c r="I94" s="24"/>
      <c r="J94" s="33">
        <f>SUM(J67:J93)</f>
        <v>146.84058000000002</v>
      </c>
      <c r="K94" s="28"/>
    </row>
    <row r="95" spans="7:11" x14ac:dyDescent="0.2">
      <c r="G95" s="29"/>
      <c r="H95" s="24"/>
      <c r="I95" s="24"/>
      <c r="J95" s="24"/>
      <c r="K95" s="28"/>
    </row>
    <row r="96" spans="7:11" ht="15" x14ac:dyDescent="0.25">
      <c r="G96" s="32" t="s">
        <v>1011</v>
      </c>
      <c r="H96" s="24"/>
      <c r="I96" s="24"/>
      <c r="J96" s="24"/>
      <c r="K96" s="28"/>
    </row>
    <row r="97" spans="7:11" x14ac:dyDescent="0.2">
      <c r="G97" s="29" t="s">
        <v>985</v>
      </c>
      <c r="H97" s="24" t="s">
        <v>953</v>
      </c>
      <c r="I97" s="24" t="s">
        <v>984</v>
      </c>
      <c r="J97" s="24" t="s">
        <v>12</v>
      </c>
      <c r="K97" s="28"/>
    </row>
    <row r="98" spans="7:11" x14ac:dyDescent="0.2">
      <c r="G98" s="29" t="s">
        <v>983</v>
      </c>
      <c r="H98" s="24"/>
      <c r="I98" s="24"/>
      <c r="J98" s="24">
        <v>68</v>
      </c>
      <c r="K98" s="28"/>
    </row>
    <row r="99" spans="7:11" x14ac:dyDescent="0.2">
      <c r="G99" s="29" t="s">
        <v>991</v>
      </c>
      <c r="H99" s="24"/>
      <c r="I99" s="24"/>
      <c r="J99" s="24"/>
      <c r="K99" s="28"/>
    </row>
    <row r="100" spans="7:11" x14ac:dyDescent="0.2">
      <c r="G100" s="29" t="s">
        <v>1000</v>
      </c>
      <c r="H100" s="24">
        <f>2*3.72+6*4.13</f>
        <v>32.22</v>
      </c>
      <c r="I100" s="13">
        <v>0.61699999999999999</v>
      </c>
      <c r="J100" s="24">
        <f t="shared" ref="J100:J110" si="6">PRODUCT(H100:I100)</f>
        <v>19.879739999999998</v>
      </c>
      <c r="K100" s="28"/>
    </row>
    <row r="101" spans="7:11" x14ac:dyDescent="0.2">
      <c r="G101" s="29" t="s">
        <v>990</v>
      </c>
      <c r="H101" s="24"/>
      <c r="I101" s="13">
        <v>0.61699999999999999</v>
      </c>
      <c r="J101" s="24">
        <f t="shared" si="6"/>
        <v>0.61699999999999999</v>
      </c>
      <c r="K101" s="28"/>
    </row>
    <row r="102" spans="7:11" x14ac:dyDescent="0.2">
      <c r="G102" s="29" t="s">
        <v>1010</v>
      </c>
      <c r="H102" s="24">
        <f>6*4.13</f>
        <v>24.78</v>
      </c>
      <c r="I102" s="13">
        <v>0.61699999999999999</v>
      </c>
      <c r="J102" s="24">
        <f t="shared" si="6"/>
        <v>15.289260000000001</v>
      </c>
      <c r="K102" s="28"/>
    </row>
    <row r="103" spans="7:11" x14ac:dyDescent="0.2">
      <c r="G103" s="29" t="s">
        <v>1009</v>
      </c>
      <c r="H103" s="24">
        <f>6*4.13</f>
        <v>24.78</v>
      </c>
      <c r="I103" s="13">
        <v>0.61699999999999999</v>
      </c>
      <c r="J103" s="24">
        <f t="shared" si="6"/>
        <v>15.289260000000001</v>
      </c>
      <c r="K103" s="28"/>
    </row>
    <row r="104" spans="7:11" x14ac:dyDescent="0.2">
      <c r="G104" s="29" t="s">
        <v>1008</v>
      </c>
      <c r="H104" s="24">
        <f>4*3.72+8*4.13</f>
        <v>47.92</v>
      </c>
      <c r="I104" s="13">
        <v>0.61699999999999999</v>
      </c>
      <c r="J104" s="24">
        <f t="shared" si="6"/>
        <v>29.56664</v>
      </c>
      <c r="K104" s="28"/>
    </row>
    <row r="105" spans="7:11" x14ac:dyDescent="0.2">
      <c r="G105" s="29" t="s">
        <v>989</v>
      </c>
      <c r="H105" s="24"/>
      <c r="I105" s="13">
        <v>0.61699999999999999</v>
      </c>
      <c r="J105" s="24">
        <f t="shared" si="6"/>
        <v>0.61699999999999999</v>
      </c>
      <c r="K105" s="28"/>
    </row>
    <row r="106" spans="7:11" x14ac:dyDescent="0.2">
      <c r="G106" s="29" t="s">
        <v>1007</v>
      </c>
      <c r="H106" s="24">
        <f>6*4.13</f>
        <v>24.78</v>
      </c>
      <c r="I106" s="13">
        <v>0.61699999999999999</v>
      </c>
      <c r="J106" s="24">
        <f t="shared" si="6"/>
        <v>15.289260000000001</v>
      </c>
      <c r="K106" s="28"/>
    </row>
    <row r="107" spans="7:11" x14ac:dyDescent="0.2">
      <c r="G107" s="29" t="s">
        <v>1006</v>
      </c>
      <c r="H107" s="24">
        <f>10*3.72</f>
        <v>37.200000000000003</v>
      </c>
      <c r="I107" s="13">
        <v>0.61699999999999999</v>
      </c>
      <c r="J107" s="24">
        <f t="shared" si="6"/>
        <v>22.952400000000001</v>
      </c>
      <c r="K107" s="28"/>
    </row>
    <row r="108" spans="7:11" x14ac:dyDescent="0.2">
      <c r="G108" s="29" t="s">
        <v>988</v>
      </c>
      <c r="H108" s="24"/>
      <c r="I108" s="13">
        <v>0.61699999999999999</v>
      </c>
      <c r="J108" s="24">
        <f t="shared" si="6"/>
        <v>0.61699999999999999</v>
      </c>
      <c r="K108" s="28"/>
    </row>
    <row r="109" spans="7:11" x14ac:dyDescent="0.2">
      <c r="G109" s="29" t="s">
        <v>997</v>
      </c>
      <c r="H109" s="24">
        <f>6*3.88</f>
        <v>23.28</v>
      </c>
      <c r="I109" s="13">
        <v>0.61699999999999999</v>
      </c>
      <c r="J109" s="24">
        <f t="shared" si="6"/>
        <v>14.363760000000001</v>
      </c>
      <c r="K109" s="28"/>
    </row>
    <row r="110" spans="7:11" x14ac:dyDescent="0.2">
      <c r="G110" s="29" t="s">
        <v>993</v>
      </c>
      <c r="H110" s="24">
        <f>6*3.88</f>
        <v>23.28</v>
      </c>
      <c r="I110" s="13">
        <v>0.61699999999999999</v>
      </c>
      <c r="J110" s="24">
        <f t="shared" si="6"/>
        <v>14.363760000000001</v>
      </c>
      <c r="K110" s="28"/>
    </row>
    <row r="111" spans="7:11" x14ac:dyDescent="0.2">
      <c r="G111" s="29" t="s">
        <v>1005</v>
      </c>
      <c r="H111" s="24"/>
      <c r="I111" s="24"/>
      <c r="J111" s="24"/>
      <c r="K111" s="28"/>
    </row>
    <row r="112" spans="7:11" x14ac:dyDescent="0.2">
      <c r="G112" s="29" t="s">
        <v>1004</v>
      </c>
      <c r="H112" s="24">
        <f t="shared" ref="H112:H119" si="7">6*1.5</f>
        <v>9</v>
      </c>
      <c r="I112" s="13">
        <v>0.61699999999999999</v>
      </c>
      <c r="J112" s="24">
        <f t="shared" ref="J112:J124" si="8">PRODUCT(H112:I112)</f>
        <v>5.5529999999999999</v>
      </c>
      <c r="K112" s="28"/>
    </row>
    <row r="113" spans="7:11" x14ac:dyDescent="0.2">
      <c r="G113" s="29" t="s">
        <v>1003</v>
      </c>
      <c r="H113" s="24">
        <f t="shared" si="7"/>
        <v>9</v>
      </c>
      <c r="I113" s="13">
        <v>0.61699999999999999</v>
      </c>
      <c r="J113" s="24">
        <f t="shared" si="8"/>
        <v>5.5529999999999999</v>
      </c>
      <c r="K113" s="28"/>
    </row>
    <row r="114" spans="7:11" x14ac:dyDescent="0.2">
      <c r="G114" s="29" t="s">
        <v>1002</v>
      </c>
      <c r="H114" s="24">
        <f t="shared" si="7"/>
        <v>9</v>
      </c>
      <c r="I114" s="13">
        <v>0.61699999999999999</v>
      </c>
      <c r="J114" s="24">
        <f t="shared" si="8"/>
        <v>5.5529999999999999</v>
      </c>
      <c r="K114" s="28"/>
    </row>
    <row r="115" spans="7:11" x14ac:dyDescent="0.2">
      <c r="G115" s="29" t="s">
        <v>1001</v>
      </c>
      <c r="H115" s="24">
        <f t="shared" si="7"/>
        <v>9</v>
      </c>
      <c r="I115" s="13">
        <v>0.61699999999999999</v>
      </c>
      <c r="J115" s="24">
        <f t="shared" si="8"/>
        <v>5.5529999999999999</v>
      </c>
      <c r="K115" s="28"/>
    </row>
    <row r="116" spans="7:11" x14ac:dyDescent="0.2">
      <c r="G116" s="29" t="s">
        <v>1000</v>
      </c>
      <c r="H116" s="24">
        <f t="shared" si="7"/>
        <v>9</v>
      </c>
      <c r="I116" s="13">
        <v>0.61699999999999999</v>
      </c>
      <c r="J116" s="24">
        <f t="shared" si="8"/>
        <v>5.5529999999999999</v>
      </c>
      <c r="K116" s="28"/>
    </row>
    <row r="117" spans="7:11" x14ac:dyDescent="0.2">
      <c r="G117" s="29" t="s">
        <v>990</v>
      </c>
      <c r="H117" s="24">
        <f t="shared" si="7"/>
        <v>9</v>
      </c>
      <c r="I117" s="13">
        <v>0.61699999999999999</v>
      </c>
      <c r="J117" s="24">
        <f t="shared" si="8"/>
        <v>5.5529999999999999</v>
      </c>
      <c r="K117" s="28"/>
    </row>
    <row r="118" spans="7:11" x14ac:dyDescent="0.2">
      <c r="G118" s="29" t="s">
        <v>999</v>
      </c>
      <c r="H118" s="24">
        <f t="shared" si="7"/>
        <v>9</v>
      </c>
      <c r="I118" s="13">
        <v>0.61699999999999999</v>
      </c>
      <c r="J118" s="24">
        <f t="shared" si="8"/>
        <v>5.5529999999999999</v>
      </c>
      <c r="K118" s="28"/>
    </row>
    <row r="119" spans="7:11" x14ac:dyDescent="0.2">
      <c r="G119" s="29" t="s">
        <v>998</v>
      </c>
      <c r="H119" s="24">
        <f t="shared" si="7"/>
        <v>9</v>
      </c>
      <c r="I119" s="13">
        <v>0.61699999999999999</v>
      </c>
      <c r="J119" s="24">
        <f t="shared" si="8"/>
        <v>5.5529999999999999</v>
      </c>
      <c r="K119" s="28"/>
    </row>
    <row r="120" spans="7:11" x14ac:dyDescent="0.2">
      <c r="G120" s="29" t="s">
        <v>997</v>
      </c>
      <c r="H120" s="24">
        <f>6*1.88</f>
        <v>11.28</v>
      </c>
      <c r="I120" s="13">
        <v>0.61699999999999999</v>
      </c>
      <c r="J120" s="24">
        <f t="shared" si="8"/>
        <v>6.9597599999999993</v>
      </c>
      <c r="K120" s="28"/>
    </row>
    <row r="121" spans="7:11" x14ac:dyDescent="0.2">
      <c r="G121" s="29" t="s">
        <v>996</v>
      </c>
      <c r="H121" s="24">
        <f>6*1.88</f>
        <v>11.28</v>
      </c>
      <c r="I121" s="13">
        <v>0.61699999999999999</v>
      </c>
      <c r="J121" s="24">
        <f t="shared" si="8"/>
        <v>6.9597599999999993</v>
      </c>
      <c r="K121" s="28"/>
    </row>
    <row r="122" spans="7:11" x14ac:dyDescent="0.2">
      <c r="G122" s="29" t="s">
        <v>995</v>
      </c>
      <c r="H122" s="24">
        <f>6*1.88</f>
        <v>11.28</v>
      </c>
      <c r="I122" s="13">
        <v>0.61699999999999999</v>
      </c>
      <c r="J122" s="24">
        <f t="shared" si="8"/>
        <v>6.9597599999999993</v>
      </c>
      <c r="K122" s="28"/>
    </row>
    <row r="123" spans="7:11" x14ac:dyDescent="0.2">
      <c r="G123" s="29" t="s">
        <v>994</v>
      </c>
      <c r="H123" s="24">
        <f>6*1.88</f>
        <v>11.28</v>
      </c>
      <c r="I123" s="13">
        <v>0.61699999999999999</v>
      </c>
      <c r="J123" s="24">
        <f t="shared" si="8"/>
        <v>6.9597599999999993</v>
      </c>
      <c r="K123" s="28"/>
    </row>
    <row r="124" spans="7:11" x14ac:dyDescent="0.2">
      <c r="G124" s="29" t="s">
        <v>993</v>
      </c>
      <c r="H124" s="24">
        <f>6*1.88</f>
        <v>11.28</v>
      </c>
      <c r="I124" s="13">
        <v>0.61699999999999999</v>
      </c>
      <c r="J124" s="24">
        <f t="shared" si="8"/>
        <v>6.9597599999999993</v>
      </c>
      <c r="K124" s="28"/>
    </row>
    <row r="125" spans="7:11" ht="15" x14ac:dyDescent="0.25">
      <c r="G125" s="29"/>
      <c r="H125" s="24"/>
      <c r="I125" s="24"/>
      <c r="J125" s="33">
        <f>SUM(J98:J124)</f>
        <v>296.06788000000012</v>
      </c>
      <c r="K125" s="28"/>
    </row>
    <row r="126" spans="7:11" x14ac:dyDescent="0.2">
      <c r="G126" s="29"/>
      <c r="H126" s="24"/>
      <c r="I126" s="24"/>
      <c r="J126" s="24"/>
      <c r="K126" s="28"/>
    </row>
    <row r="127" spans="7:11" ht="15" x14ac:dyDescent="0.25">
      <c r="G127" s="32" t="s">
        <v>992</v>
      </c>
      <c r="H127" s="24"/>
      <c r="I127" s="24"/>
      <c r="J127" s="24"/>
      <c r="K127" s="28"/>
    </row>
    <row r="128" spans="7:11" x14ac:dyDescent="0.2">
      <c r="G128" s="29" t="s">
        <v>985</v>
      </c>
      <c r="H128" s="24" t="s">
        <v>953</v>
      </c>
      <c r="I128" s="24" t="s">
        <v>984</v>
      </c>
      <c r="J128" s="24" t="s">
        <v>12</v>
      </c>
      <c r="K128" s="28"/>
    </row>
    <row r="129" spans="7:11" x14ac:dyDescent="0.2">
      <c r="G129" s="29" t="s">
        <v>983</v>
      </c>
      <c r="H129" s="24"/>
      <c r="I129" s="24"/>
      <c r="J129" s="24">
        <v>4.5</v>
      </c>
      <c r="K129" s="28"/>
    </row>
    <row r="130" spans="7:11" x14ac:dyDescent="0.2">
      <c r="G130" s="29" t="s">
        <v>991</v>
      </c>
      <c r="H130" s="24"/>
      <c r="I130" s="24"/>
      <c r="J130" s="24"/>
      <c r="K130" s="28"/>
    </row>
    <row r="131" spans="7:11" x14ac:dyDescent="0.2">
      <c r="G131" s="29" t="s">
        <v>990</v>
      </c>
      <c r="H131" s="24">
        <f>8*4.13</f>
        <v>33.04</v>
      </c>
      <c r="I131" s="13">
        <v>0.96299999999999997</v>
      </c>
      <c r="J131" s="24">
        <f>PRODUCT(H131:I131)</f>
        <v>31.817519999999998</v>
      </c>
      <c r="K131" s="28"/>
    </row>
    <row r="132" spans="7:11" x14ac:dyDescent="0.2">
      <c r="G132" s="29" t="s">
        <v>989</v>
      </c>
      <c r="H132" s="24">
        <f>18*3.72</f>
        <v>66.960000000000008</v>
      </c>
      <c r="I132" s="13">
        <v>0.96299999999999997</v>
      </c>
      <c r="J132" s="24">
        <f>PRODUCT(H132:I132)</f>
        <v>64.48248000000001</v>
      </c>
      <c r="K132" s="28"/>
    </row>
    <row r="133" spans="7:11" x14ac:dyDescent="0.2">
      <c r="G133" s="29" t="s">
        <v>988</v>
      </c>
      <c r="H133" s="24">
        <f>14*3.72</f>
        <v>52.080000000000005</v>
      </c>
      <c r="I133" s="13">
        <v>0.96299999999999997</v>
      </c>
      <c r="J133" s="24">
        <f>PRODUCT(H133:I133)</f>
        <v>50.153040000000004</v>
      </c>
      <c r="K133" s="28"/>
    </row>
    <row r="134" spans="7:11" ht="15" x14ac:dyDescent="0.25">
      <c r="G134" s="29"/>
      <c r="H134" s="24"/>
      <c r="I134" s="24"/>
      <c r="J134" s="33">
        <f>SUM(J129:J133)</f>
        <v>150.95304000000002</v>
      </c>
      <c r="K134" s="28"/>
    </row>
    <row r="135" spans="7:11" x14ac:dyDescent="0.2">
      <c r="G135" s="29"/>
      <c r="H135" s="24"/>
      <c r="I135" s="24"/>
      <c r="J135" s="24"/>
      <c r="K135" s="28"/>
    </row>
    <row r="136" spans="7:11" ht="15" x14ac:dyDescent="0.25">
      <c r="G136" s="32" t="s">
        <v>987</v>
      </c>
      <c r="H136" s="24"/>
      <c r="I136" s="24"/>
      <c r="J136" s="24"/>
      <c r="K136" s="28"/>
    </row>
    <row r="137" spans="7:11" x14ac:dyDescent="0.2">
      <c r="G137" s="29" t="s">
        <v>985</v>
      </c>
      <c r="H137" s="24" t="s">
        <v>953</v>
      </c>
      <c r="I137" s="24" t="s">
        <v>984</v>
      </c>
      <c r="J137" s="24" t="s">
        <v>12</v>
      </c>
      <c r="K137" s="28"/>
    </row>
    <row r="138" spans="7:11" x14ac:dyDescent="0.2">
      <c r="G138" s="29" t="s">
        <v>983</v>
      </c>
      <c r="H138" s="24"/>
      <c r="I138" s="24"/>
      <c r="J138" s="24">
        <v>15.3</v>
      </c>
      <c r="K138" s="28"/>
    </row>
    <row r="139" spans="7:11" x14ac:dyDescent="0.2">
      <c r="G139" s="29"/>
      <c r="H139" s="24"/>
      <c r="I139" s="24"/>
      <c r="J139" s="24"/>
      <c r="K139" s="28"/>
    </row>
    <row r="140" spans="7:11" ht="15" x14ac:dyDescent="0.25">
      <c r="G140" s="32" t="s">
        <v>986</v>
      </c>
      <c r="H140" s="24"/>
      <c r="I140" s="24"/>
      <c r="J140" s="24"/>
      <c r="K140" s="28"/>
    </row>
    <row r="141" spans="7:11" x14ac:dyDescent="0.2">
      <c r="G141" s="29" t="s">
        <v>985</v>
      </c>
      <c r="H141" s="24" t="s">
        <v>953</v>
      </c>
      <c r="I141" s="24" t="s">
        <v>984</v>
      </c>
      <c r="J141" s="24" t="s">
        <v>12</v>
      </c>
      <c r="K141" s="28"/>
    </row>
    <row r="142" spans="7:11" x14ac:dyDescent="0.2">
      <c r="G142" s="29" t="s">
        <v>983</v>
      </c>
      <c r="H142" s="24"/>
      <c r="I142" s="24"/>
      <c r="J142" s="24">
        <v>110.7</v>
      </c>
      <c r="K142" s="28"/>
    </row>
    <row r="143" spans="7:11" ht="15" thickBot="1" x14ac:dyDescent="0.25">
      <c r="G143" s="31"/>
      <c r="H143" s="30"/>
      <c r="I143" s="30"/>
      <c r="J143" s="30"/>
      <c r="K143" s="25"/>
    </row>
    <row r="144" spans="7:11" x14ac:dyDescent="0.2">
      <c r="G144" s="152" t="s">
        <v>166</v>
      </c>
      <c r="H144" s="153"/>
      <c r="I144" s="153"/>
      <c r="J144" s="153"/>
      <c r="K144" s="154"/>
    </row>
    <row r="145" spans="7:11" x14ac:dyDescent="0.2">
      <c r="G145" s="31"/>
      <c r="H145" s="57" t="s">
        <v>982</v>
      </c>
      <c r="I145" s="57" t="s">
        <v>981</v>
      </c>
      <c r="J145" s="150" t="s">
        <v>12</v>
      </c>
      <c r="K145" s="151"/>
    </row>
    <row r="146" spans="7:11" x14ac:dyDescent="0.2">
      <c r="G146" s="29" t="s">
        <v>980</v>
      </c>
      <c r="H146" s="24">
        <v>49.17</v>
      </c>
      <c r="I146" s="24"/>
      <c r="J146" s="146">
        <f t="shared" ref="J146:J154" si="9">SUM(H146:I146)</f>
        <v>49.17</v>
      </c>
      <c r="K146" s="147"/>
    </row>
    <row r="147" spans="7:11" x14ac:dyDescent="0.2">
      <c r="G147" s="29" t="s">
        <v>979</v>
      </c>
      <c r="H147" s="24">
        <v>2.88</v>
      </c>
      <c r="I147" s="24"/>
      <c r="J147" s="146">
        <f t="shared" si="9"/>
        <v>2.88</v>
      </c>
      <c r="K147" s="147"/>
    </row>
    <row r="148" spans="7:11" x14ac:dyDescent="0.2">
      <c r="G148" s="29" t="s">
        <v>978</v>
      </c>
      <c r="H148" s="24">
        <v>62.7</v>
      </c>
      <c r="I148" s="24">
        <v>33.200000000000003</v>
      </c>
      <c r="J148" s="146">
        <f t="shared" si="9"/>
        <v>95.9</v>
      </c>
      <c r="K148" s="147"/>
    </row>
    <row r="149" spans="7:11" x14ac:dyDescent="0.2">
      <c r="G149" s="29" t="s">
        <v>977</v>
      </c>
      <c r="H149" s="24">
        <v>6.4</v>
      </c>
      <c r="I149" s="24">
        <v>45.6</v>
      </c>
      <c r="J149" s="146">
        <f t="shared" si="9"/>
        <v>52</v>
      </c>
      <c r="K149" s="147"/>
    </row>
    <row r="150" spans="7:11" x14ac:dyDescent="0.2">
      <c r="G150" s="29" t="s">
        <v>976</v>
      </c>
      <c r="H150" s="24">
        <v>69.400000000000006</v>
      </c>
      <c r="I150" s="24">
        <v>40.9</v>
      </c>
      <c r="J150" s="146">
        <f t="shared" si="9"/>
        <v>110.30000000000001</v>
      </c>
      <c r="K150" s="147"/>
    </row>
    <row r="151" spans="7:11" x14ac:dyDescent="0.2">
      <c r="G151" s="29" t="s">
        <v>975</v>
      </c>
      <c r="H151" s="24">
        <v>47.9</v>
      </c>
      <c r="I151" s="24">
        <v>30.7</v>
      </c>
      <c r="J151" s="146">
        <f t="shared" si="9"/>
        <v>78.599999999999994</v>
      </c>
      <c r="K151" s="147"/>
    </row>
    <row r="152" spans="7:11" x14ac:dyDescent="0.2">
      <c r="G152" s="29" t="s">
        <v>974</v>
      </c>
      <c r="H152" s="24">
        <v>69.099999999999994</v>
      </c>
      <c r="I152" s="24">
        <v>47.7</v>
      </c>
      <c r="J152" s="146">
        <f t="shared" si="9"/>
        <v>116.8</v>
      </c>
      <c r="K152" s="147"/>
    </row>
    <row r="153" spans="7:11" x14ac:dyDescent="0.2">
      <c r="G153" s="29" t="s">
        <v>973</v>
      </c>
      <c r="H153" s="24"/>
      <c r="I153" s="24">
        <v>109.6</v>
      </c>
      <c r="J153" s="146">
        <f t="shared" si="9"/>
        <v>109.6</v>
      </c>
      <c r="K153" s="147"/>
    </row>
    <row r="154" spans="7:11" ht="15" thickBot="1" x14ac:dyDescent="0.25">
      <c r="G154" s="27" t="s">
        <v>972</v>
      </c>
      <c r="H154" s="26"/>
      <c r="I154" s="26">
        <v>113.4</v>
      </c>
      <c r="J154" s="148">
        <f t="shared" si="9"/>
        <v>113.4</v>
      </c>
      <c r="K154" s="149"/>
    </row>
  </sheetData>
  <mergeCells count="16">
    <mergeCell ref="G144:K144"/>
    <mergeCell ref="A1:E1"/>
    <mergeCell ref="G1:K1"/>
    <mergeCell ref="G2:K2"/>
    <mergeCell ref="H4:I4"/>
    <mergeCell ref="H35:I35"/>
    <mergeCell ref="J151:K151"/>
    <mergeCell ref="J152:K152"/>
    <mergeCell ref="J153:K153"/>
    <mergeCell ref="J154:K154"/>
    <mergeCell ref="J145:K145"/>
    <mergeCell ref="J146:K146"/>
    <mergeCell ref="J147:K147"/>
    <mergeCell ref="J148:K148"/>
    <mergeCell ref="J149:K149"/>
    <mergeCell ref="J150:K150"/>
  </mergeCells>
  <pageMargins left="0.51181102362204722" right="0.51181102362204722" top="0.98425196850393704" bottom="0.98425196850393704" header="0.51181102362204722" footer="0.51181102362204722"/>
  <pageSetup paperSize="9" fitToHeight="0" orientation="landscape" r:id="rId1"/>
  <headerFooter>
    <oddFooter>&amp;L&amp;A&amp;CPágina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K37" sqref="K37"/>
    </sheetView>
  </sheetViews>
  <sheetFormatPr defaultRowHeight="14.25" x14ac:dyDescent="0.2"/>
  <cols>
    <col min="1" max="1" width="22.75" bestFit="1" customWidth="1"/>
    <col min="2" max="2" width="12.75" style="8" bestFit="1" customWidth="1"/>
    <col min="3" max="3" width="10.875" style="8" bestFit="1" customWidth="1"/>
    <col min="4" max="4" width="14.125" style="8" bestFit="1" customWidth="1"/>
    <col min="5" max="5" width="14.125" bestFit="1" customWidth="1"/>
  </cols>
  <sheetData>
    <row r="1" spans="1:5" ht="15" x14ac:dyDescent="0.25">
      <c r="A1" s="164" t="s">
        <v>1025</v>
      </c>
      <c r="B1" s="165"/>
      <c r="C1" s="165"/>
      <c r="D1" s="166"/>
    </row>
    <row r="2" spans="1:5" x14ac:dyDescent="0.2">
      <c r="A2" s="29" t="s">
        <v>1023</v>
      </c>
      <c r="B2" s="13" t="s">
        <v>1022</v>
      </c>
      <c r="C2" s="13" t="s">
        <v>1021</v>
      </c>
      <c r="D2" s="12" t="s">
        <v>1024</v>
      </c>
    </row>
    <row r="3" spans="1:5" x14ac:dyDescent="0.2">
      <c r="A3" s="29" t="s">
        <v>1019</v>
      </c>
      <c r="B3" s="13">
        <v>10</v>
      </c>
      <c r="C3" s="13">
        <f>(4.82-3.06)/2</f>
        <v>0.88000000000000012</v>
      </c>
      <c r="D3" s="12">
        <f>B3*C3</f>
        <v>8.8000000000000007</v>
      </c>
    </row>
    <row r="4" spans="1:5" x14ac:dyDescent="0.2">
      <c r="A4" s="29" t="s">
        <v>1018</v>
      </c>
      <c r="B4" s="13">
        <v>26</v>
      </c>
      <c r="C4" s="13">
        <f>(3.06-0.9)/2</f>
        <v>1.08</v>
      </c>
      <c r="D4" s="12">
        <f>B4*C4</f>
        <v>28.080000000000002</v>
      </c>
    </row>
    <row r="5" spans="1:5" x14ac:dyDescent="0.2">
      <c r="A5" s="29" t="s">
        <v>1017</v>
      </c>
      <c r="B5" s="13">
        <v>11</v>
      </c>
      <c r="C5" s="13">
        <v>0.45</v>
      </c>
      <c r="D5" s="12">
        <f>B5*C5</f>
        <v>4.95</v>
      </c>
    </row>
    <row r="6" spans="1:5" s="47" customFormat="1" x14ac:dyDescent="0.2">
      <c r="A6" s="31" t="s">
        <v>1176</v>
      </c>
      <c r="B6" s="21">
        <v>8</v>
      </c>
      <c r="C6" s="21">
        <v>0.45</v>
      </c>
      <c r="D6" s="12">
        <f>B6*C6</f>
        <v>3.6</v>
      </c>
    </row>
    <row r="7" spans="1:5" ht="15.75" thickBot="1" x14ac:dyDescent="0.3">
      <c r="A7" s="27"/>
      <c r="B7" s="10"/>
      <c r="C7" s="10"/>
      <c r="D7" s="35">
        <f>SUM(D3:D6)</f>
        <v>45.430000000000007</v>
      </c>
    </row>
    <row r="8" spans="1:5" ht="15" thickBot="1" x14ac:dyDescent="0.25"/>
    <row r="9" spans="1:5" ht="15" x14ac:dyDescent="0.25">
      <c r="A9" s="164" t="s">
        <v>134</v>
      </c>
      <c r="B9" s="165"/>
      <c r="C9" s="165"/>
      <c r="D9" s="165"/>
      <c r="E9" s="166"/>
    </row>
    <row r="10" spans="1:5" x14ac:dyDescent="0.2">
      <c r="A10" s="29" t="s">
        <v>1023</v>
      </c>
      <c r="B10" s="13" t="s">
        <v>1022</v>
      </c>
      <c r="C10" s="13" t="s">
        <v>965</v>
      </c>
      <c r="D10" s="13" t="s">
        <v>1021</v>
      </c>
      <c r="E10" s="12" t="s">
        <v>1020</v>
      </c>
    </row>
    <row r="11" spans="1:5" x14ac:dyDescent="0.2">
      <c r="A11" s="29" t="s">
        <v>1019</v>
      </c>
      <c r="B11" s="13">
        <v>10</v>
      </c>
      <c r="C11" s="13">
        <v>2.0499999999999998</v>
      </c>
      <c r="D11" s="13">
        <f>(4.82-3.06)/2</f>
        <v>0.88000000000000012</v>
      </c>
      <c r="E11" s="12">
        <f>B11*C11*D11</f>
        <v>18.040000000000003</v>
      </c>
    </row>
    <row r="12" spans="1:5" x14ac:dyDescent="0.2">
      <c r="A12" s="29" t="s">
        <v>1018</v>
      </c>
      <c r="B12" s="13">
        <v>26</v>
      </c>
      <c r="C12" s="13">
        <v>1.52</v>
      </c>
      <c r="D12" s="13">
        <f>(3.06-0.9)/2</f>
        <v>1.08</v>
      </c>
      <c r="E12" s="12">
        <f>B12*C12*D12</f>
        <v>42.681600000000003</v>
      </c>
    </row>
    <row r="13" spans="1:5" x14ac:dyDescent="0.2">
      <c r="A13" s="29" t="s">
        <v>1017</v>
      </c>
      <c r="B13" s="13">
        <v>11</v>
      </c>
      <c r="C13" s="13">
        <v>1.52</v>
      </c>
      <c r="D13" s="13">
        <v>0.45</v>
      </c>
      <c r="E13" s="12">
        <f>B13*C13*D13</f>
        <v>7.524</v>
      </c>
    </row>
    <row r="14" spans="1:5" x14ac:dyDescent="0.2">
      <c r="A14" s="29" t="s">
        <v>1016</v>
      </c>
      <c r="B14" s="13">
        <v>8</v>
      </c>
      <c r="C14" s="13">
        <v>4.38</v>
      </c>
      <c r="D14" s="13"/>
      <c r="E14" s="12">
        <f>B14*C14*D14</f>
        <v>0</v>
      </c>
    </row>
    <row r="15" spans="1:5" ht="15.75" thickBot="1" x14ac:dyDescent="0.3">
      <c r="A15" s="27"/>
      <c r="B15" s="10"/>
      <c r="C15" s="10"/>
      <c r="D15" s="10"/>
      <c r="E15" s="35">
        <f>SUM(E11:E13)</f>
        <v>68.24560000000001</v>
      </c>
    </row>
  </sheetData>
  <mergeCells count="2">
    <mergeCell ref="A1:D1"/>
    <mergeCell ref="A9:E9"/>
  </mergeCells>
  <pageMargins left="0.51181102362204722" right="0.51181102362204722" top="0.98425196850393704" bottom="0.98425196850393704" header="0.51181102362204722" footer="0.51181102362204722"/>
  <pageSetup paperSize="9" fitToHeight="0" orientation="landscape" r:id="rId1"/>
  <headerFooter>
    <oddFooter>&amp;L&amp;A&amp;CPágina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workbookViewId="0">
      <pane ySplit="2" topLeftCell="A9" activePane="bottomLeft" state="frozen"/>
      <selection activeCell="H360" sqref="H360:J360"/>
      <selection pane="bottomLeft" activeCell="H360" sqref="H360:J360"/>
    </sheetView>
  </sheetViews>
  <sheetFormatPr defaultRowHeight="14.25" x14ac:dyDescent="0.2"/>
  <cols>
    <col min="1" max="1" width="28.25" bestFit="1" customWidth="1"/>
    <col min="2" max="2" width="10.5" style="8" customWidth="1"/>
    <col min="3" max="3" width="11.75" style="8" customWidth="1"/>
    <col min="4" max="4" width="12.25" customWidth="1"/>
    <col min="5" max="5" width="10.625" customWidth="1"/>
    <col min="6" max="6" width="13.125" customWidth="1"/>
    <col min="7" max="7" width="15.125" customWidth="1"/>
    <col min="8" max="8" width="14.625" customWidth="1"/>
    <col min="9" max="9" width="15.25" customWidth="1"/>
    <col min="10" max="10" width="12.25" customWidth="1"/>
    <col min="11" max="11" width="18.5" bestFit="1" customWidth="1"/>
    <col min="12" max="12" width="18.875" bestFit="1" customWidth="1"/>
    <col min="14" max="14" width="9.125" bestFit="1" customWidth="1"/>
  </cols>
  <sheetData>
    <row r="1" spans="1:12" s="48" customFormat="1" ht="26.45" customHeight="1" thickBot="1" x14ac:dyDescent="0.3">
      <c r="A1" s="167" t="s">
        <v>1195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9"/>
    </row>
    <row r="2" spans="1:12" ht="15" x14ac:dyDescent="0.25">
      <c r="A2" s="41" t="s">
        <v>1089</v>
      </c>
      <c r="B2" s="40" t="s">
        <v>1088</v>
      </c>
      <c r="C2" s="40" t="s">
        <v>1087</v>
      </c>
      <c r="D2" s="38" t="s">
        <v>1086</v>
      </c>
      <c r="E2" s="38" t="s">
        <v>1085</v>
      </c>
      <c r="F2" s="38" t="s">
        <v>1084</v>
      </c>
      <c r="G2" s="38" t="s">
        <v>1083</v>
      </c>
      <c r="H2" s="38" t="s">
        <v>1082</v>
      </c>
      <c r="I2" s="38" t="s">
        <v>1081</v>
      </c>
      <c r="J2" s="38" t="s">
        <v>1080</v>
      </c>
      <c r="K2" s="38" t="s">
        <v>1079</v>
      </c>
      <c r="L2" s="37" t="s">
        <v>1078</v>
      </c>
    </row>
    <row r="3" spans="1:12" ht="15" x14ac:dyDescent="0.25">
      <c r="A3" s="32" t="s">
        <v>1077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2"/>
    </row>
    <row r="4" spans="1:12" x14ac:dyDescent="0.2">
      <c r="A4" s="29" t="s">
        <v>1076</v>
      </c>
      <c r="B4" s="13">
        <v>35.049999999999997</v>
      </c>
      <c r="C4" s="13">
        <v>24.76</v>
      </c>
      <c r="D4" s="13">
        <f>4.46*4.2+(8*4.2-1.2*2.4)+4.4*2.1+7.9*1.1</f>
        <v>67.382000000000005</v>
      </c>
      <c r="E4" s="13"/>
      <c r="F4" s="13">
        <f>D4*2</f>
        <v>134.76400000000001</v>
      </c>
      <c r="G4" s="13">
        <f>F4</f>
        <v>134.76400000000001</v>
      </c>
      <c r="H4" s="13"/>
      <c r="I4" s="13">
        <f>D4+8*4.2-0.9*2.1</f>
        <v>99.091999999999999</v>
      </c>
      <c r="J4" s="13"/>
      <c r="K4" s="13"/>
      <c r="L4" s="12"/>
    </row>
    <row r="5" spans="1:12" x14ac:dyDescent="0.2">
      <c r="A5" s="29" t="s">
        <v>1075</v>
      </c>
      <c r="B5" s="13">
        <v>16.86</v>
      </c>
      <c r="C5" s="13">
        <v>18.55</v>
      </c>
      <c r="D5" s="13"/>
      <c r="E5" s="13"/>
      <c r="F5" s="13">
        <v>8</v>
      </c>
      <c r="G5" s="13">
        <f>F5</f>
        <v>8</v>
      </c>
      <c r="H5" s="13"/>
      <c r="I5" s="13">
        <f>11.5*4.1-3.6*2.1+1.9*1.5</f>
        <v>42.44</v>
      </c>
      <c r="J5" s="13"/>
      <c r="K5" s="13"/>
      <c r="L5" s="12"/>
    </row>
    <row r="6" spans="1:12" x14ac:dyDescent="0.2">
      <c r="A6" s="29" t="s">
        <v>1035</v>
      </c>
      <c r="B6" s="13">
        <v>3.15</v>
      </c>
      <c r="C6" s="13">
        <v>7.2</v>
      </c>
      <c r="D6" s="13"/>
      <c r="E6" s="13"/>
      <c r="F6" s="13">
        <v>8</v>
      </c>
      <c r="G6" s="13">
        <v>8</v>
      </c>
      <c r="H6" s="13"/>
      <c r="I6" s="13"/>
      <c r="J6" s="13">
        <f>5.1*4.2-0.9*2.1+2.1*3.05</f>
        <v>25.934999999999999</v>
      </c>
      <c r="K6" s="13"/>
      <c r="L6" s="12"/>
    </row>
    <row r="7" spans="1:12" x14ac:dyDescent="0.2">
      <c r="A7" s="29" t="s">
        <v>1034</v>
      </c>
      <c r="B7" s="13">
        <v>3.15</v>
      </c>
      <c r="C7" s="13">
        <v>7.2</v>
      </c>
      <c r="D7" s="13"/>
      <c r="E7" s="13"/>
      <c r="F7" s="13"/>
      <c r="G7" s="13"/>
      <c r="H7" s="13"/>
      <c r="I7" s="13"/>
      <c r="J7" s="13">
        <f>5.1*4.2-0.9*2.1+2.1*4.2</f>
        <v>28.349999999999998</v>
      </c>
      <c r="K7" s="13"/>
      <c r="L7" s="12"/>
    </row>
    <row r="8" spans="1:12" x14ac:dyDescent="0.2">
      <c r="A8" s="29" t="s">
        <v>1074</v>
      </c>
      <c r="B8" s="13">
        <v>5.0199999999999996</v>
      </c>
      <c r="C8" s="13">
        <v>8.98</v>
      </c>
      <c r="D8" s="13"/>
      <c r="E8" s="13"/>
      <c r="F8" s="13"/>
      <c r="G8" s="13"/>
      <c r="H8" s="13"/>
      <c r="I8" s="13">
        <f>9*4.2-0.9*2.1</f>
        <v>35.910000000000004</v>
      </c>
      <c r="J8" s="13"/>
      <c r="K8" s="13"/>
      <c r="L8" s="12"/>
    </row>
    <row r="9" spans="1:12" x14ac:dyDescent="0.2">
      <c r="A9" s="29" t="s">
        <v>1073</v>
      </c>
      <c r="B9" s="13">
        <v>5.32</v>
      </c>
      <c r="C9" s="13">
        <v>9.27</v>
      </c>
      <c r="D9" s="13"/>
      <c r="E9" s="13"/>
      <c r="F9" s="13">
        <v>8</v>
      </c>
      <c r="G9" s="13">
        <f>F9</f>
        <v>8</v>
      </c>
      <c r="H9" s="13"/>
      <c r="I9" s="13">
        <f>7.17*4.2+2.05*3.05-0.8*2.1</f>
        <v>34.686500000000002</v>
      </c>
      <c r="J9" s="13"/>
      <c r="K9" s="13"/>
      <c r="L9" s="12"/>
    </row>
    <row r="10" spans="1:12" x14ac:dyDescent="0.2">
      <c r="A10" s="29" t="s">
        <v>1072</v>
      </c>
      <c r="B10" s="13">
        <v>5.2</v>
      </c>
      <c r="C10" s="13">
        <v>9.15</v>
      </c>
      <c r="D10" s="13"/>
      <c r="E10" s="13">
        <f>4.55*3.15-0.9*2.1</f>
        <v>12.442499999999999</v>
      </c>
      <c r="F10" s="13">
        <v>8</v>
      </c>
      <c r="G10" s="13">
        <v>8</v>
      </c>
      <c r="H10" s="13"/>
      <c r="I10" s="13">
        <f>7.25*4.2-0.9*2.1</f>
        <v>28.560000000000002</v>
      </c>
      <c r="J10" s="13"/>
      <c r="K10" s="13"/>
      <c r="L10" s="12"/>
    </row>
    <row r="11" spans="1:12" x14ac:dyDescent="0.2">
      <c r="A11" s="29" t="s">
        <v>1071</v>
      </c>
      <c r="B11" s="13">
        <v>5.2</v>
      </c>
      <c r="C11" s="13">
        <v>9.15</v>
      </c>
      <c r="D11" s="13"/>
      <c r="E11" s="13">
        <f>2.55*3.15-0.9*2.1</f>
        <v>6.1424999999999983</v>
      </c>
      <c r="F11" s="13"/>
      <c r="G11" s="13"/>
      <c r="H11" s="13"/>
      <c r="I11" s="13">
        <f>7.25*4.2-0.9*2.1-2.15*1.15</f>
        <v>26.087500000000002</v>
      </c>
      <c r="J11" s="13"/>
      <c r="K11" s="13"/>
      <c r="L11" s="12"/>
    </row>
    <row r="12" spans="1:12" x14ac:dyDescent="0.2">
      <c r="A12" s="29" t="s">
        <v>1070</v>
      </c>
      <c r="B12" s="13">
        <v>18.75</v>
      </c>
      <c r="C12" s="13">
        <v>17.53</v>
      </c>
      <c r="D12" s="13"/>
      <c r="E12" s="13"/>
      <c r="F12" s="13">
        <f>3.5*4</f>
        <v>14</v>
      </c>
      <c r="G12" s="13">
        <f>F12</f>
        <v>14</v>
      </c>
      <c r="H12" s="13"/>
      <c r="I12" s="13">
        <f>10.4*4.2-1.8*2.1+3.65*4.2</f>
        <v>55.230000000000004</v>
      </c>
      <c r="J12" s="13"/>
      <c r="K12" s="13"/>
      <c r="L12" s="12"/>
    </row>
    <row r="13" spans="1:12" x14ac:dyDescent="0.2">
      <c r="A13" s="29" t="s">
        <v>1069</v>
      </c>
      <c r="B13" s="13">
        <v>15.55</v>
      </c>
      <c r="C13" s="13">
        <v>16.3</v>
      </c>
      <c r="D13" s="13"/>
      <c r="E13" s="13">
        <f>5.7*3.15</f>
        <v>17.954999999999998</v>
      </c>
      <c r="F13" s="13">
        <v>24</v>
      </c>
      <c r="G13" s="13">
        <f>F13</f>
        <v>24</v>
      </c>
      <c r="H13" s="13"/>
      <c r="I13" s="13">
        <f>10.3*4.2+2.85*3.05</f>
        <v>51.952500000000001</v>
      </c>
      <c r="J13" s="13"/>
      <c r="K13" s="13"/>
      <c r="L13" s="12"/>
    </row>
    <row r="14" spans="1:12" x14ac:dyDescent="0.2">
      <c r="A14" s="29" t="s">
        <v>1068</v>
      </c>
      <c r="B14" s="13"/>
      <c r="C14" s="13"/>
      <c r="D14" s="13"/>
      <c r="E14" s="13"/>
      <c r="F14" s="13"/>
      <c r="G14" s="13"/>
      <c r="H14" s="13"/>
      <c r="I14" s="13">
        <f>14.62*4.2</f>
        <v>61.403999999999996</v>
      </c>
      <c r="J14" s="13"/>
      <c r="K14" s="13"/>
      <c r="L14" s="12"/>
    </row>
    <row r="15" spans="1:12" x14ac:dyDescent="0.2">
      <c r="A15" s="29" t="s">
        <v>1067</v>
      </c>
      <c r="B15" s="13">
        <v>12.5</v>
      </c>
      <c r="C15" s="13">
        <v>16.62</v>
      </c>
      <c r="D15" s="13"/>
      <c r="E15" s="13"/>
      <c r="F15" s="13"/>
      <c r="G15" s="13"/>
      <c r="H15" s="13"/>
      <c r="I15" s="13">
        <f>C15*4.2-0.8*2.1</f>
        <v>68.123999999999995</v>
      </c>
      <c r="J15" s="13"/>
      <c r="K15" s="13"/>
      <c r="L15" s="12"/>
    </row>
    <row r="16" spans="1:12" x14ac:dyDescent="0.2">
      <c r="A16" s="29" t="s">
        <v>1050</v>
      </c>
      <c r="B16" s="13">
        <v>72.650000000000006</v>
      </c>
      <c r="C16" s="13">
        <v>35.299999999999997</v>
      </c>
      <c r="D16" s="13"/>
      <c r="E16" s="13"/>
      <c r="F16" s="13"/>
      <c r="G16" s="13"/>
      <c r="H16" s="13"/>
      <c r="I16" s="13">
        <f>C16*4.2-0.8*2.1</f>
        <v>146.57999999999998</v>
      </c>
      <c r="J16" s="13"/>
      <c r="K16" s="13"/>
      <c r="L16" s="12"/>
    </row>
    <row r="17" spans="1:14" x14ac:dyDescent="0.2">
      <c r="A17" s="29" t="s">
        <v>1037</v>
      </c>
      <c r="B17" s="13"/>
      <c r="C17" s="13"/>
      <c r="D17" s="13"/>
      <c r="E17" s="13"/>
      <c r="F17" s="13"/>
      <c r="G17" s="13"/>
      <c r="H17" s="13"/>
      <c r="I17" s="13">
        <f>5.8*4.2-0.8*2.1</f>
        <v>22.68</v>
      </c>
      <c r="J17" s="13"/>
      <c r="K17" s="13"/>
      <c r="L17" s="12"/>
    </row>
    <row r="18" spans="1:14" x14ac:dyDescent="0.2">
      <c r="A18" s="29" t="s">
        <v>1033</v>
      </c>
      <c r="B18" s="13"/>
      <c r="C18" s="13"/>
      <c r="D18" s="13"/>
      <c r="E18" s="13"/>
      <c r="F18" s="13"/>
      <c r="G18" s="13"/>
      <c r="H18" s="13"/>
      <c r="I18" s="13">
        <f>34*4.2-10.55*2.1</f>
        <v>120.64500000000001</v>
      </c>
      <c r="J18" s="13"/>
      <c r="K18" s="13"/>
      <c r="L18" s="12"/>
    </row>
    <row r="19" spans="1:14" x14ac:dyDescent="0.2">
      <c r="A19" s="29" t="s">
        <v>1053</v>
      </c>
      <c r="B19" s="13">
        <v>3</v>
      </c>
      <c r="C19" s="13">
        <v>7</v>
      </c>
      <c r="D19" s="13"/>
      <c r="E19" s="13"/>
      <c r="F19" s="13"/>
      <c r="G19" s="13"/>
      <c r="H19" s="13"/>
      <c r="I19" s="13"/>
      <c r="J19" s="13">
        <f>7*4.2-0.8*2.1</f>
        <v>27.720000000000002</v>
      </c>
      <c r="K19" s="13"/>
      <c r="L19" s="12"/>
    </row>
    <row r="20" spans="1:14" x14ac:dyDescent="0.2">
      <c r="A20" s="29" t="s">
        <v>1039</v>
      </c>
      <c r="B20" s="13">
        <v>6.61</v>
      </c>
      <c r="C20" s="13">
        <v>10.5</v>
      </c>
      <c r="D20" s="13"/>
      <c r="E20" s="13"/>
      <c r="F20" s="13"/>
      <c r="G20" s="13"/>
      <c r="H20" s="13"/>
      <c r="I20" s="13"/>
      <c r="J20" s="13">
        <f>10.5*4.2-1.4*2.1</f>
        <v>41.160000000000004</v>
      </c>
      <c r="K20" s="13"/>
      <c r="L20" s="12"/>
    </row>
    <row r="21" spans="1:14" x14ac:dyDescent="0.2">
      <c r="A21" s="29" t="s">
        <v>1036</v>
      </c>
      <c r="B21" s="13">
        <v>3.85</v>
      </c>
      <c r="C21" s="13">
        <v>8.3000000000000007</v>
      </c>
      <c r="D21" s="13"/>
      <c r="E21" s="13"/>
      <c r="F21" s="13"/>
      <c r="G21" s="13"/>
      <c r="H21" s="13"/>
      <c r="I21" s="13">
        <f>6*4.2</f>
        <v>25.200000000000003</v>
      </c>
      <c r="J21" s="13"/>
      <c r="K21" s="13"/>
      <c r="L21" s="12"/>
    </row>
    <row r="22" spans="1:14" x14ac:dyDescent="0.2">
      <c r="A22" s="29" t="s">
        <v>1048</v>
      </c>
      <c r="B22" s="13">
        <v>3.51</v>
      </c>
      <c r="C22" s="13">
        <v>8</v>
      </c>
      <c r="D22" s="13"/>
      <c r="E22" s="13"/>
      <c r="F22" s="13"/>
      <c r="G22" s="13"/>
      <c r="H22" s="13"/>
      <c r="I22" s="13"/>
      <c r="J22" s="13">
        <f>8*4.2-0.8*2.1-0.7*1.1</f>
        <v>31.150000000000002</v>
      </c>
      <c r="K22" s="13"/>
      <c r="L22" s="12"/>
    </row>
    <row r="23" spans="1:14" x14ac:dyDescent="0.2">
      <c r="A23" s="29" t="s">
        <v>1066</v>
      </c>
      <c r="B23" s="13">
        <v>3.51</v>
      </c>
      <c r="C23" s="13">
        <v>8</v>
      </c>
      <c r="D23" s="13"/>
      <c r="E23" s="13"/>
      <c r="F23" s="13"/>
      <c r="G23" s="13"/>
      <c r="H23" s="13"/>
      <c r="I23" s="13"/>
      <c r="J23" s="13">
        <f>8*4.2-0.8*2.1-0.7*1.1</f>
        <v>31.150000000000002</v>
      </c>
      <c r="K23" s="13"/>
      <c r="L23" s="12"/>
    </row>
    <row r="24" spans="1:14" x14ac:dyDescent="0.2">
      <c r="A24" s="29" t="s">
        <v>1065</v>
      </c>
      <c r="B24" s="13">
        <v>14.45</v>
      </c>
      <c r="C24" s="13">
        <v>15.3</v>
      </c>
      <c r="D24" s="13"/>
      <c r="E24" s="13"/>
      <c r="F24" s="13"/>
      <c r="G24" s="13"/>
      <c r="H24" s="13"/>
      <c r="I24" s="13">
        <f>15.3*4.2-0.8*2.1</f>
        <v>62.580000000000005</v>
      </c>
      <c r="J24" s="13"/>
      <c r="K24" s="13"/>
      <c r="L24" s="12"/>
    </row>
    <row r="25" spans="1:14" x14ac:dyDescent="0.2">
      <c r="A25" s="29" t="s">
        <v>1064</v>
      </c>
      <c r="B25" s="13">
        <v>14.45</v>
      </c>
      <c r="C25" s="13">
        <v>15.3</v>
      </c>
      <c r="D25" s="13"/>
      <c r="E25" s="13"/>
      <c r="F25" s="13"/>
      <c r="G25" s="13"/>
      <c r="H25" s="13"/>
      <c r="I25" s="13">
        <f>15.3*4.2-0.8*2.1</f>
        <v>62.580000000000005</v>
      </c>
      <c r="J25" s="13"/>
      <c r="K25" s="13"/>
      <c r="L25" s="12"/>
    </row>
    <row r="26" spans="1:14" x14ac:dyDescent="0.2">
      <c r="A26" s="29" t="s">
        <v>1063</v>
      </c>
      <c r="B26" s="13">
        <v>13.82</v>
      </c>
      <c r="C26" s="13">
        <v>15</v>
      </c>
      <c r="D26" s="13"/>
      <c r="E26" s="13"/>
      <c r="F26" s="13"/>
      <c r="G26" s="13"/>
      <c r="H26" s="13"/>
      <c r="I26" s="13">
        <f>15*4.2-1.8*2.1</f>
        <v>59.22</v>
      </c>
      <c r="J26" s="13"/>
      <c r="K26" s="13"/>
      <c r="L26" s="12"/>
    </row>
    <row r="27" spans="1:14" x14ac:dyDescent="0.2">
      <c r="A27" s="29" t="s">
        <v>1062</v>
      </c>
      <c r="B27" s="13">
        <v>6.2</v>
      </c>
      <c r="C27" s="13">
        <v>10.130000000000001</v>
      </c>
      <c r="D27" s="13"/>
      <c r="E27" s="13"/>
      <c r="F27" s="13"/>
      <c r="G27" s="13"/>
      <c r="H27" s="13"/>
      <c r="I27" s="13">
        <f>10.13*4.2-0.8*2.1-0.7*1.1</f>
        <v>40.096000000000004</v>
      </c>
      <c r="J27" s="13"/>
      <c r="K27" s="13"/>
      <c r="L27" s="12"/>
    </row>
    <row r="28" spans="1:14" x14ac:dyDescent="0.2">
      <c r="A28" s="29" t="s">
        <v>1061</v>
      </c>
      <c r="B28" s="13">
        <v>6.15</v>
      </c>
      <c r="C28" s="13">
        <v>10.1</v>
      </c>
      <c r="D28" s="13">
        <f>2.9*3.15-0.8</f>
        <v>8.3349999999999991</v>
      </c>
      <c r="E28" s="13"/>
      <c r="F28" s="13">
        <f>D28*2</f>
        <v>16.669999999999998</v>
      </c>
      <c r="G28" s="13">
        <f>F28</f>
        <v>16.669999999999998</v>
      </c>
      <c r="H28" s="13"/>
      <c r="I28" s="13">
        <f>10.1*4.2-1.8*2.1</f>
        <v>38.64</v>
      </c>
      <c r="J28" s="13"/>
      <c r="K28" s="13"/>
      <c r="L28" s="12"/>
    </row>
    <row r="29" spans="1:14" x14ac:dyDescent="0.2">
      <c r="A29" s="29" t="s">
        <v>1060</v>
      </c>
      <c r="B29" s="13">
        <v>2.1</v>
      </c>
      <c r="C29" s="13">
        <v>5.8</v>
      </c>
      <c r="D29" s="13">
        <f>F29/2</f>
        <v>12.18</v>
      </c>
      <c r="E29" s="13"/>
      <c r="F29" s="13">
        <f>I29</f>
        <v>24.36</v>
      </c>
      <c r="G29" s="13">
        <f>F29</f>
        <v>24.36</v>
      </c>
      <c r="H29" s="13"/>
      <c r="I29" s="13">
        <f>5.8*4.2</f>
        <v>24.36</v>
      </c>
      <c r="J29" s="13"/>
      <c r="K29" s="13"/>
      <c r="L29" s="12"/>
    </row>
    <row r="30" spans="1:14" x14ac:dyDescent="0.2">
      <c r="A30" s="29" t="s">
        <v>1059</v>
      </c>
      <c r="B30" s="13"/>
      <c r="C30" s="13">
        <v>28</v>
      </c>
      <c r="D30" s="13">
        <f>C30*1.1</f>
        <v>30.800000000000004</v>
      </c>
      <c r="E30" s="13"/>
      <c r="F30" s="13">
        <f>D30*2</f>
        <v>61.600000000000009</v>
      </c>
      <c r="G30" s="13">
        <f>F30</f>
        <v>61.600000000000009</v>
      </c>
      <c r="H30" s="13"/>
      <c r="I30" s="13"/>
      <c r="J30" s="13"/>
      <c r="K30" s="13"/>
      <c r="L30" s="12"/>
      <c r="N30" s="46"/>
    </row>
    <row r="31" spans="1:14" ht="15" x14ac:dyDescent="0.25">
      <c r="A31" s="32" t="s">
        <v>1058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2"/>
    </row>
    <row r="32" spans="1:14" x14ac:dyDescent="0.2">
      <c r="A32" s="29" t="s">
        <v>1057</v>
      </c>
      <c r="B32" s="13">
        <v>33.5</v>
      </c>
      <c r="C32" s="13">
        <v>28.3</v>
      </c>
      <c r="D32" s="13"/>
      <c r="E32" s="13"/>
      <c r="F32" s="13"/>
      <c r="G32" s="13"/>
      <c r="H32" s="13"/>
      <c r="I32" s="13">
        <f>28.3*3-5.6*1.9-1.2*1.1</f>
        <v>72.940000000000012</v>
      </c>
      <c r="J32" s="13"/>
      <c r="K32" s="13"/>
      <c r="L32" s="12"/>
    </row>
    <row r="33" spans="1:12" x14ac:dyDescent="0.2">
      <c r="A33" s="29" t="s">
        <v>1056</v>
      </c>
      <c r="B33" s="13">
        <v>16.600000000000001</v>
      </c>
      <c r="C33" s="13">
        <v>16.7</v>
      </c>
      <c r="D33" s="13"/>
      <c r="E33" s="13"/>
      <c r="F33" s="13"/>
      <c r="G33" s="13"/>
      <c r="H33" s="13"/>
      <c r="I33" s="13">
        <f>13.5*3-0.9*2.1-2*0.9</f>
        <v>36.81</v>
      </c>
      <c r="J33" s="13"/>
      <c r="K33" s="13"/>
      <c r="L33" s="12"/>
    </row>
    <row r="34" spans="1:12" x14ac:dyDescent="0.2">
      <c r="A34" s="29" t="s">
        <v>1055</v>
      </c>
      <c r="B34" s="13">
        <v>10.55</v>
      </c>
      <c r="C34" s="13">
        <v>13</v>
      </c>
      <c r="D34" s="13"/>
      <c r="E34" s="13">
        <f>14.5*3.15-1.6*2.1-1.8*2.1</f>
        <v>38.534999999999997</v>
      </c>
      <c r="F34" s="13"/>
      <c r="G34" s="13"/>
      <c r="H34" s="13"/>
      <c r="I34" s="13">
        <f>22*3-3.36*1.9-2.5*2.1</f>
        <v>54.366</v>
      </c>
      <c r="J34" s="13"/>
      <c r="K34" s="13"/>
      <c r="L34" s="12"/>
    </row>
    <row r="35" spans="1:12" x14ac:dyDescent="0.2">
      <c r="A35" s="29" t="s">
        <v>1054</v>
      </c>
      <c r="B35" s="13">
        <v>17.309999999999999</v>
      </c>
      <c r="C35" s="13">
        <v>17</v>
      </c>
      <c r="D35" s="13"/>
      <c r="E35" s="13"/>
      <c r="F35" s="13"/>
      <c r="G35" s="13"/>
      <c r="H35" s="13"/>
      <c r="I35" s="13">
        <f>13.55*3-0.9*2.1-2.15*1.9</f>
        <v>34.675000000000004</v>
      </c>
      <c r="J35" s="13"/>
      <c r="K35" s="13"/>
      <c r="L35" s="12"/>
    </row>
    <row r="36" spans="1:12" x14ac:dyDescent="0.2">
      <c r="A36" s="29" t="s">
        <v>1039</v>
      </c>
      <c r="B36" s="13">
        <v>5.9</v>
      </c>
      <c r="C36" s="13">
        <v>11.4</v>
      </c>
      <c r="D36" s="13"/>
      <c r="E36" s="13"/>
      <c r="F36" s="13"/>
      <c r="G36" s="13"/>
      <c r="H36" s="13"/>
      <c r="I36" s="13"/>
      <c r="J36" s="13">
        <f>11.4*3-0.7*2.1-1*1.9</f>
        <v>30.830000000000005</v>
      </c>
      <c r="K36" s="13"/>
      <c r="L36" s="12"/>
    </row>
    <row r="37" spans="1:12" x14ac:dyDescent="0.2">
      <c r="A37" s="29" t="s">
        <v>1053</v>
      </c>
      <c r="B37" s="13">
        <v>2.6</v>
      </c>
      <c r="C37" s="13">
        <v>6.9</v>
      </c>
      <c r="D37" s="13"/>
      <c r="E37" s="13"/>
      <c r="F37" s="13"/>
      <c r="G37" s="13"/>
      <c r="H37" s="13"/>
      <c r="I37" s="13"/>
      <c r="J37" s="13">
        <f>6.9*3-0.8*2.1</f>
        <v>19.020000000000003</v>
      </c>
      <c r="K37" s="13"/>
      <c r="L37" s="12"/>
    </row>
    <row r="38" spans="1:12" x14ac:dyDescent="0.2">
      <c r="A38" s="29" t="s">
        <v>1052</v>
      </c>
      <c r="B38" s="13"/>
      <c r="C38" s="13"/>
      <c r="D38" s="13"/>
      <c r="E38" s="13"/>
      <c r="F38" s="13"/>
      <c r="G38" s="13">
        <f>5.5*3</f>
        <v>16.5</v>
      </c>
      <c r="H38" s="13"/>
      <c r="I38" s="13">
        <f>23.8*3-3.6*2.1</f>
        <v>63.84</v>
      </c>
      <c r="J38" s="13"/>
      <c r="K38" s="13"/>
      <c r="L38" s="12"/>
    </row>
    <row r="39" spans="1:12" x14ac:dyDescent="0.2">
      <c r="A39" s="29" t="s">
        <v>1051</v>
      </c>
      <c r="B39" s="13">
        <v>39.72</v>
      </c>
      <c r="C39" s="13">
        <v>26.52</v>
      </c>
      <c r="D39" s="13">
        <f>4.57*3.6</f>
        <v>16.452000000000002</v>
      </c>
      <c r="E39" s="13"/>
      <c r="F39" s="13">
        <f>D39*2</f>
        <v>32.904000000000003</v>
      </c>
      <c r="G39" s="13">
        <f>F39</f>
        <v>32.904000000000003</v>
      </c>
      <c r="H39" s="13"/>
      <c r="I39" s="13">
        <f>13.32*3-1*2.1</f>
        <v>37.86</v>
      </c>
      <c r="J39" s="13"/>
      <c r="K39" s="13"/>
      <c r="L39" s="12"/>
    </row>
    <row r="40" spans="1:12" x14ac:dyDescent="0.2">
      <c r="A40" s="29" t="s">
        <v>1050</v>
      </c>
      <c r="B40" s="13">
        <v>0.84</v>
      </c>
      <c r="C40" s="13">
        <v>3.8</v>
      </c>
      <c r="D40" s="13">
        <f>2.6*3.6</f>
        <v>9.3600000000000012</v>
      </c>
      <c r="E40" s="13"/>
      <c r="F40" s="13">
        <f>D40*2</f>
        <v>18.720000000000002</v>
      </c>
      <c r="G40" s="13">
        <f>F40</f>
        <v>18.720000000000002</v>
      </c>
      <c r="H40" s="13"/>
      <c r="I40" s="13">
        <f>3.8*3</f>
        <v>11.399999999999999</v>
      </c>
      <c r="J40" s="13"/>
      <c r="K40" s="13"/>
      <c r="L40" s="12"/>
    </row>
    <row r="41" spans="1:12" ht="11.45" customHeight="1" x14ac:dyDescent="0.2">
      <c r="A41" s="29" t="s">
        <v>1033</v>
      </c>
      <c r="B41" s="13"/>
      <c r="C41" s="13"/>
      <c r="D41" s="13"/>
      <c r="E41" s="13"/>
      <c r="F41" s="13"/>
      <c r="G41" s="13"/>
      <c r="H41" s="13"/>
      <c r="I41" s="13">
        <f>25*3-3.5*2.1-2.29*1.8-3*1.8-2.05*1.8-3.1*1.8</f>
        <v>48.858000000000011</v>
      </c>
      <c r="J41" s="13"/>
      <c r="K41" s="13"/>
      <c r="L41" s="12"/>
    </row>
    <row r="42" spans="1:12" x14ac:dyDescent="0.2">
      <c r="A42" s="29" t="s">
        <v>1035</v>
      </c>
      <c r="B42" s="13">
        <v>3.05</v>
      </c>
      <c r="C42" s="13">
        <v>7.1</v>
      </c>
      <c r="D42" s="13"/>
      <c r="E42" s="13"/>
      <c r="F42" s="13"/>
      <c r="G42" s="13"/>
      <c r="H42" s="13"/>
      <c r="I42" s="13"/>
      <c r="J42" s="13">
        <f>7.1*3-0.9*2.1-0.7*1.1</f>
        <v>18.639999999999997</v>
      </c>
      <c r="K42" s="13"/>
      <c r="L42" s="12"/>
    </row>
    <row r="43" spans="1:12" x14ac:dyDescent="0.2">
      <c r="A43" s="29" t="s">
        <v>1034</v>
      </c>
      <c r="B43" s="13">
        <v>3.05</v>
      </c>
      <c r="C43" s="13">
        <v>7.1</v>
      </c>
      <c r="D43" s="13"/>
      <c r="E43" s="13"/>
      <c r="F43" s="13"/>
      <c r="G43" s="13"/>
      <c r="H43" s="13"/>
      <c r="I43" s="13"/>
      <c r="J43" s="13">
        <f>7.1*3-0.9*2.1-0.7*1.1</f>
        <v>18.639999999999997</v>
      </c>
      <c r="K43" s="13"/>
      <c r="L43" s="12"/>
    </row>
    <row r="44" spans="1:12" x14ac:dyDescent="0.2">
      <c r="A44" s="29" t="s">
        <v>1049</v>
      </c>
      <c r="B44" s="13">
        <v>6.3</v>
      </c>
      <c r="C44" s="13">
        <v>10.3</v>
      </c>
      <c r="D44" s="13"/>
      <c r="E44" s="13"/>
      <c r="F44" s="13"/>
      <c r="G44" s="13"/>
      <c r="H44" s="13"/>
      <c r="I44" s="13"/>
      <c r="J44" s="13">
        <f>10.3*3-1.8*2.1</f>
        <v>27.12</v>
      </c>
      <c r="K44" s="13"/>
      <c r="L44" s="12"/>
    </row>
    <row r="45" spans="1:12" x14ac:dyDescent="0.2">
      <c r="A45" s="29" t="s">
        <v>1036</v>
      </c>
      <c r="B45" s="13">
        <v>3.85</v>
      </c>
      <c r="C45" s="13">
        <v>8.3000000000000007</v>
      </c>
      <c r="D45" s="13"/>
      <c r="E45" s="13"/>
      <c r="F45" s="13">
        <f>5.4*3.5</f>
        <v>18.900000000000002</v>
      </c>
      <c r="G45" s="13">
        <f>5.4*3.5</f>
        <v>18.900000000000002</v>
      </c>
      <c r="H45" s="13"/>
      <c r="I45" s="13">
        <f>6*3-2.8*1.1</f>
        <v>14.92</v>
      </c>
      <c r="J45" s="13"/>
      <c r="K45" s="13"/>
      <c r="L45" s="12"/>
    </row>
    <row r="46" spans="1:12" x14ac:dyDescent="0.2">
      <c r="A46" s="29" t="s">
        <v>1048</v>
      </c>
      <c r="B46" s="13">
        <v>3.51</v>
      </c>
      <c r="C46" s="13">
        <v>8</v>
      </c>
      <c r="D46" s="13"/>
      <c r="E46" s="13"/>
      <c r="F46" s="13"/>
      <c r="G46" s="13"/>
      <c r="H46" s="13"/>
      <c r="I46" s="13"/>
      <c r="J46" s="13">
        <f>8*3-0.8*2.1-0.7*1.1</f>
        <v>21.55</v>
      </c>
      <c r="K46" s="13"/>
      <c r="L46" s="12"/>
    </row>
    <row r="47" spans="1:12" x14ac:dyDescent="0.2">
      <c r="A47" s="29" t="s">
        <v>1047</v>
      </c>
      <c r="B47" s="13">
        <v>3.51</v>
      </c>
      <c r="C47" s="13">
        <v>8</v>
      </c>
      <c r="D47" s="13"/>
      <c r="E47" s="13"/>
      <c r="F47" s="13"/>
      <c r="G47" s="13"/>
      <c r="H47" s="13"/>
      <c r="I47" s="13"/>
      <c r="J47" s="13">
        <f>8*3-0.8*2.1-0.7*1.1</f>
        <v>21.55</v>
      </c>
      <c r="K47" s="13"/>
      <c r="L47" s="12"/>
    </row>
    <row r="48" spans="1:12" x14ac:dyDescent="0.2">
      <c r="A48" s="29" t="s">
        <v>1046</v>
      </c>
      <c r="B48" s="13">
        <v>14.45</v>
      </c>
      <c r="C48" s="13">
        <v>15.3</v>
      </c>
      <c r="D48" s="13"/>
      <c r="E48" s="13"/>
      <c r="F48" s="13"/>
      <c r="G48" s="13"/>
      <c r="H48" s="13"/>
      <c r="I48" s="13">
        <f>12*3-0.7*1.1</f>
        <v>35.229999999999997</v>
      </c>
      <c r="J48" s="13"/>
      <c r="K48" s="13"/>
      <c r="L48" s="12"/>
    </row>
    <row r="49" spans="1:12" x14ac:dyDescent="0.2">
      <c r="A49" s="29" t="s">
        <v>1045</v>
      </c>
      <c r="B49" s="13">
        <v>14.45</v>
      </c>
      <c r="C49" s="13">
        <v>15.3</v>
      </c>
      <c r="D49" s="13"/>
      <c r="E49" s="13"/>
      <c r="F49" s="13"/>
      <c r="G49" s="13"/>
      <c r="H49" s="13"/>
      <c r="I49" s="13">
        <f>15.3*3-0.9*2.1</f>
        <v>44.010000000000005</v>
      </c>
      <c r="J49" s="13"/>
      <c r="K49" s="13"/>
      <c r="L49" s="12"/>
    </row>
    <row r="50" spans="1:12" ht="13.15" customHeight="1" x14ac:dyDescent="0.2">
      <c r="A50" s="29" t="s">
        <v>1044</v>
      </c>
      <c r="B50" s="13">
        <v>13.81</v>
      </c>
      <c r="C50" s="13">
        <v>15</v>
      </c>
      <c r="D50" s="13"/>
      <c r="E50" s="13"/>
      <c r="F50" s="13"/>
      <c r="G50" s="13"/>
      <c r="H50" s="13"/>
      <c r="I50" s="13">
        <f>12*3+2.05*2*3</f>
        <v>48.3</v>
      </c>
      <c r="J50" s="13"/>
      <c r="K50" s="13"/>
      <c r="L50" s="12"/>
    </row>
    <row r="51" spans="1:12" ht="15" x14ac:dyDescent="0.25">
      <c r="A51" s="32" t="s">
        <v>1043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2"/>
    </row>
    <row r="52" spans="1:12" x14ac:dyDescent="0.2">
      <c r="A52" s="29" t="s">
        <v>1042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2"/>
    </row>
    <row r="53" spans="1:12" x14ac:dyDescent="0.2">
      <c r="A53" s="29" t="s">
        <v>1041</v>
      </c>
      <c r="B53" s="13"/>
      <c r="C53" s="13"/>
      <c r="D53" s="13">
        <f>8.4*4.3</f>
        <v>36.119999999999997</v>
      </c>
      <c r="E53" s="13"/>
      <c r="F53" s="13">
        <f>D53*2</f>
        <v>72.239999999999995</v>
      </c>
      <c r="G53" s="13">
        <f>F53</f>
        <v>72.239999999999995</v>
      </c>
      <c r="H53" s="13"/>
      <c r="I53" s="13">
        <f>G53</f>
        <v>72.239999999999995</v>
      </c>
      <c r="J53" s="13"/>
      <c r="K53" s="13"/>
      <c r="L53" s="12"/>
    </row>
    <row r="54" spans="1:12" x14ac:dyDescent="0.2">
      <c r="A54" s="29" t="s">
        <v>1040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2"/>
    </row>
    <row r="55" spans="1:12" x14ac:dyDescent="0.2">
      <c r="A55" s="29" t="s">
        <v>1039</v>
      </c>
      <c r="B55" s="13"/>
      <c r="C55" s="13"/>
      <c r="D55" s="13">
        <f>5.5*3.5-0.9*2.1</f>
        <v>17.36</v>
      </c>
      <c r="E55" s="13"/>
      <c r="F55" s="13">
        <f>D55*2</f>
        <v>34.72</v>
      </c>
      <c r="G55" s="13"/>
      <c r="H55" s="13">
        <f>F55</f>
        <v>34.72</v>
      </c>
      <c r="I55" s="13"/>
      <c r="J55" s="13">
        <f>9.3*3-0.8*2.1-1*1.1</f>
        <v>25.12</v>
      </c>
      <c r="K55" s="13"/>
      <c r="L55" s="12"/>
    </row>
    <row r="56" spans="1:12" ht="13.15" customHeight="1" x14ac:dyDescent="0.2">
      <c r="A56" s="29" t="s">
        <v>1038</v>
      </c>
      <c r="B56" s="13"/>
      <c r="C56" s="13"/>
      <c r="D56" s="13"/>
      <c r="E56" s="13"/>
      <c r="F56" s="13"/>
      <c r="G56" s="13">
        <f>I56</f>
        <v>36</v>
      </c>
      <c r="H56" s="13">
        <f>5.5*3</f>
        <v>16.5</v>
      </c>
      <c r="I56" s="13">
        <f>12*3</f>
        <v>36</v>
      </c>
      <c r="J56" s="13"/>
      <c r="K56" s="13"/>
      <c r="L56" s="12"/>
    </row>
    <row r="57" spans="1:12" ht="13.15" customHeight="1" x14ac:dyDescent="0.2">
      <c r="A57" s="29" t="s">
        <v>1037</v>
      </c>
      <c r="B57" s="13"/>
      <c r="C57" s="13"/>
      <c r="D57" s="13"/>
      <c r="E57" s="13"/>
      <c r="F57" s="13"/>
      <c r="G57" s="13">
        <f>I57</f>
        <v>17.670000000000002</v>
      </c>
      <c r="H57" s="13"/>
      <c r="I57" s="13">
        <f>7.15*3-1.8*2.1</f>
        <v>17.670000000000002</v>
      </c>
      <c r="J57" s="13"/>
      <c r="K57" s="13"/>
      <c r="L57" s="12"/>
    </row>
    <row r="58" spans="1:12" ht="12" customHeight="1" x14ac:dyDescent="0.2">
      <c r="A58" s="29" t="s">
        <v>1036</v>
      </c>
      <c r="B58" s="13"/>
      <c r="C58" s="13"/>
      <c r="D58" s="13">
        <f>5.2*3.5</f>
        <v>18.2</v>
      </c>
      <c r="E58" s="13"/>
      <c r="F58" s="13"/>
      <c r="G58" s="13"/>
      <c r="H58" s="13"/>
      <c r="I58" s="13">
        <f>6*3-2.8*1.1</f>
        <v>14.92</v>
      </c>
      <c r="J58" s="13"/>
      <c r="K58" s="13"/>
      <c r="L58" s="12"/>
    </row>
    <row r="59" spans="1:12" x14ac:dyDescent="0.2">
      <c r="A59" s="29" t="s">
        <v>1035</v>
      </c>
      <c r="B59" s="13"/>
      <c r="C59" s="13"/>
      <c r="D59" s="13">
        <f>11*3.5-0.9*2.1</f>
        <v>36.61</v>
      </c>
      <c r="E59" s="13"/>
      <c r="F59" s="13"/>
      <c r="G59" s="13"/>
      <c r="H59" s="13"/>
      <c r="I59" s="13"/>
      <c r="J59" s="13">
        <f>7.1*3-0.9*2.1</f>
        <v>19.409999999999997</v>
      </c>
      <c r="K59" s="13"/>
      <c r="L59" s="12"/>
    </row>
    <row r="60" spans="1:12" x14ac:dyDescent="0.2">
      <c r="A60" s="29" t="s">
        <v>1034</v>
      </c>
      <c r="B60" s="13"/>
      <c r="C60" s="13"/>
      <c r="D60" s="13"/>
      <c r="E60" s="13"/>
      <c r="F60" s="13"/>
      <c r="G60" s="13"/>
      <c r="H60" s="13"/>
      <c r="I60" s="13"/>
      <c r="J60" s="13">
        <f>7.1*3-0.9*2.1</f>
        <v>19.409999999999997</v>
      </c>
      <c r="K60" s="13"/>
      <c r="L60" s="12"/>
    </row>
    <row r="61" spans="1:12" x14ac:dyDescent="0.2">
      <c r="A61" s="29" t="s">
        <v>1033</v>
      </c>
      <c r="B61" s="13"/>
      <c r="C61" s="13"/>
      <c r="D61" s="13"/>
      <c r="E61" s="13"/>
      <c r="F61" s="13"/>
      <c r="G61" s="13"/>
      <c r="H61" s="13"/>
      <c r="I61" s="13">
        <f>15.5*3-0.8*2.1-4.9*2.9-1.6*2.1</f>
        <v>27.25</v>
      </c>
      <c r="J61" s="13"/>
      <c r="K61" s="13"/>
      <c r="L61" s="12"/>
    </row>
    <row r="62" spans="1:12" x14ac:dyDescent="0.2">
      <c r="A62" s="2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2"/>
    </row>
    <row r="63" spans="1:12" s="47" customFormat="1" x14ac:dyDescent="0.2">
      <c r="A63" s="29" t="s">
        <v>1172</v>
      </c>
      <c r="B63" s="13"/>
      <c r="C63" s="13"/>
      <c r="D63" s="13"/>
      <c r="E63" s="13"/>
      <c r="F63" s="13"/>
      <c r="G63" s="13">
        <f>48*0.45*0.9</f>
        <v>19.440000000000001</v>
      </c>
      <c r="H63" s="13"/>
      <c r="I63" s="13">
        <f>G63</f>
        <v>19.440000000000001</v>
      </c>
      <c r="J63" s="13"/>
      <c r="K63" s="13"/>
      <c r="L63" s="12"/>
    </row>
    <row r="64" spans="1:12" s="47" customFormat="1" x14ac:dyDescent="0.2">
      <c r="A64" s="2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2"/>
    </row>
    <row r="65" spans="1:12" s="47" customFormat="1" ht="15" x14ac:dyDescent="0.25">
      <c r="A65" s="32" t="s">
        <v>1186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2"/>
    </row>
    <row r="66" spans="1:12" s="47" customFormat="1" x14ac:dyDescent="0.2">
      <c r="A66" s="49" t="s">
        <v>1187</v>
      </c>
      <c r="B66" s="13"/>
      <c r="C66" s="13"/>
      <c r="D66" s="13"/>
      <c r="E66" s="13"/>
      <c r="F66" s="13"/>
      <c r="G66" s="13">
        <f>K66</f>
        <v>256.5</v>
      </c>
      <c r="H66" s="13"/>
      <c r="I66" s="13"/>
      <c r="J66" s="13"/>
      <c r="K66" s="13">
        <f>45*5.7</f>
        <v>256.5</v>
      </c>
      <c r="L66" s="12"/>
    </row>
    <row r="67" spans="1:12" s="47" customFormat="1" x14ac:dyDescent="0.2">
      <c r="A67" s="29" t="s">
        <v>1188</v>
      </c>
      <c r="B67" s="13"/>
      <c r="C67" s="13"/>
      <c r="D67" s="13"/>
      <c r="E67" s="13"/>
      <c r="F67" s="13"/>
      <c r="G67" s="13">
        <f>K67</f>
        <v>134.12</v>
      </c>
      <c r="H67" s="13"/>
      <c r="I67" s="13"/>
      <c r="J67" s="13"/>
      <c r="K67" s="13">
        <f>38.32*3.5</f>
        <v>134.12</v>
      </c>
      <c r="L67" s="12"/>
    </row>
    <row r="68" spans="1:12" s="47" customFormat="1" x14ac:dyDescent="0.2">
      <c r="A68" s="2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2"/>
    </row>
    <row r="69" spans="1:12" ht="15" x14ac:dyDescent="0.25">
      <c r="A69" s="32" t="s">
        <v>1032</v>
      </c>
      <c r="B69" s="13"/>
      <c r="C69" s="13"/>
      <c r="D69" s="13"/>
      <c r="E69" s="13"/>
      <c r="F69" s="13">
        <v>21.5</v>
      </c>
      <c r="G69" s="13">
        <v>21.5</v>
      </c>
      <c r="H69" s="13"/>
      <c r="I69" s="13"/>
      <c r="J69" s="13"/>
      <c r="K69" s="13">
        <f>G69</f>
        <v>21.5</v>
      </c>
      <c r="L69" s="12"/>
    </row>
    <row r="70" spans="1:12" x14ac:dyDescent="0.2">
      <c r="A70" s="29" t="s">
        <v>1031</v>
      </c>
      <c r="B70" s="13"/>
      <c r="C70" s="13"/>
      <c r="D70" s="13"/>
      <c r="E70" s="13"/>
      <c r="F70" s="13"/>
      <c r="G70" s="13">
        <f>K70</f>
        <v>76</v>
      </c>
      <c r="H70" s="13">
        <f>L70</f>
        <v>30</v>
      </c>
      <c r="I70" s="13"/>
      <c r="J70" s="13"/>
      <c r="K70" s="13">
        <f>24.29+9.51+18.17+6.38+17.65</f>
        <v>76</v>
      </c>
      <c r="L70" s="12">
        <f>12+18</f>
        <v>30</v>
      </c>
    </row>
    <row r="71" spans="1:12" x14ac:dyDescent="0.2">
      <c r="A71" s="29" t="s">
        <v>1030</v>
      </c>
      <c r="B71" s="13"/>
      <c r="C71" s="13"/>
      <c r="D71" s="13"/>
      <c r="E71" s="13"/>
      <c r="F71" s="13"/>
      <c r="G71" s="13">
        <f>27.45+30.45+13.35+6.62+47.8</f>
        <v>125.67</v>
      </c>
      <c r="H71" s="13">
        <f>20.08+9.3</f>
        <v>29.38</v>
      </c>
      <c r="I71" s="13"/>
      <c r="J71" s="13"/>
      <c r="K71" s="13">
        <f>G71</f>
        <v>125.67</v>
      </c>
      <c r="L71" s="12">
        <f>H71</f>
        <v>29.38</v>
      </c>
    </row>
    <row r="72" spans="1:12" x14ac:dyDescent="0.2">
      <c r="A72" s="29" t="s">
        <v>1029</v>
      </c>
      <c r="B72" s="13"/>
      <c r="C72" s="13"/>
      <c r="D72" s="13"/>
      <c r="E72" s="13"/>
      <c r="F72" s="13"/>
      <c r="G72" s="13">
        <v>235</v>
      </c>
      <c r="H72" s="13">
        <f>L72</f>
        <v>0</v>
      </c>
      <c r="I72" s="13"/>
      <c r="J72" s="13"/>
      <c r="K72" s="13">
        <f>G72</f>
        <v>235</v>
      </c>
      <c r="L72" s="12"/>
    </row>
    <row r="73" spans="1:12" x14ac:dyDescent="0.2">
      <c r="A73" s="29" t="s">
        <v>1028</v>
      </c>
      <c r="B73" s="13"/>
      <c r="C73" s="13"/>
      <c r="D73" s="13"/>
      <c r="E73" s="13"/>
      <c r="F73" s="13"/>
      <c r="G73" s="13">
        <v>75</v>
      </c>
      <c r="H73" s="13">
        <v>20.43</v>
      </c>
      <c r="I73" s="13"/>
      <c r="J73" s="13"/>
      <c r="K73" s="13">
        <f>G73</f>
        <v>75</v>
      </c>
      <c r="L73" s="12">
        <f>H73</f>
        <v>20.43</v>
      </c>
    </row>
    <row r="74" spans="1:12" ht="15" thickBot="1" x14ac:dyDescent="0.25">
      <c r="A74" s="27" t="s">
        <v>1027</v>
      </c>
      <c r="B74" s="10"/>
      <c r="C74" s="10"/>
      <c r="D74" s="10"/>
      <c r="E74" s="10"/>
      <c r="F74" s="10">
        <f>'MC - Aterro e Muro de Arrimo'!D7</f>
        <v>45.430000000000007</v>
      </c>
      <c r="G74" s="10">
        <f>F74</f>
        <v>45.430000000000007</v>
      </c>
      <c r="H74" s="10"/>
      <c r="I74" s="10"/>
      <c r="J74" s="10"/>
      <c r="K74" s="10">
        <f>G74</f>
        <v>45.430000000000007</v>
      </c>
      <c r="L74" s="9"/>
    </row>
    <row r="75" spans="1:12" x14ac:dyDescent="0.2">
      <c r="A75" s="50"/>
      <c r="B75" s="51"/>
      <c r="C75" s="51"/>
      <c r="D75" s="52"/>
      <c r="E75" s="52"/>
      <c r="F75" s="52"/>
      <c r="G75" s="52"/>
      <c r="H75" s="52"/>
      <c r="I75" s="52"/>
      <c r="J75" s="52"/>
      <c r="K75" s="52"/>
      <c r="L75" s="53"/>
    </row>
    <row r="76" spans="1:12" ht="15.75" thickBot="1" x14ac:dyDescent="0.3">
      <c r="A76" s="54" t="s">
        <v>1026</v>
      </c>
      <c r="B76" s="55"/>
      <c r="C76" s="55">
        <f>SUM(C4:C74)</f>
        <v>539.46000000000015</v>
      </c>
      <c r="D76" s="55">
        <f t="shared" ref="D76:L76" si="0">SUM(D4:D74)</f>
        <v>252.79900000000004</v>
      </c>
      <c r="E76" s="55">
        <f t="shared" si="0"/>
        <v>75.074999999999989</v>
      </c>
      <c r="F76" s="55">
        <f t="shared" si="0"/>
        <v>551.80799999999999</v>
      </c>
      <c r="G76" s="55">
        <f t="shared" si="0"/>
        <v>1508.9880000000001</v>
      </c>
      <c r="H76" s="55">
        <f t="shared" si="0"/>
        <v>131.03</v>
      </c>
      <c r="I76" s="55">
        <f t="shared" si="0"/>
        <v>1796.7965000000002</v>
      </c>
      <c r="J76" s="55">
        <f t="shared" si="0"/>
        <v>406.755</v>
      </c>
      <c r="K76" s="55">
        <f t="shared" si="0"/>
        <v>969.22</v>
      </c>
      <c r="L76" s="56">
        <f t="shared" si="0"/>
        <v>79.81</v>
      </c>
    </row>
    <row r="77" spans="1:12" ht="13.15" customHeight="1" x14ac:dyDescent="0.2"/>
    <row r="90" spans="8:9" x14ac:dyDescent="0.2">
      <c r="H90" t="s">
        <v>1173</v>
      </c>
      <c r="I90">
        <v>32.450000000000003</v>
      </c>
    </row>
    <row r="91" spans="8:9" x14ac:dyDescent="0.2">
      <c r="H91" t="s">
        <v>1174</v>
      </c>
      <c r="I91">
        <v>66.099999999999994</v>
      </c>
    </row>
    <row r="92" spans="8:9" x14ac:dyDescent="0.2">
      <c r="H92" t="s">
        <v>1175</v>
      </c>
      <c r="I92">
        <v>32.450000000000003</v>
      </c>
    </row>
    <row r="93" spans="8:9" x14ac:dyDescent="0.2">
      <c r="I93">
        <f>SUM(I90:I92)</f>
        <v>131</v>
      </c>
    </row>
  </sheetData>
  <mergeCells count="1">
    <mergeCell ref="A1:L1"/>
  </mergeCells>
  <pageMargins left="0.51181102362204722" right="0.51181102362204722" top="0.98425196850393704" bottom="0.98425196850393704" header="0.51181102362204722" footer="0.51181102362204722"/>
  <pageSetup paperSize="9" scale="69" fitToHeight="0" orientation="landscape" r:id="rId1"/>
  <headerFooter>
    <oddFooter>&amp;L&amp;A&amp;CPágina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H360" sqref="H360:J360"/>
    </sheetView>
  </sheetViews>
  <sheetFormatPr defaultRowHeight="14.25" x14ac:dyDescent="0.2"/>
  <cols>
    <col min="1" max="1" width="10.75" customWidth="1"/>
    <col min="2" max="5" width="10.75" style="8" customWidth="1"/>
    <col min="6" max="6" width="18.875" style="8" bestFit="1" customWidth="1"/>
    <col min="7" max="7" width="18.875" style="8" customWidth="1"/>
    <col min="8" max="8" width="14.125" style="8" bestFit="1" customWidth="1"/>
    <col min="9" max="9" width="22" style="8" bestFit="1" customWidth="1"/>
  </cols>
  <sheetData>
    <row r="1" spans="1:9" ht="15" x14ac:dyDescent="0.25">
      <c r="A1" s="170" t="s">
        <v>1151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2">
      <c r="A2" s="24" t="s">
        <v>1115</v>
      </c>
      <c r="B2" s="13" t="s">
        <v>9</v>
      </c>
      <c r="C2" s="13" t="s">
        <v>965</v>
      </c>
      <c r="D2" s="13" t="s">
        <v>964</v>
      </c>
      <c r="E2" s="13" t="s">
        <v>1114</v>
      </c>
      <c r="F2" s="13" t="s">
        <v>1150</v>
      </c>
      <c r="G2" s="13" t="s">
        <v>1149</v>
      </c>
      <c r="H2" s="13" t="s">
        <v>1113</v>
      </c>
      <c r="I2" s="13" t="s">
        <v>1112</v>
      </c>
    </row>
    <row r="3" spans="1:9" x14ac:dyDescent="0.2">
      <c r="A3" s="24" t="s">
        <v>1148</v>
      </c>
      <c r="B3" s="13">
        <v>4</v>
      </c>
      <c r="C3" s="13">
        <v>0.7</v>
      </c>
      <c r="D3" s="13">
        <v>1</v>
      </c>
      <c r="E3" s="13">
        <f t="shared" ref="E3:E22" si="0">PRODUCT(B3:D3)</f>
        <v>2.8</v>
      </c>
      <c r="F3" s="13">
        <f t="shared" ref="F3:F22" si="1">2*B3*C3*1.4*0.1*0.2</f>
        <v>0.15679999999999999</v>
      </c>
      <c r="G3" s="13">
        <f t="shared" ref="G3:G22" si="2">B3*C3</f>
        <v>2.8</v>
      </c>
      <c r="H3" s="13" t="s">
        <v>1131</v>
      </c>
      <c r="I3" s="13" t="s">
        <v>1127</v>
      </c>
    </row>
    <row r="4" spans="1:9" x14ac:dyDescent="0.2">
      <c r="A4" s="24" t="s">
        <v>1147</v>
      </c>
      <c r="B4" s="13">
        <v>1</v>
      </c>
      <c r="C4" s="13">
        <v>2.85</v>
      </c>
      <c r="D4" s="13">
        <v>1</v>
      </c>
      <c r="E4" s="13">
        <f t="shared" si="0"/>
        <v>2.85</v>
      </c>
      <c r="F4" s="13">
        <f t="shared" si="1"/>
        <v>0.15960000000000002</v>
      </c>
      <c r="G4" s="13">
        <f t="shared" si="2"/>
        <v>2.85</v>
      </c>
      <c r="H4" s="13" t="s">
        <v>1131</v>
      </c>
      <c r="I4" s="13" t="s">
        <v>1127</v>
      </c>
    </row>
    <row r="5" spans="1:9" x14ac:dyDescent="0.2">
      <c r="A5" s="24" t="s">
        <v>1146</v>
      </c>
      <c r="B5" s="13">
        <v>1</v>
      </c>
      <c r="C5" s="13">
        <v>1.5</v>
      </c>
      <c r="D5" s="13">
        <v>1</v>
      </c>
      <c r="E5" s="13">
        <f t="shared" si="0"/>
        <v>1.5</v>
      </c>
      <c r="F5" s="13">
        <f t="shared" si="1"/>
        <v>8.3999999999999991E-2</v>
      </c>
      <c r="G5" s="13">
        <f t="shared" si="2"/>
        <v>1.5</v>
      </c>
      <c r="H5" s="13" t="s">
        <v>1131</v>
      </c>
      <c r="I5" s="13" t="s">
        <v>1127</v>
      </c>
    </row>
    <row r="6" spans="1:9" x14ac:dyDescent="0.2">
      <c r="A6" s="24" t="s">
        <v>1145</v>
      </c>
      <c r="B6" s="13">
        <v>2</v>
      </c>
      <c r="C6" s="13">
        <v>2.15</v>
      </c>
      <c r="D6" s="13">
        <v>1</v>
      </c>
      <c r="E6" s="13">
        <f t="shared" si="0"/>
        <v>4.3</v>
      </c>
      <c r="F6" s="13">
        <f t="shared" si="1"/>
        <v>0.24080000000000001</v>
      </c>
      <c r="G6" s="13">
        <f t="shared" si="2"/>
        <v>4.3</v>
      </c>
      <c r="H6" s="13" t="s">
        <v>1131</v>
      </c>
      <c r="I6" s="13" t="s">
        <v>1127</v>
      </c>
    </row>
    <row r="7" spans="1:9" x14ac:dyDescent="0.2">
      <c r="A7" s="24" t="s">
        <v>1144</v>
      </c>
      <c r="B7" s="13">
        <v>1</v>
      </c>
      <c r="C7" s="13">
        <v>2.15</v>
      </c>
      <c r="D7" s="13">
        <v>1</v>
      </c>
      <c r="E7" s="13">
        <f t="shared" si="0"/>
        <v>2.15</v>
      </c>
      <c r="F7" s="13">
        <f t="shared" si="1"/>
        <v>0.12040000000000001</v>
      </c>
      <c r="G7" s="13">
        <f t="shared" si="2"/>
        <v>2.15</v>
      </c>
      <c r="H7" s="13" t="s">
        <v>1131</v>
      </c>
      <c r="I7" s="13" t="s">
        <v>1127</v>
      </c>
    </row>
    <row r="8" spans="1:9" x14ac:dyDescent="0.2">
      <c r="A8" s="24" t="s">
        <v>1143</v>
      </c>
      <c r="B8" s="13">
        <v>2</v>
      </c>
      <c r="C8" s="13">
        <v>2.0299999999999998</v>
      </c>
      <c r="D8" s="13">
        <v>1</v>
      </c>
      <c r="E8" s="13">
        <f t="shared" si="0"/>
        <v>4.0599999999999996</v>
      </c>
      <c r="F8" s="13">
        <f t="shared" si="1"/>
        <v>0.22735999999999998</v>
      </c>
      <c r="G8" s="13">
        <f t="shared" si="2"/>
        <v>4.0599999999999996</v>
      </c>
      <c r="H8" s="13" t="s">
        <v>1131</v>
      </c>
      <c r="I8" s="13" t="s">
        <v>1127</v>
      </c>
    </row>
    <row r="9" spans="1:9" x14ac:dyDescent="0.2">
      <c r="A9" s="24" t="s">
        <v>1142</v>
      </c>
      <c r="B9" s="13">
        <v>1</v>
      </c>
      <c r="C9" s="13">
        <v>2.08</v>
      </c>
      <c r="D9" s="13">
        <v>1</v>
      </c>
      <c r="E9" s="13">
        <f t="shared" si="0"/>
        <v>2.08</v>
      </c>
      <c r="F9" s="13">
        <f t="shared" si="1"/>
        <v>0.11648000000000001</v>
      </c>
      <c r="G9" s="13">
        <f t="shared" si="2"/>
        <v>2.08</v>
      </c>
      <c r="H9" s="13" t="s">
        <v>1131</v>
      </c>
      <c r="I9" s="13" t="s">
        <v>1127</v>
      </c>
    </row>
    <row r="10" spans="1:9" x14ac:dyDescent="0.2">
      <c r="A10" s="24" t="s">
        <v>1141</v>
      </c>
      <c r="B10" s="13">
        <v>1</v>
      </c>
      <c r="C10" s="13">
        <v>3.45</v>
      </c>
      <c r="D10" s="13">
        <v>1</v>
      </c>
      <c r="E10" s="13">
        <f t="shared" si="0"/>
        <v>3.45</v>
      </c>
      <c r="F10" s="13">
        <f t="shared" si="1"/>
        <v>0.19320000000000004</v>
      </c>
      <c r="G10" s="13">
        <f t="shared" si="2"/>
        <v>3.45</v>
      </c>
      <c r="H10" s="13" t="s">
        <v>1131</v>
      </c>
      <c r="I10" s="13" t="s">
        <v>1127</v>
      </c>
    </row>
    <row r="11" spans="1:9" x14ac:dyDescent="0.2">
      <c r="A11" s="24" t="s">
        <v>1140</v>
      </c>
      <c r="B11" s="13">
        <v>1</v>
      </c>
      <c r="C11" s="13">
        <v>4.2300000000000004</v>
      </c>
      <c r="D11" s="13">
        <v>1.9</v>
      </c>
      <c r="E11" s="13">
        <f t="shared" si="0"/>
        <v>8.0370000000000008</v>
      </c>
      <c r="F11" s="13">
        <f t="shared" si="1"/>
        <v>0.23688000000000003</v>
      </c>
      <c r="G11" s="13">
        <f t="shared" si="2"/>
        <v>4.2300000000000004</v>
      </c>
      <c r="H11" s="13" t="s">
        <v>1131</v>
      </c>
      <c r="I11" s="13" t="s">
        <v>1127</v>
      </c>
    </row>
    <row r="12" spans="1:9" x14ac:dyDescent="0.2">
      <c r="A12" s="24" t="s">
        <v>1139</v>
      </c>
      <c r="B12" s="13">
        <v>2</v>
      </c>
      <c r="C12" s="13">
        <v>2.15</v>
      </c>
      <c r="D12" s="13">
        <v>1</v>
      </c>
      <c r="E12" s="13">
        <f t="shared" si="0"/>
        <v>4.3</v>
      </c>
      <c r="F12" s="13">
        <f t="shared" si="1"/>
        <v>0.24080000000000001</v>
      </c>
      <c r="G12" s="13">
        <f t="shared" si="2"/>
        <v>4.3</v>
      </c>
      <c r="H12" s="13" t="s">
        <v>1131</v>
      </c>
      <c r="I12" s="13" t="s">
        <v>1127</v>
      </c>
    </row>
    <row r="13" spans="1:9" x14ac:dyDescent="0.2">
      <c r="A13" s="24" t="s">
        <v>1138</v>
      </c>
      <c r="B13" s="13">
        <v>1</v>
      </c>
      <c r="C13" s="13">
        <v>1</v>
      </c>
      <c r="D13" s="13">
        <v>1.9</v>
      </c>
      <c r="E13" s="13">
        <f t="shared" si="0"/>
        <v>1.9</v>
      </c>
      <c r="F13" s="13">
        <f t="shared" si="1"/>
        <v>5.5999999999999994E-2</v>
      </c>
      <c r="G13" s="13">
        <f t="shared" si="2"/>
        <v>1</v>
      </c>
      <c r="H13" s="13" t="s">
        <v>1131</v>
      </c>
      <c r="I13" s="13" t="s">
        <v>1127</v>
      </c>
    </row>
    <row r="14" spans="1:9" x14ac:dyDescent="0.2">
      <c r="A14" s="24" t="s">
        <v>1137</v>
      </c>
      <c r="B14" s="13">
        <v>1</v>
      </c>
      <c r="C14" s="13">
        <v>3.36</v>
      </c>
      <c r="D14" s="13">
        <v>1.9</v>
      </c>
      <c r="E14" s="13">
        <f t="shared" si="0"/>
        <v>6.3839999999999995</v>
      </c>
      <c r="F14" s="13">
        <f t="shared" si="1"/>
        <v>0.18815999999999999</v>
      </c>
      <c r="G14" s="13">
        <f t="shared" si="2"/>
        <v>3.36</v>
      </c>
      <c r="H14" s="13" t="s">
        <v>1131</v>
      </c>
      <c r="I14" s="13" t="s">
        <v>1127</v>
      </c>
    </row>
    <row r="15" spans="1:9" x14ac:dyDescent="0.2">
      <c r="A15" s="24" t="s">
        <v>1136</v>
      </c>
      <c r="B15" s="13">
        <v>1</v>
      </c>
      <c r="C15" s="13">
        <v>3.1</v>
      </c>
      <c r="D15" s="13">
        <v>1.9</v>
      </c>
      <c r="E15" s="13">
        <f t="shared" si="0"/>
        <v>5.89</v>
      </c>
      <c r="F15" s="13">
        <f t="shared" si="1"/>
        <v>0.1736</v>
      </c>
      <c r="G15" s="13">
        <f t="shared" si="2"/>
        <v>3.1</v>
      </c>
      <c r="H15" s="13" t="s">
        <v>1131</v>
      </c>
      <c r="I15" s="13" t="s">
        <v>1127</v>
      </c>
    </row>
    <row r="16" spans="1:9" x14ac:dyDescent="0.2">
      <c r="A16" s="24" t="s">
        <v>1135</v>
      </c>
      <c r="B16" s="13">
        <v>1</v>
      </c>
      <c r="C16" s="13">
        <v>2.85</v>
      </c>
      <c r="D16" s="13">
        <v>1.9</v>
      </c>
      <c r="E16" s="13">
        <f t="shared" si="0"/>
        <v>5.415</v>
      </c>
      <c r="F16" s="13">
        <f t="shared" si="1"/>
        <v>0.15960000000000002</v>
      </c>
      <c r="G16" s="13">
        <f t="shared" si="2"/>
        <v>2.85</v>
      </c>
      <c r="H16" s="13" t="s">
        <v>1131</v>
      </c>
      <c r="I16" s="13" t="s">
        <v>1127</v>
      </c>
    </row>
    <row r="17" spans="1:9" x14ac:dyDescent="0.2">
      <c r="A17" s="24" t="s">
        <v>1134</v>
      </c>
      <c r="B17" s="13">
        <v>2</v>
      </c>
      <c r="C17" s="13">
        <v>3</v>
      </c>
      <c r="D17" s="13">
        <v>1.9</v>
      </c>
      <c r="E17" s="13">
        <f t="shared" si="0"/>
        <v>11.399999999999999</v>
      </c>
      <c r="F17" s="13">
        <f t="shared" si="1"/>
        <v>0.33599999999999997</v>
      </c>
      <c r="G17" s="13">
        <f t="shared" si="2"/>
        <v>6</v>
      </c>
      <c r="H17" s="13" t="s">
        <v>1131</v>
      </c>
      <c r="I17" s="13" t="s">
        <v>1127</v>
      </c>
    </row>
    <row r="18" spans="1:9" x14ac:dyDescent="0.2">
      <c r="A18" s="24" t="s">
        <v>1133</v>
      </c>
      <c r="B18" s="13">
        <v>7</v>
      </c>
      <c r="C18" s="13">
        <v>0.7</v>
      </c>
      <c r="D18" s="13">
        <v>1.1000000000000001</v>
      </c>
      <c r="E18" s="13">
        <f t="shared" si="0"/>
        <v>5.39</v>
      </c>
      <c r="F18" s="13">
        <f t="shared" si="1"/>
        <v>0.27439999999999998</v>
      </c>
      <c r="G18" s="13">
        <f t="shared" si="2"/>
        <v>4.8999999999999995</v>
      </c>
      <c r="H18" s="13" t="s">
        <v>1131</v>
      </c>
      <c r="I18" s="13" t="s">
        <v>1127</v>
      </c>
    </row>
    <row r="19" spans="1:9" x14ac:dyDescent="0.2">
      <c r="A19" s="24" t="s">
        <v>1132</v>
      </c>
      <c r="B19" s="13">
        <v>1</v>
      </c>
      <c r="C19" s="13">
        <v>2.15</v>
      </c>
      <c r="D19" s="13">
        <v>1.9</v>
      </c>
      <c r="E19" s="13">
        <f t="shared" si="0"/>
        <v>4.085</v>
      </c>
      <c r="F19" s="13">
        <f t="shared" si="1"/>
        <v>0.12040000000000001</v>
      </c>
      <c r="G19" s="13">
        <f t="shared" si="2"/>
        <v>2.15</v>
      </c>
      <c r="H19" s="13" t="s">
        <v>1131</v>
      </c>
      <c r="I19" s="13" t="s">
        <v>1127</v>
      </c>
    </row>
    <row r="20" spans="1:9" x14ac:dyDescent="0.2">
      <c r="A20" s="24" t="s">
        <v>1130</v>
      </c>
      <c r="B20" s="13">
        <v>1</v>
      </c>
      <c r="C20" s="13">
        <v>1.87</v>
      </c>
      <c r="D20" s="13">
        <v>2.65</v>
      </c>
      <c r="E20" s="13">
        <f t="shared" si="0"/>
        <v>4.9554999999999998</v>
      </c>
      <c r="F20" s="13">
        <f t="shared" si="1"/>
        <v>0.10471999999999999</v>
      </c>
      <c r="G20" s="13">
        <f t="shared" si="2"/>
        <v>1.87</v>
      </c>
      <c r="H20" s="13" t="s">
        <v>1118</v>
      </c>
      <c r="I20" s="13" t="s">
        <v>1127</v>
      </c>
    </row>
    <row r="21" spans="1:9" x14ac:dyDescent="0.2">
      <c r="A21" s="24" t="s">
        <v>1129</v>
      </c>
      <c r="B21" s="13">
        <v>1</v>
      </c>
      <c r="C21" s="13">
        <v>2.15</v>
      </c>
      <c r="D21" s="13">
        <v>2.9</v>
      </c>
      <c r="E21" s="13">
        <f t="shared" si="0"/>
        <v>6.2349999999999994</v>
      </c>
      <c r="F21" s="13">
        <f t="shared" si="1"/>
        <v>0.12040000000000001</v>
      </c>
      <c r="G21" s="13">
        <f t="shared" si="2"/>
        <v>2.15</v>
      </c>
      <c r="H21" s="13" t="s">
        <v>1118</v>
      </c>
      <c r="I21" s="13" t="s">
        <v>1127</v>
      </c>
    </row>
    <row r="22" spans="1:9" x14ac:dyDescent="0.2">
      <c r="A22" s="24" t="s">
        <v>1128</v>
      </c>
      <c r="B22" s="13">
        <v>1</v>
      </c>
      <c r="C22" s="13">
        <v>2.75</v>
      </c>
      <c r="D22" s="13">
        <v>2.9</v>
      </c>
      <c r="E22" s="13">
        <f t="shared" si="0"/>
        <v>7.9749999999999996</v>
      </c>
      <c r="F22" s="13">
        <f t="shared" si="1"/>
        <v>0.15400000000000003</v>
      </c>
      <c r="G22" s="13">
        <f t="shared" si="2"/>
        <v>2.75</v>
      </c>
      <c r="H22" s="13" t="s">
        <v>1118</v>
      </c>
      <c r="I22" s="13" t="s">
        <v>1127</v>
      </c>
    </row>
    <row r="23" spans="1:9" ht="15" x14ac:dyDescent="0.25">
      <c r="A23" s="24"/>
      <c r="B23" s="13"/>
      <c r="C23" s="13"/>
      <c r="D23" s="13"/>
      <c r="E23" s="42">
        <f>SUM(E3:E22)</f>
        <v>95.15649999999998</v>
      </c>
      <c r="F23" s="42">
        <f>SUM(F3:F22)</f>
        <v>3.4636</v>
      </c>
      <c r="G23" s="42">
        <f>SUM(G3:G22)</f>
        <v>61.849999999999994</v>
      </c>
      <c r="H23" s="13"/>
      <c r="I23" s="13"/>
    </row>
    <row r="24" spans="1:9" ht="15" x14ac:dyDescent="0.25">
      <c r="A24" s="170" t="s">
        <v>1126</v>
      </c>
      <c r="B24" s="170"/>
      <c r="C24" s="170"/>
      <c r="D24" s="170"/>
      <c r="E24" s="170"/>
      <c r="F24" s="170"/>
      <c r="G24" s="170"/>
      <c r="H24" s="170"/>
      <c r="I24" s="170"/>
    </row>
    <row r="25" spans="1:9" x14ac:dyDescent="0.2">
      <c r="A25" s="24" t="s">
        <v>1115</v>
      </c>
      <c r="B25" s="13" t="s">
        <v>9</v>
      </c>
      <c r="C25" s="13" t="s">
        <v>965</v>
      </c>
      <c r="D25" s="13" t="s">
        <v>964</v>
      </c>
      <c r="E25" s="13" t="s">
        <v>1114</v>
      </c>
      <c r="F25" s="13"/>
      <c r="G25" s="13"/>
      <c r="H25" s="13" t="s">
        <v>1113</v>
      </c>
      <c r="I25" s="13" t="s">
        <v>1112</v>
      </c>
    </row>
    <row r="26" spans="1:9" x14ac:dyDescent="0.2">
      <c r="A26" s="24" t="s">
        <v>1125</v>
      </c>
      <c r="B26" s="13">
        <v>1</v>
      </c>
      <c r="C26" s="13">
        <v>2.1</v>
      </c>
      <c r="D26" s="13">
        <v>3.05</v>
      </c>
      <c r="E26" s="13">
        <f t="shared" ref="E26:E32" si="3">PRODUCT(B26:D26)</f>
        <v>6.4050000000000002</v>
      </c>
      <c r="F26" s="13"/>
      <c r="G26" s="13"/>
      <c r="H26" s="13" t="s">
        <v>1118</v>
      </c>
      <c r="I26" s="13" t="s">
        <v>1117</v>
      </c>
    </row>
    <row r="27" spans="1:9" x14ac:dyDescent="0.2">
      <c r="A27" s="24" t="s">
        <v>1124</v>
      </c>
      <c r="B27" s="13">
        <v>1</v>
      </c>
      <c r="C27" s="13">
        <v>1.1599999999999999</v>
      </c>
      <c r="D27" s="13">
        <v>1.8</v>
      </c>
      <c r="E27" s="13">
        <f t="shared" si="3"/>
        <v>2.0880000000000001</v>
      </c>
      <c r="F27" s="13"/>
      <c r="G27" s="13"/>
      <c r="H27" s="13" t="s">
        <v>1118</v>
      </c>
      <c r="I27" s="13" t="s">
        <v>1117</v>
      </c>
    </row>
    <row r="28" spans="1:9" x14ac:dyDescent="0.2">
      <c r="A28" s="24" t="s">
        <v>1123</v>
      </c>
      <c r="B28" s="13">
        <v>1</v>
      </c>
      <c r="C28" s="13">
        <v>2.2599999999999998</v>
      </c>
      <c r="D28" s="13">
        <v>1.8</v>
      </c>
      <c r="E28" s="13">
        <f t="shared" si="3"/>
        <v>4.0679999999999996</v>
      </c>
      <c r="F28" s="13"/>
      <c r="G28" s="13"/>
      <c r="H28" s="13" t="s">
        <v>1118</v>
      </c>
      <c r="I28" s="13" t="s">
        <v>1117</v>
      </c>
    </row>
    <row r="29" spans="1:9" x14ac:dyDescent="0.2">
      <c r="A29" s="24" t="s">
        <v>1122</v>
      </c>
      <c r="B29" s="13">
        <v>1</v>
      </c>
      <c r="C29" s="13">
        <v>3</v>
      </c>
      <c r="D29" s="13">
        <v>1.8</v>
      </c>
      <c r="E29" s="13">
        <f t="shared" si="3"/>
        <v>5.4</v>
      </c>
      <c r="F29" s="13"/>
      <c r="G29" s="13"/>
      <c r="H29" s="13" t="s">
        <v>1118</v>
      </c>
      <c r="I29" s="13" t="s">
        <v>1117</v>
      </c>
    </row>
    <row r="30" spans="1:9" x14ac:dyDescent="0.2">
      <c r="A30" s="24" t="s">
        <v>1121</v>
      </c>
      <c r="B30" s="13">
        <v>2</v>
      </c>
      <c r="C30" s="13">
        <v>2.0499999999999998</v>
      </c>
      <c r="D30" s="13">
        <v>1.8</v>
      </c>
      <c r="E30" s="13">
        <f t="shared" si="3"/>
        <v>7.38</v>
      </c>
      <c r="F30" s="13"/>
      <c r="G30" s="13"/>
      <c r="H30" s="13" t="s">
        <v>1118</v>
      </c>
      <c r="I30" s="13" t="s">
        <v>1117</v>
      </c>
    </row>
    <row r="31" spans="1:9" x14ac:dyDescent="0.2">
      <c r="A31" s="24" t="s">
        <v>1120</v>
      </c>
      <c r="B31" s="13">
        <v>1</v>
      </c>
      <c r="C31" s="13">
        <v>3.1</v>
      </c>
      <c r="D31" s="13">
        <v>1.8</v>
      </c>
      <c r="E31" s="13">
        <f t="shared" si="3"/>
        <v>5.58</v>
      </c>
      <c r="F31" s="13"/>
      <c r="G31" s="13"/>
      <c r="H31" s="13" t="s">
        <v>1118</v>
      </c>
      <c r="I31" s="13" t="s">
        <v>1117</v>
      </c>
    </row>
    <row r="32" spans="1:9" x14ac:dyDescent="0.2">
      <c r="A32" s="24" t="s">
        <v>1119</v>
      </c>
      <c r="B32" s="13">
        <v>1</v>
      </c>
      <c r="C32" s="13">
        <v>2.29</v>
      </c>
      <c r="D32" s="13">
        <v>1.8</v>
      </c>
      <c r="E32" s="13">
        <f t="shared" si="3"/>
        <v>4.1219999999999999</v>
      </c>
      <c r="F32" s="13"/>
      <c r="G32" s="13"/>
      <c r="H32" s="13" t="s">
        <v>1118</v>
      </c>
      <c r="I32" s="13" t="s">
        <v>1117</v>
      </c>
    </row>
    <row r="33" spans="1:9" ht="15" x14ac:dyDescent="0.25">
      <c r="A33" s="24"/>
      <c r="B33" s="13"/>
      <c r="C33" s="13"/>
      <c r="D33" s="13"/>
      <c r="E33" s="42">
        <f>SUM(E26:E32)</f>
        <v>35.042999999999999</v>
      </c>
      <c r="F33" s="42"/>
      <c r="G33" s="42"/>
      <c r="H33" s="13"/>
      <c r="I33" s="13"/>
    </row>
    <row r="34" spans="1:9" x14ac:dyDescent="0.2">
      <c r="A34" s="146" t="s">
        <v>1116</v>
      </c>
      <c r="B34" s="146"/>
      <c r="C34" s="146"/>
      <c r="D34" s="146"/>
      <c r="E34" s="146"/>
      <c r="F34" s="146"/>
      <c r="G34" s="146"/>
      <c r="H34" s="146"/>
      <c r="I34" s="146"/>
    </row>
    <row r="35" spans="1:9" x14ac:dyDescent="0.2">
      <c r="A35" s="24" t="s">
        <v>1115</v>
      </c>
      <c r="B35" s="13" t="s">
        <v>9</v>
      </c>
      <c r="C35" s="13" t="s">
        <v>965</v>
      </c>
      <c r="D35" s="13" t="s">
        <v>964</v>
      </c>
      <c r="E35" s="13" t="s">
        <v>1114</v>
      </c>
      <c r="F35" s="13"/>
      <c r="G35" s="13"/>
      <c r="H35" s="13" t="s">
        <v>1113</v>
      </c>
      <c r="I35" s="13" t="s">
        <v>1112</v>
      </c>
    </row>
    <row r="36" spans="1:9" x14ac:dyDescent="0.2">
      <c r="A36" s="24" t="s">
        <v>1111</v>
      </c>
      <c r="B36" s="13">
        <v>1</v>
      </c>
      <c r="C36" s="13">
        <v>0.6</v>
      </c>
      <c r="D36" s="13">
        <v>2.1</v>
      </c>
      <c r="E36" s="13">
        <f t="shared" ref="E36:E51" si="4">PRODUCT(B36:D36)</f>
        <v>1.26</v>
      </c>
      <c r="F36" s="13">
        <f t="shared" ref="F36:F51" si="5">B36*C36*1.4*0.2*0.1</f>
        <v>1.6800000000000002E-2</v>
      </c>
      <c r="G36" s="13"/>
      <c r="H36" s="13" t="s">
        <v>1091</v>
      </c>
      <c r="I36" s="13" t="s">
        <v>1090</v>
      </c>
    </row>
    <row r="37" spans="1:9" x14ac:dyDescent="0.2">
      <c r="A37" s="24" t="s">
        <v>1110</v>
      </c>
      <c r="B37" s="13">
        <v>1</v>
      </c>
      <c r="C37" s="13">
        <v>0.7</v>
      </c>
      <c r="D37" s="13">
        <v>2.1</v>
      </c>
      <c r="E37" s="13">
        <f t="shared" si="4"/>
        <v>1.47</v>
      </c>
      <c r="F37" s="13">
        <f t="shared" si="5"/>
        <v>1.9599999999999999E-2</v>
      </c>
      <c r="G37" s="13"/>
      <c r="H37" s="13" t="s">
        <v>1091</v>
      </c>
      <c r="I37" s="13" t="s">
        <v>1090</v>
      </c>
    </row>
    <row r="38" spans="1:9" x14ac:dyDescent="0.2">
      <c r="A38" s="24" t="s">
        <v>1109</v>
      </c>
      <c r="B38" s="13">
        <v>11</v>
      </c>
      <c r="C38" s="13">
        <v>0.8</v>
      </c>
      <c r="D38" s="13">
        <v>2.1</v>
      </c>
      <c r="E38" s="13">
        <f t="shared" si="4"/>
        <v>18.480000000000004</v>
      </c>
      <c r="F38" s="13">
        <f t="shared" si="5"/>
        <v>0.24640000000000006</v>
      </c>
      <c r="G38" s="13"/>
      <c r="H38" s="13" t="s">
        <v>1091</v>
      </c>
      <c r="I38" s="13" t="s">
        <v>1090</v>
      </c>
    </row>
    <row r="39" spans="1:9" x14ac:dyDescent="0.2">
      <c r="A39" s="24" t="s">
        <v>1108</v>
      </c>
      <c r="B39" s="13">
        <v>7</v>
      </c>
      <c r="C39" s="13">
        <v>0.9</v>
      </c>
      <c r="D39" s="13">
        <v>2.1</v>
      </c>
      <c r="E39" s="13">
        <f t="shared" si="4"/>
        <v>13.23</v>
      </c>
      <c r="F39" s="13">
        <f t="shared" si="5"/>
        <v>0.1764</v>
      </c>
      <c r="G39" s="13"/>
      <c r="H39" s="13" t="s">
        <v>1091</v>
      </c>
      <c r="I39" s="13" t="s">
        <v>1090</v>
      </c>
    </row>
    <row r="40" spans="1:9" x14ac:dyDescent="0.2">
      <c r="A40" s="24" t="s">
        <v>1107</v>
      </c>
      <c r="B40" s="13">
        <v>11</v>
      </c>
      <c r="C40" s="13">
        <v>0.9</v>
      </c>
      <c r="D40" s="13">
        <v>2.1</v>
      </c>
      <c r="E40" s="13">
        <f t="shared" si="4"/>
        <v>20.790000000000003</v>
      </c>
      <c r="F40" s="13">
        <f t="shared" si="5"/>
        <v>0.27720000000000006</v>
      </c>
      <c r="G40" s="13"/>
      <c r="H40" s="13" t="s">
        <v>1091</v>
      </c>
      <c r="I40" s="13" t="s">
        <v>1097</v>
      </c>
    </row>
    <row r="41" spans="1:9" x14ac:dyDescent="0.2">
      <c r="A41" s="24" t="s">
        <v>1106</v>
      </c>
      <c r="B41" s="13">
        <v>1</v>
      </c>
      <c r="C41" s="13">
        <v>0.9</v>
      </c>
      <c r="D41" s="13">
        <v>2.1</v>
      </c>
      <c r="E41" s="13">
        <f t="shared" si="4"/>
        <v>1.8900000000000001</v>
      </c>
      <c r="F41" s="13">
        <f t="shared" si="5"/>
        <v>2.52E-2</v>
      </c>
      <c r="G41" s="13"/>
      <c r="H41" s="13" t="s">
        <v>1098</v>
      </c>
      <c r="I41" s="13" t="s">
        <v>1097</v>
      </c>
    </row>
    <row r="42" spans="1:9" x14ac:dyDescent="0.2">
      <c r="A42" s="24" t="s">
        <v>1105</v>
      </c>
      <c r="B42" s="13">
        <v>3</v>
      </c>
      <c r="C42" s="13">
        <v>1</v>
      </c>
      <c r="D42" s="13">
        <v>2.1</v>
      </c>
      <c r="E42" s="13">
        <f t="shared" si="4"/>
        <v>6.3000000000000007</v>
      </c>
      <c r="F42" s="13">
        <f t="shared" si="5"/>
        <v>8.3999999999999991E-2</v>
      </c>
      <c r="G42" s="13"/>
      <c r="H42" s="13" t="s">
        <v>1091</v>
      </c>
      <c r="I42" s="13" t="s">
        <v>1097</v>
      </c>
    </row>
    <row r="43" spans="1:9" x14ac:dyDescent="0.2">
      <c r="A43" s="24" t="s">
        <v>1104</v>
      </c>
      <c r="B43" s="13">
        <v>1</v>
      </c>
      <c r="C43" s="13">
        <v>1.2</v>
      </c>
      <c r="D43" s="13">
        <v>2.1</v>
      </c>
      <c r="E43" s="13">
        <f t="shared" si="4"/>
        <v>2.52</v>
      </c>
      <c r="F43" s="13">
        <f t="shared" si="5"/>
        <v>3.3600000000000005E-2</v>
      </c>
      <c r="G43" s="13"/>
      <c r="H43" s="13" t="s">
        <v>1098</v>
      </c>
      <c r="I43" s="13" t="s">
        <v>1097</v>
      </c>
    </row>
    <row r="44" spans="1:9" x14ac:dyDescent="0.2">
      <c r="A44" s="24" t="s">
        <v>1103</v>
      </c>
      <c r="B44" s="13">
        <v>1</v>
      </c>
      <c r="C44" s="13">
        <v>1.1000000000000001</v>
      </c>
      <c r="D44" s="13">
        <v>3</v>
      </c>
      <c r="E44" s="13">
        <f t="shared" si="4"/>
        <v>3.3000000000000003</v>
      </c>
      <c r="F44" s="13">
        <f t="shared" si="5"/>
        <v>3.0800000000000008E-2</v>
      </c>
      <c r="G44" s="13"/>
      <c r="H44" s="13" t="s">
        <v>1091</v>
      </c>
      <c r="I44" s="13" t="s">
        <v>1095</v>
      </c>
    </row>
    <row r="45" spans="1:9" x14ac:dyDescent="0.2">
      <c r="A45" s="24" t="s">
        <v>1102</v>
      </c>
      <c r="B45" s="13">
        <v>1</v>
      </c>
      <c r="C45" s="13">
        <v>1</v>
      </c>
      <c r="D45" s="13">
        <v>2.1</v>
      </c>
      <c r="E45" s="13">
        <f t="shared" si="4"/>
        <v>2.1</v>
      </c>
      <c r="F45" s="13">
        <f t="shared" si="5"/>
        <v>2.7999999999999997E-2</v>
      </c>
      <c r="G45" s="13"/>
      <c r="H45" s="13" t="s">
        <v>1098</v>
      </c>
      <c r="I45" s="13" t="s">
        <v>1097</v>
      </c>
    </row>
    <row r="46" spans="1:9" x14ac:dyDescent="0.2">
      <c r="A46" s="24" t="s">
        <v>1101</v>
      </c>
      <c r="B46" s="13">
        <v>1</v>
      </c>
      <c r="C46" s="13">
        <v>1.5</v>
      </c>
      <c r="D46" s="13">
        <v>2.1</v>
      </c>
      <c r="E46" s="13">
        <f t="shared" si="4"/>
        <v>3.1500000000000004</v>
      </c>
      <c r="F46" s="13">
        <f t="shared" si="5"/>
        <v>4.1999999999999996E-2</v>
      </c>
      <c r="G46" s="13"/>
      <c r="H46" s="13" t="s">
        <v>1098</v>
      </c>
      <c r="I46" s="13" t="s">
        <v>1095</v>
      </c>
    </row>
    <row r="47" spans="1:9" x14ac:dyDescent="0.2">
      <c r="A47" s="24" t="s">
        <v>1100</v>
      </c>
      <c r="B47" s="13">
        <v>2</v>
      </c>
      <c r="C47" s="13">
        <v>0.9</v>
      </c>
      <c r="D47" s="13">
        <v>2.1</v>
      </c>
      <c r="E47" s="13">
        <f t="shared" si="4"/>
        <v>3.7800000000000002</v>
      </c>
      <c r="F47" s="13">
        <f t="shared" si="5"/>
        <v>5.04E-2</v>
      </c>
      <c r="G47" s="13"/>
      <c r="H47" s="13" t="s">
        <v>1098</v>
      </c>
      <c r="I47" s="13" t="s">
        <v>1097</v>
      </c>
    </row>
    <row r="48" spans="1:9" x14ac:dyDescent="0.2">
      <c r="A48" s="24" t="s">
        <v>1099</v>
      </c>
      <c r="B48" s="13">
        <v>1</v>
      </c>
      <c r="C48" s="13">
        <v>1.6</v>
      </c>
      <c r="D48" s="13">
        <v>2.1</v>
      </c>
      <c r="E48" s="13">
        <f t="shared" si="4"/>
        <v>3.3600000000000003</v>
      </c>
      <c r="F48" s="13">
        <f t="shared" si="5"/>
        <v>4.48E-2</v>
      </c>
      <c r="G48" s="13"/>
      <c r="H48" s="13" t="s">
        <v>1098</v>
      </c>
      <c r="I48" s="13" t="s">
        <v>1097</v>
      </c>
    </row>
    <row r="49" spans="1:9" x14ac:dyDescent="0.2">
      <c r="A49" s="24" t="s">
        <v>1096</v>
      </c>
      <c r="B49" s="13">
        <v>1</v>
      </c>
      <c r="C49" s="13">
        <v>1.6</v>
      </c>
      <c r="D49" s="13">
        <v>2.1</v>
      </c>
      <c r="E49" s="13">
        <f t="shared" si="4"/>
        <v>3.3600000000000003</v>
      </c>
      <c r="F49" s="13">
        <f t="shared" si="5"/>
        <v>4.48E-2</v>
      </c>
      <c r="G49" s="13"/>
      <c r="H49" s="13" t="s">
        <v>1091</v>
      </c>
      <c r="I49" s="13" t="s">
        <v>1095</v>
      </c>
    </row>
    <row r="50" spans="1:9" x14ac:dyDescent="0.2">
      <c r="A50" s="24" t="s">
        <v>1094</v>
      </c>
      <c r="B50" s="13">
        <v>1</v>
      </c>
      <c r="C50" s="13">
        <v>0.8</v>
      </c>
      <c r="D50" s="13">
        <v>1</v>
      </c>
      <c r="E50" s="13">
        <f t="shared" si="4"/>
        <v>0.8</v>
      </c>
      <c r="F50" s="13">
        <f t="shared" si="5"/>
        <v>2.24E-2</v>
      </c>
      <c r="G50" s="13"/>
      <c r="H50" s="13" t="s">
        <v>1091</v>
      </c>
      <c r="I50" s="13" t="s">
        <v>1093</v>
      </c>
    </row>
    <row r="51" spans="1:9" x14ac:dyDescent="0.2">
      <c r="A51" s="24" t="s">
        <v>1092</v>
      </c>
      <c r="B51" s="13">
        <v>1</v>
      </c>
      <c r="C51" s="13">
        <v>0.8</v>
      </c>
      <c r="D51" s="13">
        <v>2.1</v>
      </c>
      <c r="E51" s="13">
        <f t="shared" si="4"/>
        <v>1.6800000000000002</v>
      </c>
      <c r="F51" s="13">
        <f t="shared" si="5"/>
        <v>2.24E-2</v>
      </c>
      <c r="G51" s="13"/>
      <c r="H51" s="13" t="s">
        <v>1091</v>
      </c>
      <c r="I51" s="13" t="s">
        <v>1090</v>
      </c>
    </row>
    <row r="52" spans="1:9" ht="15" x14ac:dyDescent="0.25">
      <c r="F52" s="36"/>
      <c r="G52" s="36"/>
    </row>
  </sheetData>
  <mergeCells count="3">
    <mergeCell ref="A1:I1"/>
    <mergeCell ref="A24:I24"/>
    <mergeCell ref="A34:I34"/>
  </mergeCells>
  <pageMargins left="0.51181102362204722" right="0.51181102362204722" top="0.98425196850393704" bottom="0.98425196850393704" header="0.51181102362204722" footer="0.51181102362204722"/>
  <pageSetup paperSize="9" scale="98" fitToHeight="0" orientation="landscape" r:id="rId1"/>
  <headerFooter>
    <oddFooter>&amp;L&amp;A&amp;CPágina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Orçamento Sintético</vt:lpstr>
      <vt:lpstr>Orçamento Analítico</vt:lpstr>
      <vt:lpstr>CFF</vt:lpstr>
      <vt:lpstr>Curva ABC de Serviços </vt:lpstr>
      <vt:lpstr>MC - Geral</vt:lpstr>
      <vt:lpstr>MC - Fundações e Estrutura</vt:lpstr>
      <vt:lpstr>MC - Aterro e Muro de Arrimo</vt:lpstr>
      <vt:lpstr>MC - Revestimentos</vt:lpstr>
      <vt:lpstr>MC - Esquadrias</vt:lpstr>
      <vt:lpstr>BDI</vt:lpstr>
      <vt:lpstr>MC - Guarda Corpo e Corrimão</vt:lpstr>
      <vt:lpstr>Drenos de Ar Condicionado</vt:lpstr>
      <vt:lpstr>Drenagem</vt:lpstr>
      <vt:lpstr>CFF!Area_de_impressao</vt:lpstr>
      <vt:lpstr>'MC - Aterro e Muro de Arrimo'!Area_de_impressao</vt:lpstr>
      <vt:lpstr>'MC - Esquadrias'!Area_de_impressao</vt:lpstr>
      <vt:lpstr>'MC - Fundações e Estrutura'!Area_de_impressao</vt:lpstr>
      <vt:lpstr>'MC - Geral'!Area_de_impressao</vt:lpstr>
      <vt:lpstr>'MC - Revestimentos'!Area_de_impressao</vt:lpstr>
      <vt:lpstr>'Orçamento Analítico'!Area_de_impressao</vt:lpstr>
      <vt:lpstr>'Curva ABC de Serviços '!Titulos_de_impressao</vt:lpstr>
      <vt:lpstr>'MC - Geral'!Titulos_de_impressao</vt:lpstr>
      <vt:lpstr>'MC - Revestimentos'!Titulos_de_impressao</vt:lpstr>
      <vt:lpstr>'Orçamento Analítico'!Titulos_de_impressao</vt:lpstr>
      <vt:lpstr>'Orçamento Sintético'!Titulos_de_impressao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2022-05-12T11:58:08Z</cp:lastPrinted>
  <dcterms:created xsi:type="dcterms:W3CDTF">2022-03-17T14:10:17Z</dcterms:created>
  <dcterms:modified xsi:type="dcterms:W3CDTF">2022-05-17T11:42:52Z</dcterms:modified>
</cp:coreProperties>
</file>