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/>
  <mc:AlternateContent xmlns:mc="http://schemas.openxmlformats.org/markup-compatibility/2006">
    <mc:Choice Requires="x15">
      <x15ac:absPath xmlns:x15ac="http://schemas.microsoft.com/office/spreadsheetml/2010/11/ac" url="https://d.docs.live.net/909559c73102cec3/Secretaria Municipal de Educação Catalão/2 - Processos em Andamento/Ana Maria Guimaraes - Reforma/ORCAMENTOS PROCESSO 2022/"/>
    </mc:Choice>
  </mc:AlternateContent>
  <xr:revisionPtr revIDLastSave="37" documentId="13_ncr:1_{638FCFCC-CFD4-4FA3-81E6-CB0198BC1018}" xr6:coauthVersionLast="47" xr6:coauthVersionMax="47" xr10:uidLastSave="{F7091518-9E60-4AC3-BDFC-5CD6895D18CE}"/>
  <bookViews>
    <workbookView xWindow="-120" yWindow="-120" windowWidth="20730" windowHeight="11160" tabRatio="507" activeTab="1" xr2:uid="{00000000-000D-0000-FFFF-FFFF00000000}"/>
  </bookViews>
  <sheets>
    <sheet name="MEMÓRIA DE CÁLCULO" sheetId="6" r:id="rId1"/>
    <sheet name="ORÇAMENTO " sheetId="5" r:id="rId2"/>
    <sheet name="CRONOGRAMA" sheetId="9" r:id="rId3"/>
  </sheets>
  <definedNames>
    <definedName name="_xlnm.Print_Area" localSheetId="2">CRONOGRAMA!$B$1:$K$33</definedName>
    <definedName name="_xlnm.Print_Area" localSheetId="0">'MEMÓRIA DE CÁLCULO'!$B$1:$H$1422</definedName>
    <definedName name="_xlnm.Print_Area" localSheetId="1">'ORÇAMENTO '!$B$2:$J$192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636" i="6" l="1"/>
  <c r="F873" i="6"/>
  <c r="H645" i="6"/>
  <c r="H644" i="6"/>
  <c r="F54" i="6"/>
  <c r="F30" i="6"/>
  <c r="D55" i="5"/>
  <c r="E55" i="5"/>
  <c r="F55" i="5"/>
  <c r="F334" i="6"/>
  <c r="H334" i="6" s="1"/>
  <c r="F333" i="6"/>
  <c r="H333" i="6" s="1"/>
  <c r="K19" i="9"/>
  <c r="K14" i="9"/>
  <c r="K15" i="9"/>
  <c r="C21" i="9"/>
  <c r="C20" i="9"/>
  <c r="C19" i="9"/>
  <c r="C15" i="9"/>
  <c r="D146" i="5"/>
  <c r="E146" i="5"/>
  <c r="F146" i="5"/>
  <c r="H812" i="6"/>
  <c r="H811" i="6"/>
  <c r="F786" i="6"/>
  <c r="H786" i="6" s="1"/>
  <c r="H784" i="6"/>
  <c r="H782" i="6"/>
  <c r="H780" i="6"/>
  <c r="H778" i="6"/>
  <c r="H783" i="6"/>
  <c r="H787" i="6"/>
  <c r="H785" i="6"/>
  <c r="H781" i="6"/>
  <c r="H779" i="6"/>
  <c r="D145" i="5"/>
  <c r="D74" i="5"/>
  <c r="D70" i="5"/>
  <c r="D60" i="5"/>
  <c r="D50" i="5"/>
  <c r="E21" i="5"/>
  <c r="D14" i="5"/>
  <c r="D13" i="5"/>
  <c r="F295" i="6"/>
  <c r="F289" i="6"/>
  <c r="F286" i="6"/>
  <c r="H635" i="6"/>
  <c r="H864" i="6"/>
  <c r="H865" i="6"/>
  <c r="H866" i="6"/>
  <c r="H332" i="6" l="1"/>
  <c r="G55" i="5" s="1"/>
  <c r="J55" i="5" s="1"/>
  <c r="E145" i="5"/>
  <c r="F145" i="5"/>
  <c r="H815" i="6"/>
  <c r="H814" i="6"/>
  <c r="H818" i="6"/>
  <c r="H817" i="6"/>
  <c r="H618" i="6"/>
  <c r="H433" i="6"/>
  <c r="H432" i="6" s="1"/>
  <c r="H816" i="6" l="1"/>
  <c r="G146" i="5" s="1"/>
  <c r="J146" i="5" s="1"/>
  <c r="H813" i="6"/>
  <c r="G145" i="5"/>
  <c r="J145" i="5" s="1"/>
  <c r="H1268" i="6"/>
  <c r="H1269" i="6"/>
  <c r="F875" i="6"/>
  <c r="D120" i="5" l="1"/>
  <c r="E120" i="5"/>
  <c r="F120" i="5"/>
  <c r="H621" i="6"/>
  <c r="H620" i="6"/>
  <c r="D87" i="5"/>
  <c r="E87" i="5"/>
  <c r="F87" i="5"/>
  <c r="D66" i="5"/>
  <c r="E66" i="5"/>
  <c r="F66" i="5"/>
  <c r="H387" i="6"/>
  <c r="H386" i="6" s="1"/>
  <c r="G66" i="5" s="1"/>
  <c r="J66" i="5" s="1"/>
  <c r="H448" i="6"/>
  <c r="H447" i="6" s="1"/>
  <c r="D132" i="5"/>
  <c r="E132" i="5"/>
  <c r="F132" i="5"/>
  <c r="H647" i="6"/>
  <c r="H646" i="6" s="1"/>
  <c r="G132" i="5" s="1"/>
  <c r="J132" i="5" s="1"/>
  <c r="C18" i="9"/>
  <c r="H634" i="6"/>
  <c r="H633" i="6"/>
  <c r="E78" i="5"/>
  <c r="D180" i="5"/>
  <c r="E180" i="5"/>
  <c r="F180" i="5"/>
  <c r="D179" i="5"/>
  <c r="E179" i="5"/>
  <c r="F179" i="5"/>
  <c r="F178" i="5"/>
  <c r="F174" i="5"/>
  <c r="F173" i="5"/>
  <c r="F172" i="5"/>
  <c r="F171" i="5"/>
  <c r="F170" i="5"/>
  <c r="F169" i="5"/>
  <c r="F168" i="5"/>
  <c r="F167" i="5"/>
  <c r="F166" i="5"/>
  <c r="F157" i="5"/>
  <c r="F156" i="5"/>
  <c r="F152" i="5"/>
  <c r="F151" i="5"/>
  <c r="F150" i="5"/>
  <c r="F144" i="5"/>
  <c r="F143" i="5"/>
  <c r="F139" i="5"/>
  <c r="F138" i="5"/>
  <c r="F137" i="5"/>
  <c r="F136" i="5"/>
  <c r="E166" i="5"/>
  <c r="D166" i="5"/>
  <c r="D151" i="5"/>
  <c r="E151" i="5"/>
  <c r="D152" i="5"/>
  <c r="E152" i="5"/>
  <c r="E150" i="5"/>
  <c r="D150" i="5"/>
  <c r="D144" i="5"/>
  <c r="E144" i="5"/>
  <c r="E143" i="5"/>
  <c r="D143" i="5"/>
  <c r="D137" i="5"/>
  <c r="E137" i="5"/>
  <c r="D138" i="5"/>
  <c r="E138" i="5"/>
  <c r="D139" i="5"/>
  <c r="E139" i="5"/>
  <c r="D129" i="5"/>
  <c r="E129" i="5"/>
  <c r="F129" i="5"/>
  <c r="D130" i="5"/>
  <c r="E130" i="5"/>
  <c r="F130" i="5"/>
  <c r="D131" i="5"/>
  <c r="E131" i="5"/>
  <c r="F131" i="5"/>
  <c r="F128" i="5"/>
  <c r="E128" i="5"/>
  <c r="D128" i="5"/>
  <c r="F124" i="5"/>
  <c r="E124" i="5"/>
  <c r="D124" i="5"/>
  <c r="F119" i="5"/>
  <c r="E119" i="5"/>
  <c r="D119" i="5"/>
  <c r="F115" i="5"/>
  <c r="E115" i="5"/>
  <c r="D115" i="5"/>
  <c r="F111" i="5"/>
  <c r="F110" i="5"/>
  <c r="F109" i="5"/>
  <c r="F105" i="5"/>
  <c r="D111" i="5"/>
  <c r="E111" i="5"/>
  <c r="D92" i="5"/>
  <c r="E92" i="5"/>
  <c r="F92" i="5"/>
  <c r="D93" i="5"/>
  <c r="E93" i="5"/>
  <c r="F93" i="5"/>
  <c r="D94" i="5"/>
  <c r="E94" i="5"/>
  <c r="F94" i="5"/>
  <c r="D95" i="5"/>
  <c r="E95" i="5"/>
  <c r="F95" i="5"/>
  <c r="D96" i="5"/>
  <c r="E96" i="5"/>
  <c r="F96" i="5"/>
  <c r="D97" i="5"/>
  <c r="E97" i="5"/>
  <c r="F97" i="5"/>
  <c r="D98" i="5"/>
  <c r="E98" i="5"/>
  <c r="F98" i="5"/>
  <c r="D99" i="5"/>
  <c r="E99" i="5"/>
  <c r="F99" i="5"/>
  <c r="D100" i="5"/>
  <c r="E100" i="5"/>
  <c r="F100" i="5"/>
  <c r="D101" i="5"/>
  <c r="E101" i="5"/>
  <c r="F101" i="5"/>
  <c r="F91" i="5"/>
  <c r="E91" i="5"/>
  <c r="D91" i="5"/>
  <c r="D83" i="5"/>
  <c r="E83" i="5"/>
  <c r="F83" i="5"/>
  <c r="D84" i="5"/>
  <c r="E84" i="5"/>
  <c r="F84" i="5"/>
  <c r="D85" i="5"/>
  <c r="E85" i="5"/>
  <c r="F85" i="5"/>
  <c r="D86" i="5"/>
  <c r="E86" i="5"/>
  <c r="F86" i="5"/>
  <c r="F82" i="5"/>
  <c r="E82" i="5"/>
  <c r="D82" i="5"/>
  <c r="D80" i="5"/>
  <c r="E80" i="5"/>
  <c r="F80" i="5"/>
  <c r="D78" i="5"/>
  <c r="F78" i="5"/>
  <c r="D79" i="5"/>
  <c r="E79" i="5"/>
  <c r="F79" i="5"/>
  <c r="D71" i="5"/>
  <c r="E71" i="5"/>
  <c r="F71" i="5"/>
  <c r="D72" i="5"/>
  <c r="E72" i="5"/>
  <c r="F72" i="5"/>
  <c r="D73" i="5"/>
  <c r="E73" i="5"/>
  <c r="F73" i="5"/>
  <c r="E74" i="5"/>
  <c r="F74" i="5"/>
  <c r="D75" i="5"/>
  <c r="E75" i="5"/>
  <c r="F75" i="5"/>
  <c r="D76" i="5"/>
  <c r="E76" i="5"/>
  <c r="F76" i="5"/>
  <c r="D77" i="5"/>
  <c r="E77" i="5"/>
  <c r="F77" i="5"/>
  <c r="F70" i="5"/>
  <c r="E70" i="5"/>
  <c r="E60" i="5"/>
  <c r="F60" i="5"/>
  <c r="D61" i="5"/>
  <c r="E61" i="5"/>
  <c r="F61" i="5"/>
  <c r="D62" i="5"/>
  <c r="E62" i="5"/>
  <c r="F62" i="5"/>
  <c r="D63" i="5"/>
  <c r="E63" i="5"/>
  <c r="F63" i="5"/>
  <c r="D64" i="5"/>
  <c r="E64" i="5"/>
  <c r="F64" i="5"/>
  <c r="D65" i="5"/>
  <c r="E65" i="5"/>
  <c r="F65" i="5"/>
  <c r="F59" i="5"/>
  <c r="E59" i="5"/>
  <c r="D59" i="5"/>
  <c r="E50" i="5"/>
  <c r="F50" i="5"/>
  <c r="D51" i="5"/>
  <c r="E51" i="5"/>
  <c r="F51" i="5"/>
  <c r="D52" i="5"/>
  <c r="E52" i="5"/>
  <c r="F52" i="5"/>
  <c r="D53" i="5"/>
  <c r="E53" i="5"/>
  <c r="F53" i="5"/>
  <c r="D54" i="5"/>
  <c r="E54" i="5"/>
  <c r="F54" i="5"/>
  <c r="D41" i="5"/>
  <c r="E41" i="5"/>
  <c r="F41" i="5"/>
  <c r="D42" i="5"/>
  <c r="E42" i="5"/>
  <c r="F42" i="5"/>
  <c r="D43" i="5"/>
  <c r="E43" i="5"/>
  <c r="F43" i="5"/>
  <c r="D44" i="5"/>
  <c r="E44" i="5"/>
  <c r="F44" i="5"/>
  <c r="D45" i="5"/>
  <c r="E45" i="5"/>
  <c r="F45" i="5"/>
  <c r="D46" i="5"/>
  <c r="E46" i="5"/>
  <c r="F46" i="5"/>
  <c r="F40" i="5"/>
  <c r="E40" i="5"/>
  <c r="D40" i="5"/>
  <c r="D36" i="5"/>
  <c r="E36" i="5"/>
  <c r="F36" i="5"/>
  <c r="F35" i="5"/>
  <c r="E35" i="5"/>
  <c r="D35" i="5"/>
  <c r="D26" i="5"/>
  <c r="E26" i="5"/>
  <c r="F26" i="5"/>
  <c r="D27" i="5"/>
  <c r="E27" i="5"/>
  <c r="F27" i="5"/>
  <c r="H435" i="6"/>
  <c r="H434" i="6" s="1"/>
  <c r="G80" i="5" s="1"/>
  <c r="J80" i="5" s="1"/>
  <c r="G79" i="5"/>
  <c r="J79" i="5" s="1"/>
  <c r="H431" i="6"/>
  <c r="H430" i="6" s="1"/>
  <c r="G78" i="5" s="1"/>
  <c r="J78" i="5" s="1"/>
  <c r="H617" i="6"/>
  <c r="H616" i="6" s="1"/>
  <c r="H612" i="6"/>
  <c r="H611" i="6" s="1"/>
  <c r="G115" i="5" s="1"/>
  <c r="J115" i="5" s="1"/>
  <c r="J113" i="5" s="1"/>
  <c r="D18" i="9" s="1"/>
  <c r="H385" i="6"/>
  <c r="H384" i="6" s="1"/>
  <c r="G65" i="5" s="1"/>
  <c r="J65" i="5" s="1"/>
  <c r="H383" i="6"/>
  <c r="H382" i="6" s="1"/>
  <c r="G64" i="5" s="1"/>
  <c r="J64" i="5" s="1"/>
  <c r="H381" i="6"/>
  <c r="H380" i="6" s="1"/>
  <c r="G63" i="5" s="1"/>
  <c r="J63" i="5" s="1"/>
  <c r="H379" i="6"/>
  <c r="H378" i="6" s="1"/>
  <c r="G62" i="5" s="1"/>
  <c r="J62" i="5" s="1"/>
  <c r="H331" i="6"/>
  <c r="H330" i="6"/>
  <c r="H328" i="6"/>
  <c r="H327" i="6"/>
  <c r="H326" i="6"/>
  <c r="H325" i="6"/>
  <c r="H321" i="6"/>
  <c r="H322" i="6"/>
  <c r="H323" i="6"/>
  <c r="H320" i="6"/>
  <c r="H318" i="6"/>
  <c r="H317" i="6"/>
  <c r="H316" i="6"/>
  <c r="H315" i="6"/>
  <c r="H313" i="6"/>
  <c r="H312" i="6"/>
  <c r="H311" i="6"/>
  <c r="H310" i="6"/>
  <c r="F302" i="6"/>
  <c r="H302" i="6" s="1"/>
  <c r="H295" i="6"/>
  <c r="H294" i="6" s="1"/>
  <c r="H289" i="6"/>
  <c r="H288" i="6" s="1"/>
  <c r="H286" i="6"/>
  <c r="H285" i="6" s="1"/>
  <c r="F305" i="6"/>
  <c r="H305" i="6" s="1"/>
  <c r="F299" i="6"/>
  <c r="H299" i="6" s="1"/>
  <c r="F292" i="6"/>
  <c r="H292" i="6" s="1"/>
  <c r="H291" i="6" s="1"/>
  <c r="H279" i="6"/>
  <c r="H278" i="6" s="1"/>
  <c r="G36" i="5" s="1"/>
  <c r="J36" i="5" s="1"/>
  <c r="H277" i="6"/>
  <c r="H276" i="6" s="1"/>
  <c r="G35" i="5" s="1"/>
  <c r="J35" i="5" s="1"/>
  <c r="H1271" i="6"/>
  <c r="H1270" i="6"/>
  <c r="H1076" i="6"/>
  <c r="H1075" i="6"/>
  <c r="H1073" i="6"/>
  <c r="H1074" i="6"/>
  <c r="H1416" i="6"/>
  <c r="H1415" i="6"/>
  <c r="H1414" i="6"/>
  <c r="H1413" i="6"/>
  <c r="H1412" i="6"/>
  <c r="H1411" i="6"/>
  <c r="H1410" i="6"/>
  <c r="H1409" i="6"/>
  <c r="H1408" i="6"/>
  <c r="H632" i="6" l="1"/>
  <c r="H1407" i="6"/>
  <c r="H643" i="6"/>
  <c r="G131" i="5" s="1"/>
  <c r="J131" i="5" s="1"/>
  <c r="H309" i="6"/>
  <c r="G50" i="5" s="1"/>
  <c r="J50" i="5" s="1"/>
  <c r="H324" i="6"/>
  <c r="G53" i="5" s="1"/>
  <c r="J53" i="5" s="1"/>
  <c r="H314" i="6"/>
  <c r="G51" i="5" s="1"/>
  <c r="J51" i="5" s="1"/>
  <c r="G87" i="5"/>
  <c r="J87" i="5" s="1"/>
  <c r="H619" i="6"/>
  <c r="G120" i="5" s="1"/>
  <c r="J120" i="5" s="1"/>
  <c r="G119" i="5"/>
  <c r="J119" i="5" s="1"/>
  <c r="J33" i="5"/>
  <c r="H329" i="6"/>
  <c r="G54" i="5" s="1"/>
  <c r="J54" i="5" s="1"/>
  <c r="H319" i="6"/>
  <c r="G52" i="5" s="1"/>
  <c r="J52" i="5" s="1"/>
  <c r="H293" i="6"/>
  <c r="G43" i="5" s="1"/>
  <c r="J43" i="5" s="1"/>
  <c r="H284" i="6"/>
  <c r="G40" i="5" s="1"/>
  <c r="J40" i="5" s="1"/>
  <c r="H301" i="6"/>
  <c r="H300" i="6"/>
  <c r="G45" i="5" s="1"/>
  <c r="J45" i="5" s="1"/>
  <c r="H298" i="6"/>
  <c r="H297" i="6"/>
  <c r="G44" i="5" s="1"/>
  <c r="J44" i="5" s="1"/>
  <c r="H304" i="6"/>
  <c r="H303" i="6"/>
  <c r="G46" i="5" s="1"/>
  <c r="J46" i="5" s="1"/>
  <c r="H290" i="6"/>
  <c r="G42" i="5" s="1"/>
  <c r="J42" i="5" s="1"/>
  <c r="H287" i="6"/>
  <c r="G41" i="5" s="1"/>
  <c r="J41" i="5" s="1"/>
  <c r="J48" i="5" l="1"/>
  <c r="D12" i="9" s="1"/>
  <c r="J117" i="5"/>
  <c r="D19" i="9" s="1"/>
  <c r="J38" i="5"/>
  <c r="G180" i="5"/>
  <c r="J180" i="5" s="1"/>
  <c r="H1399" i="6" l="1"/>
  <c r="H1398" i="6"/>
  <c r="H1397" i="6"/>
  <c r="H1065" i="6"/>
  <c r="H1066" i="6"/>
  <c r="H161" i="6" l="1"/>
  <c r="F160" i="6"/>
  <c r="H160" i="6" s="1"/>
  <c r="H259" i="6"/>
  <c r="H258" i="6"/>
  <c r="H257" i="6"/>
  <c r="H837" i="6"/>
  <c r="H836" i="6"/>
  <c r="H835" i="6"/>
  <c r="H186" i="6"/>
  <c r="H1337" i="6"/>
  <c r="H642" i="6"/>
  <c r="H1267" i="6"/>
  <c r="H1135" i="6"/>
  <c r="F1072" i="6"/>
  <c r="H1072" i="6" s="1"/>
  <c r="H913" i="6"/>
  <c r="H909" i="6"/>
  <c r="H61" i="6"/>
  <c r="H57" i="6"/>
  <c r="G906" i="6"/>
  <c r="H1266" i="6"/>
  <c r="H1265" i="6"/>
  <c r="H1264" i="6"/>
  <c r="H1134" i="6"/>
  <c r="H1133" i="6"/>
  <c r="H1132" i="6"/>
  <c r="H1071" i="6"/>
  <c r="H1070" i="6"/>
  <c r="H1069" i="6"/>
  <c r="H131" i="6"/>
  <c r="H130" i="6"/>
  <c r="H129" i="6"/>
  <c r="H128" i="6"/>
  <c r="H954" i="6"/>
  <c r="H759" i="6"/>
  <c r="H484" i="6"/>
  <c r="F953" i="6"/>
  <c r="H953" i="6" s="1"/>
  <c r="F758" i="6"/>
  <c r="H758" i="6" s="1"/>
  <c r="F483" i="6"/>
  <c r="H483" i="6" s="1"/>
  <c r="F194" i="6"/>
  <c r="H194" i="6" s="1"/>
  <c r="H193" i="6"/>
  <c r="H1383" i="6"/>
  <c r="H1382" i="6"/>
  <c r="H1360" i="6"/>
  <c r="H1359" i="6"/>
  <c r="H1260" i="6"/>
  <c r="H1262" i="6"/>
  <c r="H1131" i="6"/>
  <c r="H1130" i="6"/>
  <c r="H1067" i="6"/>
  <c r="F1263" i="6"/>
  <c r="H1263" i="6" s="1"/>
  <c r="H1068" i="6"/>
  <c r="H1261" i="6"/>
  <c r="H1258" i="6"/>
  <c r="H1259" i="6"/>
  <c r="H1257" i="6"/>
  <c r="F397" i="6"/>
  <c r="H397" i="6" s="1"/>
  <c r="F396" i="6"/>
  <c r="H185" i="6"/>
  <c r="H184" i="6"/>
  <c r="H429" i="6"/>
  <c r="H428" i="6"/>
  <c r="H256" i="6" l="1"/>
  <c r="H427" i="6"/>
  <c r="G77" i="5" s="1"/>
  <c r="J77" i="5" s="1"/>
  <c r="F272" i="6" l="1"/>
  <c r="H272" i="6" s="1"/>
  <c r="G27" i="5"/>
  <c r="J27" i="5" s="1"/>
  <c r="H247" i="6"/>
  <c r="H473" i="6" l="1"/>
  <c r="H472" i="6" s="1"/>
  <c r="G101" i="5" s="1"/>
  <c r="H471" i="6"/>
  <c r="H470" i="6" s="1"/>
  <c r="G100" i="5" s="1"/>
  <c r="H469" i="6"/>
  <c r="H468" i="6" s="1"/>
  <c r="G99" i="5" s="1"/>
  <c r="H467" i="6"/>
  <c r="H466" i="6" s="1"/>
  <c r="G98" i="5" s="1"/>
  <c r="H465" i="6"/>
  <c r="H464" i="6" s="1"/>
  <c r="G97" i="5" s="1"/>
  <c r="H463" i="6"/>
  <c r="H462" i="6" s="1"/>
  <c r="G96" i="5" s="1"/>
  <c r="H461" i="6"/>
  <c r="H460" i="6" s="1"/>
  <c r="G95" i="5" s="1"/>
  <c r="H459" i="6"/>
  <c r="H458" i="6" s="1"/>
  <c r="G94" i="5" s="1"/>
  <c r="H457" i="6"/>
  <c r="H456" i="6" s="1"/>
  <c r="G93" i="5" s="1"/>
  <c r="H455" i="6"/>
  <c r="H454" i="6" s="1"/>
  <c r="G92" i="5" s="1"/>
  <c r="H453" i="6"/>
  <c r="H452" i="6" s="1"/>
  <c r="G91" i="5" s="1"/>
  <c r="H446" i="6"/>
  <c r="H445" i="6" s="1"/>
  <c r="H444" i="6"/>
  <c r="H443" i="6" s="1"/>
  <c r="H442" i="6"/>
  <c r="H441" i="6" s="1"/>
  <c r="H440" i="6"/>
  <c r="H439" i="6" s="1"/>
  <c r="H438" i="6"/>
  <c r="G84" i="5" l="1"/>
  <c r="J84" i="5" s="1"/>
  <c r="G85" i="5"/>
  <c r="J85" i="5" s="1"/>
  <c r="G86" i="5"/>
  <c r="J86" i="5" s="1"/>
  <c r="H437" i="6"/>
  <c r="G82" i="5" s="1"/>
  <c r="G83" i="5" l="1"/>
  <c r="J83" i="5" s="1"/>
  <c r="J82" i="5"/>
  <c r="H789" i="6"/>
  <c r="J81" i="5" l="1"/>
  <c r="H1396" i="6"/>
  <c r="H1395" i="6"/>
  <c r="H1394" i="6"/>
  <c r="H1393" i="6"/>
  <c r="F1392" i="6"/>
  <c r="H1392" i="6" s="1"/>
  <c r="H1391" i="6"/>
  <c r="H1390" i="6"/>
  <c r="H1389" i="6"/>
  <c r="H1388" i="6"/>
  <c r="H1387" i="6"/>
  <c r="H1386" i="6"/>
  <c r="H1385" i="6"/>
  <c r="H1317" i="6"/>
  <c r="H1316" i="6"/>
  <c r="H1315" i="6"/>
  <c r="H1314" i="6"/>
  <c r="H1313" i="6"/>
  <c r="H1312" i="6"/>
  <c r="H1311" i="6"/>
  <c r="H1310" i="6"/>
  <c r="H1309" i="6"/>
  <c r="H1308" i="6"/>
  <c r="H1307" i="6"/>
  <c r="H1306" i="6"/>
  <c r="F1305" i="6"/>
  <c r="H1305" i="6" s="1"/>
  <c r="H1304" i="6"/>
  <c r="H1303" i="6"/>
  <c r="H1302" i="6"/>
  <c r="H1301" i="6"/>
  <c r="H1300" i="6"/>
  <c r="H1299" i="6"/>
  <c r="H1298" i="6"/>
  <c r="H1297" i="6"/>
  <c r="H1296" i="6"/>
  <c r="H1295" i="6"/>
  <c r="H1294" i="6"/>
  <c r="H1293" i="6"/>
  <c r="H1292" i="6"/>
  <c r="H1291" i="6"/>
  <c r="H1290" i="6"/>
  <c r="H1289" i="6"/>
  <c r="H1288" i="6"/>
  <c r="H1287" i="6"/>
  <c r="H1286" i="6"/>
  <c r="H1285" i="6"/>
  <c r="H1284" i="6"/>
  <c r="H1283" i="6"/>
  <c r="H1282" i="6"/>
  <c r="F1281" i="6"/>
  <c r="H1281" i="6" s="1"/>
  <c r="H1280" i="6"/>
  <c r="F1279" i="6"/>
  <c r="H1279" i="6" s="1"/>
  <c r="H1278" i="6"/>
  <c r="H1277" i="6"/>
  <c r="F1276" i="6"/>
  <c r="H1276" i="6" s="1"/>
  <c r="H1275" i="6"/>
  <c r="H1274" i="6"/>
  <c r="H1273" i="6"/>
  <c r="H1319" i="6"/>
  <c r="H1320" i="6"/>
  <c r="H1256" i="6"/>
  <c r="H1255" i="6"/>
  <c r="H1254" i="6"/>
  <c r="H1253" i="6"/>
  <c r="H1252" i="6"/>
  <c r="H1251" i="6"/>
  <c r="H1250" i="6"/>
  <c r="H1249" i="6"/>
  <c r="H1248" i="6"/>
  <c r="H1247" i="6"/>
  <c r="H1246" i="6"/>
  <c r="H1245" i="6"/>
  <c r="H1244" i="6"/>
  <c r="H1243" i="6"/>
  <c r="H1242" i="6"/>
  <c r="F1241" i="6"/>
  <c r="H1241" i="6" s="1"/>
  <c r="H1240" i="6"/>
  <c r="H1239" i="6"/>
  <c r="F1238" i="6"/>
  <c r="H1238" i="6" s="1"/>
  <c r="H1237" i="6"/>
  <c r="H1236" i="6"/>
  <c r="F1235" i="6"/>
  <c r="H1235" i="6" s="1"/>
  <c r="H1234" i="6"/>
  <c r="H1233" i="6"/>
  <c r="F1232" i="6"/>
  <c r="H1232" i="6" s="1"/>
  <c r="H1231" i="6"/>
  <c r="H1230" i="6"/>
  <c r="F1229" i="6"/>
  <c r="H1229" i="6" s="1"/>
  <c r="H1228" i="6"/>
  <c r="H1227" i="6"/>
  <c r="F1226" i="6"/>
  <c r="H1226" i="6" s="1"/>
  <c r="H1225" i="6"/>
  <c r="H1224" i="6"/>
  <c r="F1223" i="6"/>
  <c r="H1223" i="6" s="1"/>
  <c r="H1222" i="6"/>
  <c r="H1221" i="6"/>
  <c r="F1220" i="6"/>
  <c r="H1220" i="6" s="1"/>
  <c r="H1219" i="6"/>
  <c r="H1218" i="6"/>
  <c r="F1217" i="6"/>
  <c r="H1217" i="6" s="1"/>
  <c r="H1216" i="6"/>
  <c r="H1215" i="6"/>
  <c r="F1214" i="6"/>
  <c r="H1214" i="6" s="1"/>
  <c r="H1213" i="6"/>
  <c r="H1212" i="6"/>
  <c r="F1211" i="6"/>
  <c r="H1211" i="6" s="1"/>
  <c r="H1210" i="6"/>
  <c r="H1209" i="6"/>
  <c r="H1208" i="6"/>
  <c r="F1207" i="6"/>
  <c r="H1207" i="6" s="1"/>
  <c r="H1206" i="6"/>
  <c r="H1205" i="6"/>
  <c r="F1204" i="6"/>
  <c r="H1204" i="6" s="1"/>
  <c r="H1203" i="6"/>
  <c r="H1202" i="6"/>
  <c r="F1201" i="6"/>
  <c r="H1201" i="6" s="1"/>
  <c r="H1200" i="6"/>
  <c r="H1199" i="6"/>
  <c r="H1198" i="6"/>
  <c r="F1197" i="6"/>
  <c r="H1197" i="6" s="1"/>
  <c r="H1196" i="6"/>
  <c r="H1195" i="6"/>
  <c r="H1194" i="6"/>
  <c r="H1193" i="6"/>
  <c r="F1192" i="6"/>
  <c r="H1192" i="6" s="1"/>
  <c r="H1191" i="6"/>
  <c r="H1190" i="6"/>
  <c r="H1189" i="6"/>
  <c r="F1188" i="6"/>
  <c r="H1188" i="6" s="1"/>
  <c r="H1187" i="6"/>
  <c r="H1186" i="6"/>
  <c r="F1185" i="6"/>
  <c r="H1185" i="6" s="1"/>
  <c r="H1184" i="6"/>
  <c r="H1183" i="6"/>
  <c r="F1182" i="6"/>
  <c r="H1182" i="6" s="1"/>
  <c r="H1181" i="6"/>
  <c r="H1180" i="6"/>
  <c r="F1179" i="6"/>
  <c r="H1179" i="6" s="1"/>
  <c r="H1178" i="6"/>
  <c r="H1177" i="6"/>
  <c r="F1176" i="6"/>
  <c r="H1176" i="6" s="1"/>
  <c r="H1175" i="6"/>
  <c r="H1174" i="6"/>
  <c r="H1173" i="6"/>
  <c r="F1172" i="6"/>
  <c r="H1172" i="6" s="1"/>
  <c r="H1171" i="6"/>
  <c r="H1170" i="6"/>
  <c r="F1169" i="6"/>
  <c r="H1169" i="6" s="1"/>
  <c r="H1168" i="6"/>
  <c r="H1167" i="6"/>
  <c r="H1166" i="6"/>
  <c r="F1165" i="6"/>
  <c r="H1165" i="6" s="1"/>
  <c r="H1164" i="6"/>
  <c r="H1163" i="6"/>
  <c r="F1162" i="6"/>
  <c r="H1162" i="6" s="1"/>
  <c r="H1161" i="6"/>
  <c r="H1160" i="6"/>
  <c r="H1159" i="6"/>
  <c r="F1158" i="6"/>
  <c r="H1158" i="6" s="1"/>
  <c r="H1157" i="6"/>
  <c r="H1156" i="6"/>
  <c r="F1155" i="6"/>
  <c r="H1155" i="6" s="1"/>
  <c r="H1154" i="6"/>
  <c r="H1153" i="6"/>
  <c r="H1152" i="6"/>
  <c r="F1151" i="6"/>
  <c r="H1151" i="6" s="1"/>
  <c r="H1150" i="6"/>
  <c r="H1149" i="6"/>
  <c r="F1148" i="6"/>
  <c r="H1148" i="6" s="1"/>
  <c r="H1147" i="6"/>
  <c r="H1146" i="6"/>
  <c r="H1145" i="6"/>
  <c r="H1144" i="6"/>
  <c r="H1143" i="6"/>
  <c r="H1142" i="6"/>
  <c r="F1141" i="6"/>
  <c r="H1141" i="6" s="1"/>
  <c r="H1140" i="6"/>
  <c r="H1139" i="6"/>
  <c r="H1138" i="6"/>
  <c r="H1137" i="6"/>
  <c r="H1129" i="6"/>
  <c r="H1128" i="6"/>
  <c r="F1127" i="6"/>
  <c r="H1127" i="6" s="1"/>
  <c r="H1126" i="6"/>
  <c r="H1125" i="6"/>
  <c r="F1124" i="6"/>
  <c r="H1124" i="6" s="1"/>
  <c r="H1123" i="6"/>
  <c r="H1122" i="6"/>
  <c r="F1121" i="6"/>
  <c r="H1121" i="6" s="1"/>
  <c r="H1120" i="6"/>
  <c r="H1119" i="6"/>
  <c r="H1118" i="6"/>
  <c r="H1117" i="6"/>
  <c r="H1116" i="6"/>
  <c r="F1115" i="6"/>
  <c r="H1115" i="6" s="1"/>
  <c r="H1114" i="6"/>
  <c r="H1113" i="6"/>
  <c r="F1112" i="6"/>
  <c r="H1112" i="6" s="1"/>
  <c r="H1111" i="6"/>
  <c r="H1110" i="6"/>
  <c r="F1109" i="6"/>
  <c r="H1109" i="6" s="1"/>
  <c r="H1108" i="6"/>
  <c r="H1107" i="6"/>
  <c r="H1106" i="6"/>
  <c r="H1105" i="6"/>
  <c r="H1104" i="6"/>
  <c r="F1103" i="6"/>
  <c r="H1103" i="6" s="1"/>
  <c r="H1102" i="6"/>
  <c r="H1101" i="6"/>
  <c r="H1100" i="6"/>
  <c r="H1099" i="6"/>
  <c r="H1098" i="6"/>
  <c r="H1097" i="6"/>
  <c r="H1096" i="6"/>
  <c r="H1095" i="6"/>
  <c r="F1094" i="6"/>
  <c r="H1094" i="6" s="1"/>
  <c r="H1093" i="6"/>
  <c r="H1092" i="6"/>
  <c r="F1091" i="6"/>
  <c r="H1091" i="6" s="1"/>
  <c r="H1090" i="6"/>
  <c r="H1089" i="6"/>
  <c r="F1088" i="6"/>
  <c r="H1088" i="6" s="1"/>
  <c r="H1087" i="6"/>
  <c r="H1086" i="6"/>
  <c r="F1085" i="6"/>
  <c r="H1085" i="6" s="1"/>
  <c r="H1084" i="6"/>
  <c r="H1083" i="6"/>
  <c r="H1082" i="6"/>
  <c r="H1081" i="6"/>
  <c r="H1080" i="6"/>
  <c r="H1079" i="6"/>
  <c r="H1078" i="6"/>
  <c r="H952" i="6"/>
  <c r="H951" i="6"/>
  <c r="H950" i="6"/>
  <c r="H949" i="6"/>
  <c r="H948" i="6"/>
  <c r="H947" i="6"/>
  <c r="H946" i="6"/>
  <c r="H945" i="6"/>
  <c r="H944" i="6"/>
  <c r="H943" i="6"/>
  <c r="H942" i="6"/>
  <c r="H941" i="6"/>
  <c r="H940" i="6"/>
  <c r="H939" i="6"/>
  <c r="H938" i="6"/>
  <c r="F937" i="6"/>
  <c r="H937" i="6" s="1"/>
  <c r="H936" i="6"/>
  <c r="H935" i="6"/>
  <c r="H934" i="6"/>
  <c r="H933" i="6"/>
  <c r="H932" i="6"/>
  <c r="F931" i="6"/>
  <c r="H931" i="6" s="1"/>
  <c r="H930" i="6"/>
  <c r="H929" i="6"/>
  <c r="H928" i="6"/>
  <c r="H927" i="6"/>
  <c r="H926" i="6"/>
  <c r="F925" i="6"/>
  <c r="H925" i="6" s="1"/>
  <c r="H924" i="6"/>
  <c r="H923" i="6"/>
  <c r="H922" i="6"/>
  <c r="F921" i="6"/>
  <c r="H921" i="6" s="1"/>
  <c r="H920" i="6"/>
  <c r="H919" i="6"/>
  <c r="H918" i="6"/>
  <c r="F917" i="6"/>
  <c r="H917" i="6" s="1"/>
  <c r="H916" i="6"/>
  <c r="H915" i="6"/>
  <c r="F914" i="6"/>
  <c r="H914" i="6" s="1"/>
  <c r="H912" i="6"/>
  <c r="H911" i="6"/>
  <c r="F910" i="6"/>
  <c r="H910" i="6" s="1"/>
  <c r="H908" i="6"/>
  <c r="H907" i="6"/>
  <c r="F906" i="6"/>
  <c r="H906" i="6" s="1"/>
  <c r="H905" i="6"/>
  <c r="H904" i="6"/>
  <c r="H903" i="6"/>
  <c r="F902" i="6"/>
  <c r="H902" i="6" s="1"/>
  <c r="H901" i="6"/>
  <c r="H900" i="6"/>
  <c r="H899" i="6"/>
  <c r="F898" i="6"/>
  <c r="H898" i="6" s="1"/>
  <c r="H897" i="6"/>
  <c r="H896" i="6"/>
  <c r="H895" i="6"/>
  <c r="F894" i="6"/>
  <c r="H894" i="6" s="1"/>
  <c r="H893" i="6"/>
  <c r="H892" i="6"/>
  <c r="H891" i="6"/>
  <c r="F890" i="6"/>
  <c r="H890" i="6" s="1"/>
  <c r="H889" i="6"/>
  <c r="H888" i="6"/>
  <c r="F887" i="6"/>
  <c r="H887" i="6" s="1"/>
  <c r="H886" i="6"/>
  <c r="H885" i="6"/>
  <c r="H884" i="6"/>
  <c r="H883" i="6"/>
  <c r="H882" i="6"/>
  <c r="H881" i="6"/>
  <c r="F880" i="6"/>
  <c r="H880" i="6" s="1"/>
  <c r="H834" i="6"/>
  <c r="H833" i="6"/>
  <c r="H832" i="6"/>
  <c r="H831" i="6"/>
  <c r="H830" i="6"/>
  <c r="H829" i="6"/>
  <c r="H828" i="6"/>
  <c r="H827" i="6"/>
  <c r="H826" i="6"/>
  <c r="H825" i="6"/>
  <c r="H824" i="6"/>
  <c r="G823" i="6"/>
  <c r="H823" i="6" s="1"/>
  <c r="H1272" i="6" l="1"/>
  <c r="H1077" i="6"/>
  <c r="H1136" i="6"/>
  <c r="H879" i="6"/>
  <c r="H1384" i="6"/>
  <c r="H822" i="6"/>
  <c r="G150" i="5" s="1"/>
  <c r="J150" i="5" s="1"/>
  <c r="H176" i="6" l="1"/>
  <c r="H177" i="6"/>
  <c r="H178" i="6"/>
  <c r="H179" i="6"/>
  <c r="H180" i="6"/>
  <c r="H181" i="6"/>
  <c r="H182" i="6"/>
  <c r="H183" i="6"/>
  <c r="H255" i="6"/>
  <c r="H254" i="6" s="1"/>
  <c r="G26" i="5" s="1"/>
  <c r="J26" i="5" s="1"/>
  <c r="F798" i="6"/>
  <c r="F799" i="6"/>
  <c r="F15" i="5"/>
  <c r="F16" i="5"/>
  <c r="F17" i="5"/>
  <c r="F18" i="5"/>
  <c r="F19" i="5"/>
  <c r="F20" i="5"/>
  <c r="F21" i="5"/>
  <c r="F22" i="5"/>
  <c r="F23" i="5"/>
  <c r="F24" i="5"/>
  <c r="F25" i="5"/>
  <c r="F13" i="5"/>
  <c r="F14" i="5"/>
  <c r="H396" i="6"/>
  <c r="F395" i="6"/>
  <c r="H395" i="6" s="1"/>
  <c r="F393" i="6"/>
  <c r="H393" i="6" s="1"/>
  <c r="F394" i="6"/>
  <c r="H394" i="6" s="1"/>
  <c r="F392" i="6"/>
  <c r="H392" i="6" s="1"/>
  <c r="H1406" i="6"/>
  <c r="H1405" i="6" s="1"/>
  <c r="G179" i="5" s="1"/>
  <c r="J179" i="5" s="1"/>
  <c r="H1404" i="6"/>
  <c r="H1403" i="6"/>
  <c r="H175" i="6" l="1"/>
  <c r="H391" i="6"/>
  <c r="G70" i="5" s="1"/>
  <c r="J70" i="5" s="1"/>
  <c r="H1378" i="6"/>
  <c r="H1355" i="6"/>
  <c r="H640" i="6"/>
  <c r="H641" i="6"/>
  <c r="H639" i="6"/>
  <c r="H638" i="6"/>
  <c r="H607" i="6"/>
  <c r="H606" i="6"/>
  <c r="H605" i="6"/>
  <c r="H604" i="6"/>
  <c r="H603" i="6"/>
  <c r="H602" i="6"/>
  <c r="H601" i="6"/>
  <c r="H600" i="6"/>
  <c r="H599" i="6"/>
  <c r="H598" i="6"/>
  <c r="H597" i="6"/>
  <c r="H596" i="6"/>
  <c r="H595" i="6"/>
  <c r="H126" i="6"/>
  <c r="H124" i="6"/>
  <c r="H125" i="6"/>
  <c r="H127" i="6"/>
  <c r="H123" i="6"/>
  <c r="H122" i="6"/>
  <c r="H118" i="6"/>
  <c r="H119" i="6"/>
  <c r="H120" i="6"/>
  <c r="H121" i="6"/>
  <c r="H117" i="6"/>
  <c r="H116" i="6"/>
  <c r="H637" i="6" l="1"/>
  <c r="G130" i="5" s="1"/>
  <c r="J130" i="5" s="1"/>
  <c r="H594" i="6"/>
  <c r="G111" i="5" s="1"/>
  <c r="J111" i="5" s="1"/>
  <c r="H251" i="6" l="1"/>
  <c r="H250" i="6"/>
  <c r="H868" i="6" l="1"/>
  <c r="H867" i="6" s="1"/>
  <c r="H863" i="6"/>
  <c r="H862" i="6" s="1"/>
  <c r="H426" i="6" l="1"/>
  <c r="H425" i="6" s="1"/>
  <c r="G76" i="5" s="1"/>
  <c r="J76" i="5" l="1"/>
  <c r="F848" i="6"/>
  <c r="H848" i="6" s="1"/>
  <c r="F847" i="6"/>
  <c r="H847" i="6" s="1"/>
  <c r="H799" i="6"/>
  <c r="H798" i="6"/>
  <c r="F795" i="6"/>
  <c r="H795" i="6" s="1"/>
  <c r="F794" i="6"/>
  <c r="H794" i="6" s="1"/>
  <c r="F593" i="6"/>
  <c r="H593" i="6" s="1"/>
  <c r="F592" i="6"/>
  <c r="H592" i="6" s="1"/>
  <c r="H591" i="6" l="1"/>
  <c r="H377" i="6"/>
  <c r="H376" i="6" s="1"/>
  <c r="G61" i="5" s="1"/>
  <c r="J61" i="5" s="1"/>
  <c r="H375" i="6"/>
  <c r="H374" i="6"/>
  <c r="H373" i="6"/>
  <c r="H372" i="6"/>
  <c r="H371" i="6"/>
  <c r="H370" i="6"/>
  <c r="H369" i="6"/>
  <c r="H368" i="6"/>
  <c r="H367" i="6"/>
  <c r="H366" i="6"/>
  <c r="H365" i="6"/>
  <c r="H363" i="6"/>
  <c r="H362" i="6"/>
  <c r="H361" i="6"/>
  <c r="H360" i="6"/>
  <c r="H359" i="6"/>
  <c r="H358" i="6"/>
  <c r="H357" i="6"/>
  <c r="H356" i="6"/>
  <c r="H355" i="6"/>
  <c r="H354" i="6"/>
  <c r="H353" i="6"/>
  <c r="H352" i="6"/>
  <c r="H351" i="6"/>
  <c r="H350" i="6"/>
  <c r="H349" i="6"/>
  <c r="H348" i="6"/>
  <c r="H347" i="6"/>
  <c r="H346" i="6"/>
  <c r="H345" i="6"/>
  <c r="H344" i="6"/>
  <c r="H343" i="6"/>
  <c r="H342" i="6"/>
  <c r="H341" i="6"/>
  <c r="H340" i="6"/>
  <c r="H339" i="6"/>
  <c r="H424" i="6"/>
  <c r="H423" i="6"/>
  <c r="H421" i="6"/>
  <c r="H420" i="6"/>
  <c r="H419" i="6"/>
  <c r="H418" i="6"/>
  <c r="H417" i="6"/>
  <c r="H416" i="6"/>
  <c r="H415" i="6"/>
  <c r="H414" i="6"/>
  <c r="H412" i="6"/>
  <c r="H402" i="6"/>
  <c r="H403" i="6"/>
  <c r="H404" i="6"/>
  <c r="H405" i="6"/>
  <c r="H406" i="6"/>
  <c r="H407" i="6"/>
  <c r="H408" i="6"/>
  <c r="H409" i="6"/>
  <c r="H410" i="6"/>
  <c r="H401" i="6"/>
  <c r="H253" i="6"/>
  <c r="H252" i="6" s="1"/>
  <c r="H413" i="6" l="1"/>
  <c r="G74" i="5" s="1"/>
  <c r="J74" i="5" s="1"/>
  <c r="H338" i="6"/>
  <c r="G59" i="5" s="1"/>
  <c r="J59" i="5" s="1"/>
  <c r="H364" i="6"/>
  <c r="G60" i="5" s="1"/>
  <c r="J60" i="5" s="1"/>
  <c r="H422" i="6"/>
  <c r="G75" i="5" s="1"/>
  <c r="J75" i="5" s="1"/>
  <c r="H411" i="6"/>
  <c r="G73" i="5" s="1"/>
  <c r="J73" i="5" s="1"/>
  <c r="H400" i="6"/>
  <c r="G72" i="5" s="1"/>
  <c r="J72" i="5" s="1"/>
  <c r="J57" i="5" l="1"/>
  <c r="D13" i="9" s="1"/>
  <c r="H399" i="6"/>
  <c r="H398" i="6" s="1"/>
  <c r="G71" i="5" s="1"/>
  <c r="J71" i="5" s="1"/>
  <c r="J68" i="5" s="1"/>
  <c r="H249" i="6"/>
  <c r="F1064" i="6"/>
  <c r="H1064" i="6" s="1"/>
  <c r="F1063" i="6"/>
  <c r="H1063" i="6" s="1"/>
  <c r="H661" i="6"/>
  <c r="H797" i="6"/>
  <c r="H796" i="6" s="1"/>
  <c r="G139" i="5" s="1"/>
  <c r="J139" i="5" s="1"/>
  <c r="H793" i="6"/>
  <c r="H757" i="6"/>
  <c r="H590" i="6"/>
  <c r="H482" i="6"/>
  <c r="F192" i="6"/>
  <c r="H192" i="6" s="1"/>
  <c r="F191" i="6"/>
  <c r="H248" i="6" l="1"/>
  <c r="F271" i="6" s="1"/>
  <c r="H271" i="6" s="1"/>
  <c r="H191" i="6" l="1"/>
  <c r="H190" i="6" s="1"/>
  <c r="H1381" i="6"/>
  <c r="H1380" i="6"/>
  <c r="H1379" i="6"/>
  <c r="H1377" i="6"/>
  <c r="H1376" i="6"/>
  <c r="H1375" i="6"/>
  <c r="H1374" i="6"/>
  <c r="H1373" i="6"/>
  <c r="H1372" i="6"/>
  <c r="H1371" i="6"/>
  <c r="H1370" i="6"/>
  <c r="H1369" i="6"/>
  <c r="H1368" i="6"/>
  <c r="H1367" i="6"/>
  <c r="H1366" i="6"/>
  <c r="H1365" i="6"/>
  <c r="H1364" i="6"/>
  <c r="H1363" i="6"/>
  <c r="H1362" i="6"/>
  <c r="H1340" i="6"/>
  <c r="H1341" i="6"/>
  <c r="H1342" i="6"/>
  <c r="H1343" i="6"/>
  <c r="H1344" i="6"/>
  <c r="H1345" i="6"/>
  <c r="H1346" i="6"/>
  <c r="H1347" i="6"/>
  <c r="H1348" i="6"/>
  <c r="H1349" i="6"/>
  <c r="H1350" i="6"/>
  <c r="H1351" i="6"/>
  <c r="H1352" i="6"/>
  <c r="H1353" i="6"/>
  <c r="H1354" i="6"/>
  <c r="H1356" i="6"/>
  <c r="H1357" i="6"/>
  <c r="H1358" i="6"/>
  <c r="H1339" i="6"/>
  <c r="H1326" i="6"/>
  <c r="H1336" i="6"/>
  <c r="H1335" i="6"/>
  <c r="H1334" i="6"/>
  <c r="H1333" i="6"/>
  <c r="H1332" i="6"/>
  <c r="H1331" i="6"/>
  <c r="H1330" i="6"/>
  <c r="H1329" i="6"/>
  <c r="H1328" i="6"/>
  <c r="H626" i="6"/>
  <c r="H625" i="6" s="1"/>
  <c r="G124" i="5" s="1"/>
  <c r="J124" i="5" s="1"/>
  <c r="J122" i="5" s="1"/>
  <c r="D20" i="9" s="1"/>
  <c r="H1321" i="6"/>
  <c r="H1322" i="6"/>
  <c r="H1323" i="6"/>
  <c r="H1324" i="6"/>
  <c r="H1325" i="6"/>
  <c r="H1338" i="6" l="1"/>
  <c r="H1361" i="6"/>
  <c r="H1318" i="6"/>
  <c r="H1327" i="6"/>
  <c r="F270" i="6"/>
  <c r="H270" i="6" s="1"/>
  <c r="H631" i="6" l="1"/>
  <c r="H630" i="6" s="1"/>
  <c r="G128" i="5" s="1"/>
  <c r="J128" i="5" s="1"/>
  <c r="H171" i="6"/>
  <c r="H172" i="6"/>
  <c r="H173" i="6"/>
  <c r="H174" i="6"/>
  <c r="H481" i="6"/>
  <c r="H479" i="6"/>
  <c r="H846" i="6"/>
  <c r="H845" i="6"/>
  <c r="H844" i="6"/>
  <c r="H843" i="6"/>
  <c r="H792" i="6"/>
  <c r="H791" i="6"/>
  <c r="H790" i="6"/>
  <c r="H756" i="6"/>
  <c r="H754" i="6"/>
  <c r="H755" i="6"/>
  <c r="H753" i="6"/>
  <c r="H480" i="6"/>
  <c r="H478" i="6"/>
  <c r="H246" i="6"/>
  <c r="H245" i="6"/>
  <c r="H244" i="6"/>
  <c r="H243" i="6"/>
  <c r="H242" i="6"/>
  <c r="H241" i="6"/>
  <c r="H240" i="6"/>
  <c r="H239" i="6"/>
  <c r="H238" i="6"/>
  <c r="H237" i="6"/>
  <c r="H236" i="6"/>
  <c r="H235" i="6"/>
  <c r="H234" i="6"/>
  <c r="H223" i="6"/>
  <c r="H224" i="6"/>
  <c r="H225" i="6"/>
  <c r="H226" i="6"/>
  <c r="H227" i="6"/>
  <c r="H228" i="6"/>
  <c r="H229" i="6"/>
  <c r="H230" i="6"/>
  <c r="H231" i="6"/>
  <c r="H232" i="6"/>
  <c r="H222" i="6"/>
  <c r="H197" i="6"/>
  <c r="H198" i="6"/>
  <c r="H199" i="6"/>
  <c r="H200" i="6"/>
  <c r="H201" i="6"/>
  <c r="H202" i="6"/>
  <c r="H203" i="6"/>
  <c r="H204" i="6"/>
  <c r="H205" i="6"/>
  <c r="H206" i="6"/>
  <c r="H207" i="6"/>
  <c r="H208" i="6"/>
  <c r="H209" i="6"/>
  <c r="H210" i="6"/>
  <c r="H211" i="6"/>
  <c r="H212" i="6"/>
  <c r="H213" i="6"/>
  <c r="H214" i="6"/>
  <c r="H215" i="6"/>
  <c r="H216" i="6"/>
  <c r="H217" i="6"/>
  <c r="H218" i="6"/>
  <c r="H219" i="6"/>
  <c r="H220" i="6"/>
  <c r="H196" i="6"/>
  <c r="H189" i="6"/>
  <c r="H188" i="6"/>
  <c r="F652" i="6"/>
  <c r="H652" i="6" s="1"/>
  <c r="H653" i="6"/>
  <c r="H654" i="6"/>
  <c r="H655" i="6"/>
  <c r="H656" i="6"/>
  <c r="H657" i="6"/>
  <c r="H658" i="6"/>
  <c r="H659" i="6"/>
  <c r="H660" i="6"/>
  <c r="H788" i="6" l="1"/>
  <c r="G138" i="5" s="1"/>
  <c r="J138" i="5" s="1"/>
  <c r="H195" i="6"/>
  <c r="H233" i="6"/>
  <c r="H477" i="6"/>
  <c r="H221" i="6"/>
  <c r="G129" i="5"/>
  <c r="H187" i="6"/>
  <c r="F269" i="6" s="1"/>
  <c r="H269" i="6" s="1"/>
  <c r="H810" i="6" l="1"/>
  <c r="H809" i="6"/>
  <c r="H808" i="6"/>
  <c r="H806" i="6"/>
  <c r="H805" i="6"/>
  <c r="H804" i="6"/>
  <c r="H858" i="6"/>
  <c r="H857" i="6"/>
  <c r="H842" i="6"/>
  <c r="H170" i="6"/>
  <c r="H169" i="6"/>
  <c r="H168" i="6"/>
  <c r="H166" i="6"/>
  <c r="H165" i="6"/>
  <c r="H164" i="6"/>
  <c r="H163" i="6"/>
  <c r="F856" i="6"/>
  <c r="H856" i="6" s="1"/>
  <c r="H853" i="6"/>
  <c r="F854" i="6"/>
  <c r="H854" i="6" s="1"/>
  <c r="F851" i="6"/>
  <c r="H851" i="6" s="1"/>
  <c r="H855" i="6"/>
  <c r="H852" i="6"/>
  <c r="H850" i="6"/>
  <c r="H841" i="6"/>
  <c r="H840" i="6"/>
  <c r="H839" i="6"/>
  <c r="H777" i="6"/>
  <c r="H776" i="6"/>
  <c r="H775" i="6"/>
  <c r="G769" i="6"/>
  <c r="H774" i="6"/>
  <c r="H773" i="6"/>
  <c r="H772" i="6"/>
  <c r="H771" i="6"/>
  <c r="H770" i="6"/>
  <c r="H768" i="6"/>
  <c r="H767" i="6"/>
  <c r="H766" i="6"/>
  <c r="H765" i="6"/>
  <c r="H764" i="6"/>
  <c r="H763" i="6"/>
  <c r="H762" i="6"/>
  <c r="H761" i="6"/>
  <c r="H159" i="6"/>
  <c r="H158" i="6"/>
  <c r="F157" i="6"/>
  <c r="H157" i="6" s="1"/>
  <c r="H156" i="6"/>
  <c r="H155" i="6"/>
  <c r="F154" i="6"/>
  <c r="H154" i="6" s="1"/>
  <c r="H153" i="6"/>
  <c r="G152" i="6"/>
  <c r="F152" i="6"/>
  <c r="H151" i="6"/>
  <c r="H150" i="6"/>
  <c r="H147" i="6"/>
  <c r="H149" i="6"/>
  <c r="F148" i="6"/>
  <c r="H148" i="6" s="1"/>
  <c r="F146" i="6"/>
  <c r="H146" i="6" s="1"/>
  <c r="H144" i="6"/>
  <c r="H141" i="6"/>
  <c r="H142" i="6"/>
  <c r="H143" i="6"/>
  <c r="F140" i="6"/>
  <c r="H140" i="6" s="1"/>
  <c r="H162" i="6" l="1"/>
  <c r="H807" i="6"/>
  <c r="G144" i="5" s="1"/>
  <c r="J144" i="5" s="1"/>
  <c r="H849" i="6"/>
  <c r="G152" i="5" s="1"/>
  <c r="J152" i="5" s="1"/>
  <c r="H803" i="6"/>
  <c r="G143" i="5" s="1"/>
  <c r="J143" i="5" s="1"/>
  <c r="F266" i="6"/>
  <c r="H266" i="6" s="1"/>
  <c r="H167" i="6"/>
  <c r="F267" i="6" s="1"/>
  <c r="H267" i="6" s="1"/>
  <c r="H838" i="6"/>
  <c r="G151" i="5" s="1"/>
  <c r="J151" i="5" s="1"/>
  <c r="G168" i="5"/>
  <c r="J168" i="5" s="1"/>
  <c r="F268" i="6"/>
  <c r="H268" i="6" s="1"/>
  <c r="H769" i="6"/>
  <c r="H760" i="6" s="1"/>
  <c r="H152" i="6"/>
  <c r="H145" i="6" s="1"/>
  <c r="J141" i="5" l="1"/>
  <c r="D23" i="9" s="1"/>
  <c r="J148" i="5"/>
  <c r="D24" i="9" s="1"/>
  <c r="G137" i="5"/>
  <c r="J137" i="5" s="1"/>
  <c r="F265" i="6"/>
  <c r="H265" i="6" s="1"/>
  <c r="H1062" i="6"/>
  <c r="H1061" i="6"/>
  <c r="F1060" i="6"/>
  <c r="H1060" i="6" s="1"/>
  <c r="H1059" i="6"/>
  <c r="H1058" i="6"/>
  <c r="F1057" i="6"/>
  <c r="H1057" i="6" s="1"/>
  <c r="H1056" i="6"/>
  <c r="H1055" i="6"/>
  <c r="F1054" i="6"/>
  <c r="H1054" i="6" s="1"/>
  <c r="H1053" i="6"/>
  <c r="H1052" i="6"/>
  <c r="F1051" i="6"/>
  <c r="H1051" i="6" s="1"/>
  <c r="H1050" i="6"/>
  <c r="H1049" i="6"/>
  <c r="F1048" i="6"/>
  <c r="H1048" i="6" s="1"/>
  <c r="H1047" i="6"/>
  <c r="H1046" i="6"/>
  <c r="F1045" i="6"/>
  <c r="H1045" i="6" s="1"/>
  <c r="H1044" i="6"/>
  <c r="H1043" i="6"/>
  <c r="F1042" i="6"/>
  <c r="H1042" i="6" s="1"/>
  <c r="H1041" i="6"/>
  <c r="H1040" i="6"/>
  <c r="F1039" i="6"/>
  <c r="H1039" i="6" s="1"/>
  <c r="H1038" i="6"/>
  <c r="H1037" i="6"/>
  <c r="F1036" i="6"/>
  <c r="H1036" i="6" s="1"/>
  <c r="H1035" i="6"/>
  <c r="H1034" i="6"/>
  <c r="F1033" i="6"/>
  <c r="H1033" i="6" s="1"/>
  <c r="H1032" i="6"/>
  <c r="H1031" i="6"/>
  <c r="F1030" i="6"/>
  <c r="H1030" i="6" s="1"/>
  <c r="H1029" i="6"/>
  <c r="H1028" i="6"/>
  <c r="H1027" i="6"/>
  <c r="F1026" i="6"/>
  <c r="H1026" i="6" s="1"/>
  <c r="H1025" i="6"/>
  <c r="H1024" i="6"/>
  <c r="F1023" i="6"/>
  <c r="H1023" i="6" s="1"/>
  <c r="H1022" i="6"/>
  <c r="H1021" i="6"/>
  <c r="F1020" i="6"/>
  <c r="H1020" i="6" s="1"/>
  <c r="H1019" i="6"/>
  <c r="H1018" i="6"/>
  <c r="H1017" i="6"/>
  <c r="F1016" i="6"/>
  <c r="H1016" i="6" s="1"/>
  <c r="H1015" i="6"/>
  <c r="H1014" i="6"/>
  <c r="H1013" i="6"/>
  <c r="H1012" i="6"/>
  <c r="F1011" i="6"/>
  <c r="H1011" i="6" s="1"/>
  <c r="H1010" i="6"/>
  <c r="H1009" i="6"/>
  <c r="H1008" i="6"/>
  <c r="F1007" i="6"/>
  <c r="H1007" i="6" s="1"/>
  <c r="H1006" i="6"/>
  <c r="H1005" i="6"/>
  <c r="F1004" i="6"/>
  <c r="H1004" i="6" s="1"/>
  <c r="H1003" i="6"/>
  <c r="H1002" i="6"/>
  <c r="F1001" i="6"/>
  <c r="H1001" i="6" s="1"/>
  <c r="H1000" i="6"/>
  <c r="H999" i="6"/>
  <c r="F998" i="6"/>
  <c r="H998" i="6" s="1"/>
  <c r="H997" i="6"/>
  <c r="H996" i="6"/>
  <c r="F995" i="6"/>
  <c r="H995" i="6" s="1"/>
  <c r="H994" i="6"/>
  <c r="H993" i="6"/>
  <c r="H992" i="6"/>
  <c r="F991" i="6"/>
  <c r="H991" i="6" s="1"/>
  <c r="H990" i="6"/>
  <c r="H989" i="6"/>
  <c r="F988" i="6"/>
  <c r="H988" i="6" s="1"/>
  <c r="H987" i="6"/>
  <c r="H986" i="6"/>
  <c r="H985" i="6"/>
  <c r="F984" i="6"/>
  <c r="H984" i="6" s="1"/>
  <c r="H983" i="6"/>
  <c r="H982" i="6"/>
  <c r="F981" i="6"/>
  <c r="H981" i="6" s="1"/>
  <c r="H980" i="6"/>
  <c r="H979" i="6"/>
  <c r="H978" i="6"/>
  <c r="F977" i="6"/>
  <c r="H977" i="6" s="1"/>
  <c r="H976" i="6"/>
  <c r="H975" i="6"/>
  <c r="F974" i="6"/>
  <c r="H974" i="6" s="1"/>
  <c r="H973" i="6"/>
  <c r="H972" i="6"/>
  <c r="H971" i="6"/>
  <c r="F970" i="6"/>
  <c r="H970" i="6" s="1"/>
  <c r="H969" i="6"/>
  <c r="H968" i="6"/>
  <c r="F967" i="6"/>
  <c r="H967" i="6" s="1"/>
  <c r="H966" i="6"/>
  <c r="H965" i="6"/>
  <c r="H964" i="6"/>
  <c r="H963" i="6"/>
  <c r="H962" i="6"/>
  <c r="H961" i="6"/>
  <c r="F960" i="6"/>
  <c r="H960" i="6" s="1"/>
  <c r="H959" i="6"/>
  <c r="H958" i="6"/>
  <c r="H957" i="6"/>
  <c r="F956" i="6"/>
  <c r="H956" i="6" s="1"/>
  <c r="H752" i="6"/>
  <c r="H751" i="6"/>
  <c r="F750" i="6"/>
  <c r="H750" i="6" s="1"/>
  <c r="H749" i="6"/>
  <c r="H748" i="6"/>
  <c r="F747" i="6"/>
  <c r="H747" i="6" s="1"/>
  <c r="H746" i="6"/>
  <c r="F745" i="6"/>
  <c r="H745" i="6" s="1"/>
  <c r="H744" i="6"/>
  <c r="H743" i="6"/>
  <c r="F742" i="6"/>
  <c r="H742" i="6" s="1"/>
  <c r="H741" i="6"/>
  <c r="H740" i="6"/>
  <c r="F739" i="6"/>
  <c r="H739" i="6" s="1"/>
  <c r="H738" i="6"/>
  <c r="H737" i="6"/>
  <c r="F736" i="6"/>
  <c r="H736" i="6" s="1"/>
  <c r="H735" i="6"/>
  <c r="H734" i="6"/>
  <c r="F733" i="6"/>
  <c r="H733" i="6" s="1"/>
  <c r="H732" i="6"/>
  <c r="H731" i="6"/>
  <c r="H730" i="6"/>
  <c r="H729" i="6"/>
  <c r="H728" i="6"/>
  <c r="H727" i="6"/>
  <c r="H726" i="6"/>
  <c r="F725" i="6"/>
  <c r="H725" i="6" s="1"/>
  <c r="H724" i="6"/>
  <c r="H723" i="6"/>
  <c r="H722" i="6"/>
  <c r="H721" i="6"/>
  <c r="H720" i="6"/>
  <c r="H719" i="6"/>
  <c r="F718" i="6"/>
  <c r="H718" i="6" s="1"/>
  <c r="H717" i="6"/>
  <c r="H716" i="6"/>
  <c r="F715" i="6"/>
  <c r="H715" i="6" s="1"/>
  <c r="H714" i="6"/>
  <c r="H713" i="6"/>
  <c r="H712" i="6"/>
  <c r="H711" i="6"/>
  <c r="H710" i="6"/>
  <c r="H709" i="6"/>
  <c r="F708" i="6"/>
  <c r="H708" i="6" s="1"/>
  <c r="H707" i="6"/>
  <c r="H706" i="6"/>
  <c r="H705" i="6"/>
  <c r="H704" i="6"/>
  <c r="H703" i="6"/>
  <c r="H702" i="6"/>
  <c r="H701" i="6"/>
  <c r="H700" i="6"/>
  <c r="H699" i="6"/>
  <c r="H698" i="6"/>
  <c r="H697" i="6"/>
  <c r="H696" i="6"/>
  <c r="H695" i="6"/>
  <c r="H694" i="6"/>
  <c r="H693" i="6"/>
  <c r="H692" i="6"/>
  <c r="F691" i="6"/>
  <c r="H691" i="6" s="1"/>
  <c r="H690" i="6"/>
  <c r="H689" i="6"/>
  <c r="H688" i="6"/>
  <c r="H687" i="6"/>
  <c r="H686" i="6"/>
  <c r="H685" i="6"/>
  <c r="F684" i="6"/>
  <c r="H684" i="6" s="1"/>
  <c r="H683" i="6"/>
  <c r="H682" i="6"/>
  <c r="F681" i="6"/>
  <c r="H681" i="6" s="1"/>
  <c r="H680" i="6"/>
  <c r="H679" i="6"/>
  <c r="H678" i="6"/>
  <c r="F677" i="6"/>
  <c r="H677" i="6" s="1"/>
  <c r="H676" i="6"/>
  <c r="H675" i="6"/>
  <c r="H674" i="6"/>
  <c r="H673" i="6"/>
  <c r="H672" i="6"/>
  <c r="H671" i="6"/>
  <c r="H670" i="6"/>
  <c r="H669" i="6"/>
  <c r="H668" i="6"/>
  <c r="H667" i="6"/>
  <c r="H666" i="6"/>
  <c r="H665" i="6"/>
  <c r="H664" i="6"/>
  <c r="H663" i="6"/>
  <c r="H662" i="6"/>
  <c r="H589" i="6"/>
  <c r="H588" i="6"/>
  <c r="F587" i="6"/>
  <c r="H587" i="6" s="1"/>
  <c r="H586" i="6"/>
  <c r="H585" i="6"/>
  <c r="F584" i="6"/>
  <c r="H584" i="6" s="1"/>
  <c r="H583" i="6"/>
  <c r="F582" i="6"/>
  <c r="H582" i="6" s="1"/>
  <c r="H581" i="6"/>
  <c r="H580" i="6"/>
  <c r="F579" i="6"/>
  <c r="H579" i="6" s="1"/>
  <c r="H578" i="6"/>
  <c r="H577" i="6"/>
  <c r="F576" i="6"/>
  <c r="H576" i="6" s="1"/>
  <c r="H575" i="6"/>
  <c r="H574" i="6"/>
  <c r="F573" i="6"/>
  <c r="H573" i="6" s="1"/>
  <c r="H572" i="6"/>
  <c r="H571" i="6"/>
  <c r="F570" i="6"/>
  <c r="H570" i="6" s="1"/>
  <c r="H569" i="6"/>
  <c r="H568" i="6"/>
  <c r="F567" i="6"/>
  <c r="H567" i="6" s="1"/>
  <c r="H566" i="6"/>
  <c r="H565" i="6"/>
  <c r="F564" i="6"/>
  <c r="H564" i="6" s="1"/>
  <c r="H563" i="6"/>
  <c r="F562" i="6"/>
  <c r="H562" i="6" s="1"/>
  <c r="H561" i="6"/>
  <c r="H560" i="6"/>
  <c r="F559" i="6"/>
  <c r="H559" i="6" s="1"/>
  <c r="H558" i="6"/>
  <c r="H557" i="6"/>
  <c r="H556" i="6"/>
  <c r="F555" i="6"/>
  <c r="H555" i="6" s="1"/>
  <c r="H554" i="6"/>
  <c r="H553" i="6"/>
  <c r="F552" i="6"/>
  <c r="H552" i="6" s="1"/>
  <c r="H551" i="6"/>
  <c r="H550" i="6"/>
  <c r="F549" i="6"/>
  <c r="H549" i="6" s="1"/>
  <c r="H548" i="6"/>
  <c r="H547" i="6"/>
  <c r="H546" i="6"/>
  <c r="F545" i="6"/>
  <c r="H545" i="6" s="1"/>
  <c r="H544" i="6"/>
  <c r="H543" i="6"/>
  <c r="H542" i="6"/>
  <c r="H541" i="6"/>
  <c r="F540" i="6"/>
  <c r="H540" i="6" s="1"/>
  <c r="H539" i="6"/>
  <c r="H538" i="6"/>
  <c r="H537" i="6"/>
  <c r="F536" i="6"/>
  <c r="H536" i="6" s="1"/>
  <c r="H535" i="6"/>
  <c r="H534" i="6"/>
  <c r="F533" i="6"/>
  <c r="H533" i="6" s="1"/>
  <c r="H532" i="6"/>
  <c r="H531" i="6"/>
  <c r="F530" i="6"/>
  <c r="H530" i="6" s="1"/>
  <c r="H529" i="6"/>
  <c r="F528" i="6"/>
  <c r="H528" i="6" s="1"/>
  <c r="H527" i="6"/>
  <c r="H526" i="6"/>
  <c r="F525" i="6"/>
  <c r="H525" i="6" s="1"/>
  <c r="H524" i="6"/>
  <c r="H523" i="6"/>
  <c r="H522" i="6"/>
  <c r="F521" i="6"/>
  <c r="H521" i="6" s="1"/>
  <c r="H520" i="6"/>
  <c r="H519" i="6"/>
  <c r="F518" i="6"/>
  <c r="H518" i="6" s="1"/>
  <c r="H517" i="6"/>
  <c r="H516" i="6"/>
  <c r="H515" i="6"/>
  <c r="F514" i="6"/>
  <c r="H514" i="6" s="1"/>
  <c r="H513" i="6"/>
  <c r="H512" i="6"/>
  <c r="H511" i="6"/>
  <c r="H510" i="6"/>
  <c r="H509" i="6"/>
  <c r="H508" i="6"/>
  <c r="H507" i="6"/>
  <c r="H506" i="6"/>
  <c r="H505" i="6"/>
  <c r="H504" i="6"/>
  <c r="H503" i="6"/>
  <c r="H502" i="6"/>
  <c r="H501" i="6"/>
  <c r="H500" i="6"/>
  <c r="H499" i="6"/>
  <c r="H498" i="6"/>
  <c r="H497" i="6"/>
  <c r="H496" i="6"/>
  <c r="H495" i="6"/>
  <c r="H494" i="6"/>
  <c r="H493" i="6"/>
  <c r="H492" i="6"/>
  <c r="H491" i="6"/>
  <c r="H490" i="6"/>
  <c r="F489" i="6"/>
  <c r="H489" i="6" s="1"/>
  <c r="H76" i="6"/>
  <c r="H77" i="6"/>
  <c r="F75" i="6"/>
  <c r="H75" i="6" s="1"/>
  <c r="H55" i="6"/>
  <c r="H53" i="6"/>
  <c r="H26" i="6"/>
  <c r="H22" i="6"/>
  <c r="H21" i="6"/>
  <c r="H19" i="6"/>
  <c r="H18" i="6"/>
  <c r="H16" i="6"/>
  <c r="H955" i="6" l="1"/>
  <c r="H488" i="6"/>
  <c r="H651" i="6"/>
  <c r="G166" i="5"/>
  <c r="J166" i="5" s="1"/>
  <c r="H135" i="6" l="1"/>
  <c r="H134" i="6"/>
  <c r="H136" i="6"/>
  <c r="H137" i="6"/>
  <c r="H138" i="6"/>
  <c r="H139" i="6"/>
  <c r="G133" i="6"/>
  <c r="H133" i="6" s="1"/>
  <c r="F113" i="6"/>
  <c r="H113" i="6" s="1"/>
  <c r="H132" i="6" l="1"/>
  <c r="F264" i="6" s="1"/>
  <c r="H264" i="6" s="1"/>
  <c r="H115" i="6" l="1"/>
  <c r="H114" i="6"/>
  <c r="H112" i="6"/>
  <c r="H111" i="6"/>
  <c r="F110" i="6"/>
  <c r="H110" i="6" s="1"/>
  <c r="H109" i="6"/>
  <c r="F108" i="6"/>
  <c r="H108" i="6" s="1"/>
  <c r="F105" i="6"/>
  <c r="H105" i="6" s="1"/>
  <c r="H107" i="6"/>
  <c r="H106" i="6"/>
  <c r="H103" i="6"/>
  <c r="H104" i="6"/>
  <c r="F102" i="6"/>
  <c r="H102" i="6" s="1"/>
  <c r="H101" i="6"/>
  <c r="H100" i="6"/>
  <c r="F99" i="6"/>
  <c r="H99" i="6" s="1"/>
  <c r="H98" i="6"/>
  <c r="H97" i="6"/>
  <c r="F96" i="6"/>
  <c r="H96" i="6" s="1"/>
  <c r="H95" i="6"/>
  <c r="H94" i="6"/>
  <c r="F93" i="6"/>
  <c r="H93" i="6" s="1"/>
  <c r="H92" i="6"/>
  <c r="H91" i="6"/>
  <c r="F90" i="6"/>
  <c r="H90" i="6" s="1"/>
  <c r="H89" i="6"/>
  <c r="F88" i="6"/>
  <c r="H88" i="6" s="1"/>
  <c r="H87" i="6"/>
  <c r="H86" i="6"/>
  <c r="F85" i="6"/>
  <c r="H85" i="6" s="1"/>
  <c r="H83" i="6"/>
  <c r="F81" i="6"/>
  <c r="H80" i="6"/>
  <c r="F78" i="6"/>
  <c r="H74" i="6"/>
  <c r="H72" i="6"/>
  <c r="F71" i="6"/>
  <c r="H71" i="6" s="1"/>
  <c r="H68" i="6"/>
  <c r="H67" i="6"/>
  <c r="F66" i="6"/>
  <c r="H64" i="6"/>
  <c r="H65" i="6"/>
  <c r="H63" i="6"/>
  <c r="F62" i="6"/>
  <c r="H62" i="6" s="1"/>
  <c r="H60" i="6"/>
  <c r="H59" i="6"/>
  <c r="F58" i="6"/>
  <c r="H58" i="6" s="1"/>
  <c r="H56" i="6"/>
  <c r="H54" i="6"/>
  <c r="H52" i="6"/>
  <c r="F51" i="6"/>
  <c r="H51" i="6" s="1"/>
  <c r="H49" i="6"/>
  <c r="H50" i="6"/>
  <c r="F48" i="6"/>
  <c r="H48" i="6" s="1"/>
  <c r="H47" i="6"/>
  <c r="H46" i="6"/>
  <c r="H45" i="6"/>
  <c r="F44" i="6"/>
  <c r="H44" i="6" s="1"/>
  <c r="F41" i="6"/>
  <c r="H41" i="6" s="1"/>
  <c r="H42" i="6"/>
  <c r="H43" i="6"/>
  <c r="H40" i="6"/>
  <c r="H39" i="6"/>
  <c r="H38" i="6"/>
  <c r="F37" i="6"/>
  <c r="H37" i="6" s="1"/>
  <c r="H36" i="6"/>
  <c r="H35" i="6"/>
  <c r="F34" i="6"/>
  <c r="H34" i="6" s="1"/>
  <c r="H33" i="6"/>
  <c r="H32" i="6"/>
  <c r="H31" i="6"/>
  <c r="H30" i="6"/>
  <c r="H29" i="6"/>
  <c r="H28" i="6"/>
  <c r="F27" i="6"/>
  <c r="H27" i="6" s="1"/>
  <c r="H25" i="6"/>
  <c r="F23" i="6"/>
  <c r="H23" i="6" s="1"/>
  <c r="F11" i="6"/>
  <c r="H20" i="6" l="1"/>
  <c r="H17" i="6"/>
  <c r="H13" i="6"/>
  <c r="H14" i="6"/>
  <c r="H12" i="6"/>
  <c r="H875" i="6" l="1"/>
  <c r="H874" i="6" s="1"/>
  <c r="H873" i="6"/>
  <c r="H872" i="6" s="1"/>
  <c r="E169" i="5" l="1"/>
  <c r="J101" i="5"/>
  <c r="J100" i="5"/>
  <c r="J99" i="5"/>
  <c r="J98" i="5"/>
  <c r="J97" i="5"/>
  <c r="J96" i="5"/>
  <c r="J95" i="5"/>
  <c r="J94" i="5"/>
  <c r="J93" i="5"/>
  <c r="J92" i="5"/>
  <c r="J91" i="5"/>
  <c r="J89" i="5" l="1"/>
  <c r="D15" i="9" s="1"/>
  <c r="D174" i="5"/>
  <c r="E174" i="5"/>
  <c r="E178" i="5"/>
  <c r="D178" i="5"/>
  <c r="E167" i="5"/>
  <c r="E168" i="5"/>
  <c r="E170" i="5"/>
  <c r="E171" i="5"/>
  <c r="E172" i="5"/>
  <c r="E173" i="5"/>
  <c r="D167" i="5"/>
  <c r="D168" i="5"/>
  <c r="D169" i="5"/>
  <c r="D170" i="5"/>
  <c r="D171" i="5"/>
  <c r="D172" i="5"/>
  <c r="D173" i="5"/>
  <c r="G162" i="5"/>
  <c r="J162" i="5" s="1"/>
  <c r="G161" i="5"/>
  <c r="J161" i="5" s="1"/>
  <c r="E162" i="5"/>
  <c r="E161" i="5"/>
  <c r="D162" i="5"/>
  <c r="D161" i="5"/>
  <c r="E157" i="5"/>
  <c r="E156" i="5"/>
  <c r="D157" i="5"/>
  <c r="D156" i="5"/>
  <c r="E136" i="5"/>
  <c r="D136" i="5"/>
  <c r="E110" i="5"/>
  <c r="E109" i="5"/>
  <c r="D110" i="5"/>
  <c r="D109" i="5"/>
  <c r="E105" i="5"/>
  <c r="D105" i="5"/>
  <c r="E31" i="5"/>
  <c r="D31" i="5"/>
  <c r="G14" i="5"/>
  <c r="J14" i="5" s="1"/>
  <c r="E14" i="5"/>
  <c r="E15" i="5"/>
  <c r="E16" i="5"/>
  <c r="E17" i="5"/>
  <c r="E18" i="5"/>
  <c r="E19" i="5"/>
  <c r="E20" i="5"/>
  <c r="E22" i="5"/>
  <c r="E23" i="5"/>
  <c r="E24" i="5"/>
  <c r="E25" i="5"/>
  <c r="E13" i="5"/>
  <c r="D15" i="5"/>
  <c r="D16" i="5"/>
  <c r="D17" i="5"/>
  <c r="D18" i="5"/>
  <c r="D19" i="5"/>
  <c r="D20" i="5"/>
  <c r="D21" i="5"/>
  <c r="D22" i="5"/>
  <c r="D23" i="5"/>
  <c r="D24" i="5"/>
  <c r="D25" i="5"/>
  <c r="H84" i="6"/>
  <c r="H82" i="6"/>
  <c r="H81" i="6"/>
  <c r="H79" i="6"/>
  <c r="H78" i="6"/>
  <c r="H73" i="6"/>
  <c r="H70" i="6"/>
  <c r="H69" i="6"/>
  <c r="H66" i="6"/>
  <c r="H24" i="6"/>
  <c r="H15" i="6"/>
  <c r="G174" i="5" l="1"/>
  <c r="J174" i="5" s="1"/>
  <c r="G173" i="5"/>
  <c r="J173" i="5" s="1"/>
  <c r="D14" i="9" l="1"/>
  <c r="G170" i="5"/>
  <c r="J170" i="5" s="1"/>
  <c r="G167" i="5"/>
  <c r="J167" i="5" s="1"/>
  <c r="G172" i="5"/>
  <c r="J172" i="5" s="1"/>
  <c r="G171" i="5"/>
  <c r="J171" i="5" s="1"/>
  <c r="G110" i="5"/>
  <c r="J110" i="5" s="1"/>
  <c r="G169" i="5" l="1"/>
  <c r="J169" i="5" s="1"/>
  <c r="J164" i="5" s="1"/>
  <c r="G105" i="5"/>
  <c r="J105" i="5" l="1"/>
  <c r="J103" i="5" s="1"/>
  <c r="D16" i="9" s="1"/>
  <c r="J129" i="5"/>
  <c r="J126" i="5" l="1"/>
  <c r="D21" i="9" s="1"/>
  <c r="J159" i="5"/>
  <c r="H11" i="6"/>
  <c r="H10" i="6" s="1"/>
  <c r="F263" i="6" l="1"/>
  <c r="H263" i="6" s="1"/>
  <c r="H262" i="6" s="1"/>
  <c r="G109" i="5"/>
  <c r="J109" i="5" s="1"/>
  <c r="J107" i="5" s="1"/>
  <c r="G157" i="5" l="1"/>
  <c r="J157" i="5" s="1"/>
  <c r="G156" i="5"/>
  <c r="J156" i="5" s="1"/>
  <c r="G136" i="5"/>
  <c r="J136" i="5" s="1"/>
  <c r="J134" i="5" s="1"/>
  <c r="G25" i="5"/>
  <c r="J25" i="5" s="1"/>
  <c r="G21" i="5"/>
  <c r="J21" i="5" s="1"/>
  <c r="G24" i="5"/>
  <c r="J24" i="5" s="1"/>
  <c r="G19" i="5"/>
  <c r="J19" i="5" s="1"/>
  <c r="G20" i="5"/>
  <c r="J20" i="5" s="1"/>
  <c r="G22" i="5"/>
  <c r="J22" i="5" s="1"/>
  <c r="G31" i="5"/>
  <c r="J31" i="5" s="1"/>
  <c r="D27" i="9"/>
  <c r="D17" i="9"/>
  <c r="D22" i="9" l="1"/>
  <c r="G178" i="5"/>
  <c r="J178" i="5" s="1"/>
  <c r="J176" i="5" s="1"/>
  <c r="G23" i="5"/>
  <c r="J23" i="5" s="1"/>
  <c r="G17" i="5" l="1"/>
  <c r="J17" i="5" s="1"/>
  <c r="G18" i="5"/>
  <c r="J18" i="5" s="1"/>
  <c r="G13" i="5" l="1"/>
  <c r="J13" i="5" s="1"/>
  <c r="K9" i="9"/>
  <c r="K10" i="9"/>
  <c r="K11" i="9"/>
  <c r="K12" i="9"/>
  <c r="K16" i="9"/>
  <c r="K17" i="9"/>
  <c r="K18" i="9"/>
  <c r="K20" i="9"/>
  <c r="K21" i="9"/>
  <c r="K22" i="9"/>
  <c r="K23" i="9"/>
  <c r="K24" i="9"/>
  <c r="K25" i="9"/>
  <c r="K26" i="9"/>
  <c r="K27" i="9"/>
  <c r="K28" i="9"/>
  <c r="K8" i="9"/>
  <c r="D11" i="9" l="1"/>
  <c r="D28" i="9" l="1"/>
  <c r="D26" i="9"/>
  <c r="J154" i="5" l="1"/>
  <c r="D25" i="9" s="1"/>
  <c r="G16" i="5" l="1"/>
  <c r="J16" i="5" s="1"/>
  <c r="G15" i="5" l="1"/>
  <c r="D10" i="9"/>
  <c r="J15" i="5" l="1"/>
  <c r="J11" i="5" s="1"/>
  <c r="D8" i="9" l="1"/>
  <c r="K13" i="9"/>
  <c r="J29" i="5" l="1"/>
  <c r="J184" i="5" s="1"/>
  <c r="J185" i="5" l="1"/>
  <c r="J186" i="5" s="1"/>
  <c r="D9" i="9"/>
  <c r="F29" i="9" l="1" a="1"/>
  <c r="F29" i="9" s="1"/>
  <c r="F30" i="9" s="1"/>
  <c r="I29" i="9" a="1"/>
  <c r="I29" i="9" s="1"/>
  <c r="I30" i="9" s="1"/>
  <c r="H29" i="9" a="1"/>
  <c r="H29" i="9" s="1"/>
  <c r="H30" i="9" s="1"/>
  <c r="G29" i="9" a="1"/>
  <c r="G29" i="9" s="1"/>
  <c r="G30" i="9" s="1"/>
  <c r="J29" i="9" a="1"/>
  <c r="J29" i="9" s="1"/>
  <c r="J30" i="9" s="1"/>
  <c r="D29" i="9"/>
  <c r="E15" i="9" s="1"/>
  <c r="E26" i="9" l="1"/>
  <c r="E20" i="9"/>
  <c r="E18" i="9"/>
  <c r="E21" i="9"/>
  <c r="E14" i="9"/>
  <c r="E19" i="9"/>
  <c r="E16" i="9"/>
  <c r="E22" i="9"/>
  <c r="E17" i="9"/>
  <c r="E8" i="9"/>
  <c r="F32" i="9"/>
  <c r="G32" i="9" s="1"/>
  <c r="H32" i="9" s="1"/>
  <c r="I32" i="9" s="1"/>
  <c r="J32" i="9" s="1"/>
  <c r="E25" i="9"/>
  <c r="D30" i="9"/>
  <c r="E13" i="9"/>
  <c r="E27" i="9"/>
  <c r="E24" i="9"/>
  <c r="E11" i="9"/>
  <c r="E23" i="9"/>
  <c r="E12" i="9"/>
  <c r="E10" i="9"/>
  <c r="E28" i="9"/>
  <c r="E9" i="9"/>
  <c r="F31" i="9" l="1"/>
  <c r="F33" i="9" s="1"/>
  <c r="E29" i="9"/>
  <c r="H31" i="9"/>
  <c r="I31" i="9"/>
  <c r="G31" i="9"/>
  <c r="J31" i="9"/>
  <c r="G33" i="9" l="1"/>
  <c r="H33" i="9" s="1"/>
  <c r="I33" i="9" s="1"/>
  <c r="J33" i="9" s="1"/>
</calcChain>
</file>

<file path=xl/sharedStrings.xml><?xml version="1.0" encoding="utf-8"?>
<sst xmlns="http://schemas.openxmlformats.org/spreadsheetml/2006/main" count="3380" uniqueCount="654">
  <si>
    <t>SECRETARIA MUNICIPAL DE EDUCAÇÃO</t>
  </si>
  <si>
    <t>REFORMA DO CMEI ANA MARIA GUIMARÃES DE MACEDO MONTENEGRO</t>
  </si>
  <si>
    <t>R. SALVADOR, N° 398, BAIRRO VILA ERONDINA</t>
  </si>
  <si>
    <t>TABELA 161 GOINFRA -  (JANEIRO 2022) CUSTOS DE OBRAS CIVIS - DESONERADA</t>
  </si>
  <si>
    <t>TABELA SINAPI -  (JANEIRO/2022) - DESONERADA</t>
  </si>
  <si>
    <t>MEMÓRIA DE CÁLCULO</t>
  </si>
  <si>
    <t>ITEM</t>
  </si>
  <si>
    <t xml:space="preserve">CÓDIGO </t>
  </si>
  <si>
    <t>UNID.</t>
  </si>
  <si>
    <t>GRUPO DE SERVIÇO: SERVIÇOS PRELIMINARES</t>
  </si>
  <si>
    <t>SERVIÇOS PRELIMINARES</t>
  </si>
  <si>
    <t>TOTAL</t>
  </si>
  <si>
    <t>1.1</t>
  </si>
  <si>
    <t>DEMOLIÇÃO MANUAL DE REVESTIMENTO C/ARGAMASSA C/TR.ATE CB.E CARGA</t>
  </si>
  <si>
    <t>m²</t>
  </si>
  <si>
    <t>COMPRIMENTO (M)</t>
  </si>
  <si>
    <t>ALTURA (M)</t>
  </si>
  <si>
    <t>Berçario B - interno</t>
  </si>
  <si>
    <t xml:space="preserve">  Desconto de janela - 3 (2x1)</t>
  </si>
  <si>
    <t xml:space="preserve">  Desconto de porta - 1 (0,75x2,1)</t>
  </si>
  <si>
    <t xml:space="preserve">  Desconto de porta - 1 (0,8x2,1)</t>
  </si>
  <si>
    <t>Berçario B - externo</t>
  </si>
  <si>
    <t xml:space="preserve">   Desconto de janela - 4 (2x1,0)</t>
  </si>
  <si>
    <t xml:space="preserve">   Desconto de porta - 1 (0,8x2,1)</t>
  </si>
  <si>
    <t>Armário - interno</t>
  </si>
  <si>
    <t xml:space="preserve">   Desconto de vão </t>
  </si>
  <si>
    <t>Biblioteca - interno</t>
  </si>
  <si>
    <t xml:space="preserve">  Desconto de janela - 1 (2x1)</t>
  </si>
  <si>
    <t>Secretaria - interno</t>
  </si>
  <si>
    <t xml:space="preserve">   Desconto de vão -</t>
  </si>
  <si>
    <t xml:space="preserve">   Desconto de porta - 3 (0,8x2,1)</t>
  </si>
  <si>
    <t xml:space="preserve">   Desconto de janela - 2 (1,5x1)</t>
  </si>
  <si>
    <t>Secretaria - externo</t>
  </si>
  <si>
    <t>Deposito de material didático - interno</t>
  </si>
  <si>
    <t xml:space="preserve">   Desconto de janela - 2 (1,1x1)</t>
  </si>
  <si>
    <t xml:space="preserve">   Desconto de porta - 1 (0,7x2,1)</t>
  </si>
  <si>
    <t>Deposito de material didático + WC - externo</t>
  </si>
  <si>
    <t xml:space="preserve">   Desconto de janela - 2 (0,8x0,6)</t>
  </si>
  <si>
    <t>Jardim IA - interno</t>
  </si>
  <si>
    <t xml:space="preserve">   Desconto de porta - 2 (0,8x2,1)</t>
  </si>
  <si>
    <t>Jardim IA - externo</t>
  </si>
  <si>
    <t>Maternal IA - interno</t>
  </si>
  <si>
    <t xml:space="preserve">   Desconto de porta - 1 - (0,7x2,1)</t>
  </si>
  <si>
    <t xml:space="preserve">   Desconto de porta - 1 - (0,8x2,1)</t>
  </si>
  <si>
    <t>Maternal IA - externo</t>
  </si>
  <si>
    <t xml:space="preserve">   Desconto de porta - 1 (0,8x2,10)</t>
  </si>
  <si>
    <t>Banheiro - externo</t>
  </si>
  <si>
    <t xml:space="preserve">   Desconto de janela - 3 (0,6x0,4)</t>
  </si>
  <si>
    <t>Berçario A - brinquedoteca - interno</t>
  </si>
  <si>
    <t xml:space="preserve">   Desconto de vão - (1,85x1,1)</t>
  </si>
  <si>
    <t>Berçario A - interno</t>
  </si>
  <si>
    <t xml:space="preserve">    Desconto de porta - 1 (0,8x2,1)</t>
  </si>
  <si>
    <t xml:space="preserve">    Desconto de janela - 1 (2x1)</t>
  </si>
  <si>
    <t>Berçario A - externo</t>
  </si>
  <si>
    <t xml:space="preserve">    Desconto de janela - 2 (1,5x1)</t>
  </si>
  <si>
    <t>Despensa - interno</t>
  </si>
  <si>
    <t xml:space="preserve">    Desconto de janela - 1 (1,45x1)</t>
  </si>
  <si>
    <t>Despensa - externo</t>
  </si>
  <si>
    <t>Refeitorio - interno</t>
  </si>
  <si>
    <t xml:space="preserve">    Desconto de janela - 2 (2,0x1)</t>
  </si>
  <si>
    <t xml:space="preserve">    Desconto de porta - 1 (0,8x2,10)</t>
  </si>
  <si>
    <t xml:space="preserve">    Desconto de porta - 1 (2x2,1)</t>
  </si>
  <si>
    <t xml:space="preserve">Cozinha - externo </t>
  </si>
  <si>
    <t xml:space="preserve">    Desconto de janela - 3 (1,5x1)</t>
  </si>
  <si>
    <t>Refeitorio - externo</t>
  </si>
  <si>
    <t xml:space="preserve">    Desconto de janela - 2 (2x1)</t>
  </si>
  <si>
    <t>Maternal IIA - interno</t>
  </si>
  <si>
    <t xml:space="preserve">    Desconto de porta - 1 (0,6x2,1)</t>
  </si>
  <si>
    <t xml:space="preserve">    Desconto de janela - 1 (2,5x1)</t>
  </si>
  <si>
    <t>Maternal IIA- externo</t>
  </si>
  <si>
    <t xml:space="preserve">    Desconto de janela - 2 (2,5x1)</t>
  </si>
  <si>
    <t>WC Masculino e feminino - externo</t>
  </si>
  <si>
    <t xml:space="preserve">    Desconto de porta - 2 (0,7x2,1)</t>
  </si>
  <si>
    <t>Jardim II - interno</t>
  </si>
  <si>
    <t xml:space="preserve">Jardim II - externo </t>
  </si>
  <si>
    <t>Jardim IB - interno</t>
  </si>
  <si>
    <t xml:space="preserve">Jardim IB - externo </t>
  </si>
  <si>
    <t>Maternal IIB - interno</t>
  </si>
  <si>
    <t>Maternal IIB - externo</t>
  </si>
  <si>
    <t>Banheiro masculino e feminino - externo</t>
  </si>
  <si>
    <t>Maternal IB - interno</t>
  </si>
  <si>
    <t>Maternal IB - externo</t>
  </si>
  <si>
    <t>Teto - Varanda</t>
  </si>
  <si>
    <t>Teto - Circulação</t>
  </si>
  <si>
    <t>Teto - Secretaria</t>
  </si>
  <si>
    <t>Teto - Deposito de material didático</t>
  </si>
  <si>
    <t>Teto - Jardim IA</t>
  </si>
  <si>
    <t>Teto - WC Jardim IA</t>
  </si>
  <si>
    <t>Teto - WC Deposito de material didatico</t>
  </si>
  <si>
    <t>Teto - Maternal IA</t>
  </si>
  <si>
    <t>Teto - Banheiro entrada</t>
  </si>
  <si>
    <t>Teto - Banho Maternal IA</t>
  </si>
  <si>
    <t>Teto - Brinquedoteca - berçario A</t>
  </si>
  <si>
    <t>Teto - Berçario A</t>
  </si>
  <si>
    <t>Teto - Banho Berçario A</t>
  </si>
  <si>
    <t>Platibanda face frontal - entrada</t>
  </si>
  <si>
    <t>Platibanda face inferior - entrada</t>
  </si>
  <si>
    <t>Platibanda lateral esquerda e direita</t>
  </si>
  <si>
    <t>1.2</t>
  </si>
  <si>
    <t>DEMOLIÇÃO MANUAL DE PISO CIMENT.SOBRE LASTRO CONC.C/TR.ATE CB. E CARGA</t>
  </si>
  <si>
    <t>LARGURA (M)</t>
  </si>
  <si>
    <t>Pátio frontal</t>
  </si>
  <si>
    <t>Calcada externa (CE 1)</t>
  </si>
  <si>
    <t>Calcada externa (CE 2)</t>
  </si>
  <si>
    <t>Calcada externa (CE 3)</t>
  </si>
  <si>
    <t>Patio</t>
  </si>
  <si>
    <t>Calçada externa (CE 4)</t>
  </si>
  <si>
    <t>Calçada externa (CE 5)</t>
  </si>
  <si>
    <t>Calçada externa (CE 6)</t>
  </si>
  <si>
    <t>Calçada externa (CE 7)</t>
  </si>
  <si>
    <t>Calçada externa (CE 8)</t>
  </si>
  <si>
    <t>Calçada externa (CE 9)</t>
  </si>
  <si>
    <t>Calçada externa (CE 10)</t>
  </si>
  <si>
    <t>1.3</t>
  </si>
  <si>
    <t>DEMOLIÇÃO MANUAL DE REVESTIMENTOS COM AZULEJO C/TRANSP. ATE CB. E CARGA</t>
  </si>
  <si>
    <t>ALTURA(M)</t>
  </si>
  <si>
    <t xml:space="preserve">Area de serviço </t>
  </si>
  <si>
    <t>Cozinha</t>
  </si>
  <si>
    <t xml:space="preserve">   Desconto de guiche </t>
  </si>
  <si>
    <t xml:space="preserve">   Desconto de janela - 3 (1,5x1,0)</t>
  </si>
  <si>
    <t xml:space="preserve">Banheiro </t>
  </si>
  <si>
    <t>WC deposito de material didatico</t>
  </si>
  <si>
    <t xml:space="preserve">   Desconto de janela - 1(0,8x0,6)</t>
  </si>
  <si>
    <t>WC Jardim IA</t>
  </si>
  <si>
    <t>Banheiro entrada</t>
  </si>
  <si>
    <t>1.4</t>
  </si>
  <si>
    <t>DEMOLIÇÃO MANUAL DE PISO CERÂMICO SOBRE LASTRO CONC.C/TR.CB e CARGA</t>
  </si>
  <si>
    <t>LARGURA(M)</t>
  </si>
  <si>
    <t>Refeitório</t>
  </si>
  <si>
    <t>Despensa</t>
  </si>
  <si>
    <t>1.5</t>
  </si>
  <si>
    <t>DEMOLIÇÃO MANUAL DE FORRO PVC INCLUSIVE ESTRUTURA DE SUSTENTAÇÃO C/ TRANSP. ATÉ CB. E CARGA</t>
  </si>
  <si>
    <t>Berçario B</t>
  </si>
  <si>
    <t>Berçario B - biblioteca</t>
  </si>
  <si>
    <t>Armario</t>
  </si>
  <si>
    <t>Banho Berçario B</t>
  </si>
  <si>
    <t>1.6</t>
  </si>
  <si>
    <t>REMOÇÃO MANUAL DE JANELA OU PORTAL C/ TRANSP. ATÉ CB. E CARGA</t>
  </si>
  <si>
    <t>Deposito de material didático - 1 porta (0,8x2,1)</t>
  </si>
  <si>
    <t>WC Masculino - 1 porta (0,7x2,1)</t>
  </si>
  <si>
    <t>Wc Feminino - 1 porta (0,7x2,1)</t>
  </si>
  <si>
    <t>Maternal IIB - 1 porta (0,8x2,1)</t>
  </si>
  <si>
    <t>Maternal IB - 1 porta (0,8x2,1)</t>
  </si>
  <si>
    <t>Banheiro feminino - 1 porta (0,7x2,1)</t>
  </si>
  <si>
    <t>Banheiro masculino - 1 porta (0,7x2,1)</t>
  </si>
  <si>
    <t>Refeitorio - 1 porta (2x2,15)</t>
  </si>
  <si>
    <t>Refeitório - 2 janelas (2x1)</t>
  </si>
  <si>
    <t>Jardim IA - 1 janela (1,5x1,1)</t>
  </si>
  <si>
    <t>Cozinha - 1 porta</t>
  </si>
  <si>
    <t>1.7</t>
  </si>
  <si>
    <t>DEMOLIÇÃO MANUAL DE DIVISÓRIA EM PEDRA/CONC.C/TRANSP. ATÉ CB. CARGA</t>
  </si>
  <si>
    <t>Banheiro Masculino</t>
  </si>
  <si>
    <t>Banheiro Feminino</t>
  </si>
  <si>
    <t>1.8</t>
  </si>
  <si>
    <t>DEMOLIÇÃO MANUAL ALVENARIA TIJOLO S/REAP. C/TR.ATE CB. E CARGA</t>
  </si>
  <si>
    <t>m³</t>
  </si>
  <si>
    <t>AREA (M²)</t>
  </si>
  <si>
    <t>ESPESSURA (M)</t>
  </si>
  <si>
    <t>Abertura a ser realizada entre o Berçario A e a brinquedoteda do berçario A</t>
  </si>
  <si>
    <t>Parede a ser demolida entre o Berçario B e biblioteca</t>
  </si>
  <si>
    <t>Painel de vedação na parede externa do Jardim IA</t>
  </si>
  <si>
    <t>Painel de vedação na parede externa da despensa</t>
  </si>
  <si>
    <t>1.9</t>
  </si>
  <si>
    <t>REMOÇÃO MANUAL DE LUMINÁRIA C/ TRANSP. ATÉ CB. E CARGA</t>
  </si>
  <si>
    <t>und</t>
  </si>
  <si>
    <t>UNIDADE</t>
  </si>
  <si>
    <t xml:space="preserve">Berçario B </t>
  </si>
  <si>
    <t>Varanda</t>
  </si>
  <si>
    <t xml:space="preserve">Circulação </t>
  </si>
  <si>
    <t>Secretaria</t>
  </si>
  <si>
    <t>Deposito de material didatico</t>
  </si>
  <si>
    <t>Jardim IA</t>
  </si>
  <si>
    <t>Maternal IA</t>
  </si>
  <si>
    <t>Banho maternal IA</t>
  </si>
  <si>
    <t>Banho Berçario A</t>
  </si>
  <si>
    <t>Berçario A e brinquedoteca</t>
  </si>
  <si>
    <t>Maternal IB</t>
  </si>
  <si>
    <t>Banheiro feminino</t>
  </si>
  <si>
    <t>Maternal IIB</t>
  </si>
  <si>
    <t>Jardim IB</t>
  </si>
  <si>
    <t>Jardim II</t>
  </si>
  <si>
    <t>Maternal IIA</t>
  </si>
  <si>
    <t>Area de serviço</t>
  </si>
  <si>
    <t>1.10</t>
  </si>
  <si>
    <t>REMOÇÃO MANUAL DE INTERRUPTOR/TOMADA ELÉTRICA/DISJUNTOR C/ TRANSP. ATÉ CB. E CARGA</t>
  </si>
  <si>
    <t>Wc Masc.</t>
  </si>
  <si>
    <t>WC de deposito de material didatico</t>
  </si>
  <si>
    <t>Berçario A</t>
  </si>
  <si>
    <t>1.11</t>
  </si>
  <si>
    <t>REMOÇÃO MANUAL DE METAL SANITÁRIO (VÁLVULAS/SIFÃO/REGISTROS/TORNEIRAS/ OUTROS) C/ TRANSP. ATÉ CB. E CARGA</t>
  </si>
  <si>
    <t>Banheiro</t>
  </si>
  <si>
    <t>WC feminino</t>
  </si>
  <si>
    <t>WC masculino</t>
  </si>
  <si>
    <t>Banho berçario B</t>
  </si>
  <si>
    <t>Banheiro Berçario A</t>
  </si>
  <si>
    <t>Banheiro da entrada</t>
  </si>
  <si>
    <t>1.12</t>
  </si>
  <si>
    <t>DEMOLICAO-COBERTURA TELHA FIBROCIMENTO/FIBRA DE VIDRO/SIMILARES C/ TRANSP. ATÉ CB. E CARGA</t>
  </si>
  <si>
    <t>Entrada da escola</t>
  </si>
  <si>
    <t>Bloco berçario B</t>
  </si>
  <si>
    <t>Telhado 06</t>
  </si>
  <si>
    <t>1.13</t>
  </si>
  <si>
    <t>PLACA DE OBRA PLOTADA EM CHAPA METÁLICA 26 , AFIXADA EM CAVALETES DE MADEIRA DE LEI (VIGOTAS 6X12CM) - PADRÃO GOINFRA</t>
  </si>
  <si>
    <t>Placa de obra</t>
  </si>
  <si>
    <t>1.14</t>
  </si>
  <si>
    <t>COMPOSIÇÃO 3</t>
  </si>
  <si>
    <t>REMOÇÃO E REINSTALAÇÃO DOS BEBEDOUROS</t>
  </si>
  <si>
    <t>Bebedouro cozinha</t>
  </si>
  <si>
    <t>1.15</t>
  </si>
  <si>
    <t>RASPAGEM E LIMPEZA MANUAL DO TERRENO</t>
  </si>
  <si>
    <t>Área lateral esquerda - remoção da grama</t>
  </si>
  <si>
    <t xml:space="preserve">  Desconto de área caixa d'água</t>
  </si>
  <si>
    <t xml:space="preserve">  Desconto de área central de gás</t>
  </si>
  <si>
    <t>GRUPO DE SERVIÇO: 165 - TRANSPORTES</t>
  </si>
  <si>
    <t>TRANSPORTES</t>
  </si>
  <si>
    <t>2.1</t>
  </si>
  <si>
    <t>TRANSPORTE DE ENTULHO EM CAÇAMBA ESTACIONÁRIA INCLUSO A CARGA MANUAL</t>
  </si>
  <si>
    <t>GRUPO DE SERVIÇO: 166 - SERVIÇOS EM TERRA</t>
  </si>
  <si>
    <t>SERVIÇOS EM TERRA</t>
  </si>
  <si>
    <t>3.1</t>
  </si>
  <si>
    <t>ESCAVAÇAO MANUAL DE VALAS PROF.1 A 2 M</t>
  </si>
  <si>
    <t>Prologamento da area de serviço (E1=E2=E3)</t>
  </si>
  <si>
    <t>3.2</t>
  </si>
  <si>
    <t xml:space="preserve">APILOAMENTO </t>
  </si>
  <si>
    <t>GRUPO DE SERVIÇO: 167 - FUNDAÇÕES E SONDAGENS</t>
  </si>
  <si>
    <t>FUNDAÇÕES E SONDAGENS</t>
  </si>
  <si>
    <t>ESTACAS</t>
  </si>
  <si>
    <t xml:space="preserve"> TOTAL</t>
  </si>
  <si>
    <t>4.1</t>
  </si>
  <si>
    <t>ESCAVACAO MANUAL DE VALAS (SAPATAS/BLOCOS)</t>
  </si>
  <si>
    <t>Prologamento da area de serviço</t>
  </si>
  <si>
    <t xml:space="preserve">   BL1=BL2=BL3</t>
  </si>
  <si>
    <t>4.2</t>
  </si>
  <si>
    <t>PREPARO COM BETONEIRA E TRANSPORTE MANUAL DE CONCRETO PARA LASTRO - (O.C.)</t>
  </si>
  <si>
    <t>AREA(M²)</t>
  </si>
  <si>
    <r>
      <t xml:space="preserve">  </t>
    </r>
    <r>
      <rPr>
        <sz val="12"/>
        <color theme="1"/>
        <rFont val="Arial"/>
        <family val="2"/>
      </rPr>
      <t xml:space="preserve"> E1=E2=E3</t>
    </r>
  </si>
  <si>
    <t>4.3</t>
  </si>
  <si>
    <t>ACO CA 50-A - 8,0 MM (5/16") - (OBRAS CIVIS)</t>
  </si>
  <si>
    <t>KG</t>
  </si>
  <si>
    <t>DENSIDADE</t>
  </si>
  <si>
    <t>4.4</t>
  </si>
  <si>
    <t>CONCRETO USINADO CONVENCIONAL FCK=25 MPA COM TRANSPORTE MANUAL (O.C.)</t>
  </si>
  <si>
    <t>BLOCOS</t>
  </si>
  <si>
    <t>4.5</t>
  </si>
  <si>
    <t>FORMA TABUA PINHO P/FUNDACOES U=3V - (OBRAS CIVIS)</t>
  </si>
  <si>
    <t>4.6</t>
  </si>
  <si>
    <t>4.7</t>
  </si>
  <si>
    <t>GRUPO DE SERVIÇO: 168 - ESTRUTURA</t>
  </si>
  <si>
    <t>ESTRUTURA</t>
  </si>
  <si>
    <t>5.1</t>
  </si>
  <si>
    <t>ACO CA-50A - 10,0 MM (3/8") - (OBRAS CIVIS)</t>
  </si>
  <si>
    <t>kg</t>
  </si>
  <si>
    <t>Viga de cobertura 01</t>
  </si>
  <si>
    <t>Pilar 01</t>
  </si>
  <si>
    <t>Pilar 02</t>
  </si>
  <si>
    <t>Pilar 03</t>
  </si>
  <si>
    <t>5.2</t>
  </si>
  <si>
    <t>ACO CA - 60 - 5,0 MM - (OBRAS CIVIS)</t>
  </si>
  <si>
    <t>5.3</t>
  </si>
  <si>
    <t>PREPARO COM BETONEIRA E TRANSPORTE MANUAL DE CONCRETO FCK=25 MPA</t>
  </si>
  <si>
    <t>AREA SEÇÃO (M²)</t>
  </si>
  <si>
    <t>5.4</t>
  </si>
  <si>
    <t>LANÇAMENTO/APLICAÇÃO/ADENSAMENTO MANUAL DE CONCRETO - (OBRAS CIVIS)</t>
  </si>
  <si>
    <t>5.5</t>
  </si>
  <si>
    <t>FORMA CH.COMPENSADA 12MM-VIGA/PILAR U=4V - (OBRAS CIVIS</t>
  </si>
  <si>
    <t>Viga de cobertura</t>
  </si>
  <si>
    <t xml:space="preserve">Pilar </t>
  </si>
  <si>
    <t>5.6</t>
  </si>
  <si>
    <t>VERGA/CONTRAVERGA EM CONCRETO ARMADO FCK = 20 MPA</t>
  </si>
  <si>
    <t>ESPESSURA  (M)</t>
  </si>
  <si>
    <t>Janela nova da biblioteca do berçario B</t>
  </si>
  <si>
    <t>Novo vão do berçario A</t>
  </si>
  <si>
    <t>GRUPO DE SERVIÇO: 169 - INST.ELÉT./TELEFÔNICA/ACABAMENTO ESTRUTURADO</t>
  </si>
  <si>
    <t>INST. ELÉT./TELEFÔNICA/CABEAMENTO ESTRUTURADO</t>
  </si>
  <si>
    <t>6.1</t>
  </si>
  <si>
    <t>97592 SINAPI</t>
  </si>
  <si>
    <t>LUMINÁRIA TIPO PLAFON, DE SOBREPOR, COM 1 LÂMPADA LED DE 12/13 W, SEM REAT</t>
  </si>
  <si>
    <t xml:space="preserve">un </t>
  </si>
  <si>
    <t xml:space="preserve">UNIDADE </t>
  </si>
  <si>
    <t>Berçario A - brinquedoteca</t>
  </si>
  <si>
    <t>6.2</t>
  </si>
  <si>
    <t>INTERRUPTOR SIMPLES (1 SECAO)</t>
  </si>
  <si>
    <t>6.3</t>
  </si>
  <si>
    <t>TOMADA HEXAGONAL 2P + T - 10A - 250V (LINHA X OU EQUIVALENTE)</t>
  </si>
  <si>
    <t>6.4</t>
  </si>
  <si>
    <t>70580</t>
  </si>
  <si>
    <t xml:space="preserve">CABO PVC (70ºC) 1 KV No. 1,5 MM2 </t>
  </si>
  <si>
    <t>m</t>
  </si>
  <si>
    <t>Reparo na parte eletrica</t>
  </si>
  <si>
    <t>6.5</t>
  </si>
  <si>
    <t>70563</t>
  </si>
  <si>
    <t xml:space="preserve">CABO ISOLADO PVC 750 V, No. 2,5 MM2 </t>
  </si>
  <si>
    <t>6.6</t>
  </si>
  <si>
    <t>70565</t>
  </si>
  <si>
    <t xml:space="preserve">CABO ISOLADO PVC 750 V, No. 6 MM2 </t>
  </si>
  <si>
    <t>6.7</t>
  </si>
  <si>
    <t>70571</t>
  </si>
  <si>
    <t>CABO ISOLADO PVC 750 V, No. 16 MM²</t>
  </si>
  <si>
    <t>6.8</t>
  </si>
  <si>
    <t>LUMINÁRIA DE EMERGÊNCIA 30 LEDS</t>
  </si>
  <si>
    <t>Vide projeto de combate a incêndio</t>
  </si>
  <si>
    <t>GRUPO DE SERVIÇO: 170 - INSTALAÇÕES HIDRO-SANITARIAS</t>
  </si>
  <si>
    <t>INSTALAÇÕES HIDROSSANITÁRIAS</t>
  </si>
  <si>
    <t>7.1</t>
  </si>
  <si>
    <t>CAIXA DE INSPEÇÃO - TAMPA EM CONCRETO ARMADO 25 MPA E=5CM</t>
  </si>
  <si>
    <t>ÁREA (M²)</t>
  </si>
  <si>
    <t>Fossa 1</t>
  </si>
  <si>
    <t>Fossa 2</t>
  </si>
  <si>
    <t>Fossa 3</t>
  </si>
  <si>
    <t>Fossa 4</t>
  </si>
  <si>
    <t>Poço de inspeção na calçada (atras do banheiro masculino e feminino - 0,55x1,25)</t>
  </si>
  <si>
    <t>Poço de inspeção na calçada (atras do banheiro Maternal IIA - 0,65x0,65)</t>
  </si>
  <si>
    <t>7.2</t>
  </si>
  <si>
    <t>TANQUE (PANELAO) INOX 60 X 70 X 40 CM CH.18</t>
  </si>
  <si>
    <t>7.3</t>
  </si>
  <si>
    <t>TORNEIRA DE MESA PARA LAVATÓRIO DIÂMETRO DE 1/2"</t>
  </si>
  <si>
    <t>Banho Maternal IA</t>
  </si>
  <si>
    <t>Banheiro Maternal IIA</t>
  </si>
  <si>
    <t>WC Masc</t>
  </si>
  <si>
    <t>WC Fem</t>
  </si>
  <si>
    <t>7.4</t>
  </si>
  <si>
    <t>TORNEIRA DE MESA PARA PIA DIÂMETRO DE 1/2" - BICA MÓVEL</t>
  </si>
  <si>
    <t>7.5</t>
  </si>
  <si>
    <t>SIFAO P/LAVATORIO PVC DIAM.1"X1.1/2"</t>
  </si>
  <si>
    <t>7.6</t>
  </si>
  <si>
    <t>SIFAO PVC P/PIA 1.1/2" X 2"</t>
  </si>
  <si>
    <t>7.7</t>
  </si>
  <si>
    <t>COMPOSIÇÃO 2</t>
  </si>
  <si>
    <t>CAIXA COM GERLHA RETANGULAR DE FERRO FUNDIDO, DIMENSÕES INTERNAS: 0,15X1,00X0,3M - INCLUSO CANALETA</t>
  </si>
  <si>
    <t>Pátio</t>
  </si>
  <si>
    <t>7.8</t>
  </si>
  <si>
    <t>TORNEIRA DE PAREDE PARA TANQUE COM AREJADOR DIÂMETRO DE 1/2" E 3/4"</t>
  </si>
  <si>
    <t>Area de servico</t>
  </si>
  <si>
    <t>Tanque do lado de fora</t>
  </si>
  <si>
    <t>7.9</t>
  </si>
  <si>
    <t>TUBO SOLD. P/ESGOTO DIAM. 50 MM</t>
  </si>
  <si>
    <t>Reparo na parte hidráulica</t>
  </si>
  <si>
    <t>7.10</t>
  </si>
  <si>
    <t>TUBO SOLDAVEL P/ESGOTO DIAM. 100 MM</t>
  </si>
  <si>
    <t>7.11</t>
  </si>
  <si>
    <t>CORPO CX. SIFONADA DIAM. 100 X 100 X 50</t>
  </si>
  <si>
    <t>INCÊNDIO</t>
  </si>
  <si>
    <t>7.12</t>
  </si>
  <si>
    <t>EXTINTOR PO QUIMICO SECO (6 KG) - CAPACIDADE EXTINTORA 20 BC</t>
  </si>
  <si>
    <t>7.13</t>
  </si>
  <si>
    <t>COMPOSIÇÃO 7</t>
  </si>
  <si>
    <t>PLACA DE SINALIZAÇÃO - 13X26 CM - LETREIRO SAÍDA</t>
  </si>
  <si>
    <t>7.14</t>
  </si>
  <si>
    <t>COMPOSIÇÃO 6</t>
  </si>
  <si>
    <t>PLACA DE SINALIZAÇÃO - 13X26 CM - SAÍDA SETA DIREITA</t>
  </si>
  <si>
    <t>7.15</t>
  </si>
  <si>
    <t>COMPOSIÇÃO 5</t>
  </si>
  <si>
    <t>PLACA DE SINALIZAÇÃO - 13X26 CM - SAÍDA SETA ESQUERDA</t>
  </si>
  <si>
    <t>7.16</t>
  </si>
  <si>
    <t>COMPOSIÇÃO 4</t>
  </si>
  <si>
    <t>PLACA DE SINALIZAÇÃO - 20X20 CM - EXTINTOR</t>
  </si>
  <si>
    <t>7.17</t>
  </si>
  <si>
    <t>EXTINTOR CO2 (6 KG) - CAPACIDADE EXTINTORA 5 BC</t>
  </si>
  <si>
    <t>GRUPO DE SERVIÇO: 171 - INSTALAÇÕES ESPECIAIS</t>
  </si>
  <si>
    <t>INSTALAÇÕES ESPECIAIS</t>
  </si>
  <si>
    <t>8.1</t>
  </si>
  <si>
    <t>CENTRAL DE GÁS PADRÃO GOINFRA/2019 COMPLETA, EXCLUSO AS INSTALAÇÕES MECÂNICAS (1+1 CILINDRO P-45)</t>
  </si>
  <si>
    <t>Vide projeto de GLP</t>
  </si>
  <si>
    <t>8.2</t>
  </si>
  <si>
    <t>TUBO DE AÇO GALVANIZADO 3/4" SCHEDULE 40, ROSCA NPT - NBR 5590</t>
  </si>
  <si>
    <t>8.3</t>
  </si>
  <si>
    <t>COTOVELO 90º FERRO MALEÁVEL GALVANIZADO 3/4" CLASSE 150 ROSCA NPT NBR 6925</t>
  </si>
  <si>
    <t>8.4</t>
  </si>
  <si>
    <t>TE DE FERRO MALEÁVEL GALVANIZADO 3/4" CLASSE 150 ROSCA NPT NBR 6925</t>
  </si>
  <si>
    <t>8.5</t>
  </si>
  <si>
    <t>LUVA REDUÇÃO DE FERRO MALEÁVEL GALVANIZADO 3/4" X 1/2", CLASSE 150, ROSCA NPT - NBR 6925</t>
  </si>
  <si>
    <t>8.6</t>
  </si>
  <si>
    <t>VÁLVULA DE ESFERA TRIPARTIDA 3/4", PASSAGEM PLENA, ROSCA NPT, CLASSE 300 - NORMA ASME B16.34</t>
  </si>
  <si>
    <t>8.7</t>
  </si>
  <si>
    <t>VÁLVULA DE RETENÇÃO EM LATÃO 7/16" NS (I) X 1/2" NPT (E)</t>
  </si>
  <si>
    <t>8.8</t>
  </si>
  <si>
    <t>CHICOTE "PIGTAIL" FLEXÍVEL PARA P-45 DE MANGUEIRA NITRÍLICA COM COMPRIMENTO DE 500 MM E ROSCA DAS CONEXÕES DE 7/8" R.E. X 7/16"NS OU M20 X 7/16" NS - NBR 13419</t>
  </si>
  <si>
    <t>8.9</t>
  </si>
  <si>
    <t>SUPORTE "L" , EM FERRO CHATO 1/8" X 1" PINTADO (42CM) PARA TUBO DE AÇO GALVANIZADO 3/4" - INCLUSO ABRAÇADEIRA TIPO "U" 3/4"/PARAFUSOS/PORCAS/ ARRUELAS, BEM COMO A FIXAÇÃO NA PAREDE COM BUCHAS/PARAFUSOS.</t>
  </si>
  <si>
    <t>8.10</t>
  </si>
  <si>
    <t>PLACA DE SINALIZAÇÃO EM ALUMÍNIO 35 X 25 CM - "PERIGO - GÁS INFLAMÁVEL - PROIBIDO FUMAR</t>
  </si>
  <si>
    <t>8.11</t>
  </si>
  <si>
    <t>REGULADOR DE PRESSÃO PRIMEIRO ESTÁGIO, 8 KG/H, REGULÁVEL COM MANÔMETRO, PRESSÃO DE ENTRADA 2 A 18 BAR E PRESSÃO DE SAÍDA 0,5 A 2 BAR, CONEXÕES DE ENTRADA E SAÍDA 1/4" NPT</t>
  </si>
  <si>
    <t xml:space="preserve">GRUPO DE SERVIÇO: 172 - ALVENARIA E DIVISÓRIA </t>
  </si>
  <si>
    <t>ALVENARIA E DIVISÓRIA</t>
  </si>
  <si>
    <t>9.1</t>
  </si>
  <si>
    <t>ALVENARIA DE TIJOLO FURADO 1/2 VEZ 14X29X9 - 6 FUROS - ARG. (1CALH:4ARML+100KG DE CI/M3)</t>
  </si>
  <si>
    <t>Banho maternal IA (1 degrau com tijolo deitado)</t>
  </si>
  <si>
    <t xml:space="preserve">    Desconto de parede</t>
  </si>
  <si>
    <t>Banho Berçario A (1 degrau com tijolo deitado)</t>
  </si>
  <si>
    <t>Parede entre Berçario B e biblioteca</t>
  </si>
  <si>
    <t>GRUPO DE SERVIÇO: 174 - IMPERMEABILIZAÇÃO</t>
  </si>
  <si>
    <t>IMPERMEABILIZAÇÃO</t>
  </si>
  <si>
    <t>AREA / TOTAL</t>
  </si>
  <si>
    <t>10.1</t>
  </si>
  <si>
    <t>IMPERMEABILIZAÇÃO DE ALICERCE / "PÉ" DE PAREDE / PEITORIL E ALVENARIA DE UM MODO GERAL COM CIMENTO CRISTALIZANTE SEMI FLEXÍVEL - 2 DEMÃOS ( ESPECÍFICO PARA OBRAS DE REFORMA)</t>
  </si>
  <si>
    <t>10.2</t>
  </si>
  <si>
    <t>IMPERMEABILIZAÇÃO-REBAIXO BANHEIRO COM 4 DEMÃOS DE EMULSÃO ASFÁLTICA</t>
  </si>
  <si>
    <t>Cuba Banheiro Masculino</t>
  </si>
  <si>
    <t>Cuba Banheiro Feminino</t>
  </si>
  <si>
    <t>10.3</t>
  </si>
  <si>
    <t>IMPERMEABILIZACAO-ARGAM. SINT.SEMI - FLEXIVEL</t>
  </si>
  <si>
    <t>Teto interno - Varanda</t>
  </si>
  <si>
    <t>Teto interno- Circulação</t>
  </si>
  <si>
    <t>Teto interno - Secretaria</t>
  </si>
  <si>
    <t>Teto interno - Deposito de material didático</t>
  </si>
  <si>
    <t>Teto interno - Jardim IA</t>
  </si>
  <si>
    <t>Teto interno - WC Jardim IA</t>
  </si>
  <si>
    <t>Teto interno - WC Deposito de material didatico</t>
  </si>
  <si>
    <t>Teto interno - Maternal IA</t>
  </si>
  <si>
    <t>Teto interno - Banheiro entrada</t>
  </si>
  <si>
    <t>Teto interno - Banho Maternal IA</t>
  </si>
  <si>
    <t>Teto interno - Brinquedoteca - berçario A</t>
  </si>
  <si>
    <t>Teto intenro - Berçario A</t>
  </si>
  <si>
    <t>Teto interno - Banho Berçario A</t>
  </si>
  <si>
    <t>GRUPO DE SERVIÇO: 176 - ESTRUTURA DE MADEIRAS</t>
  </si>
  <si>
    <t>ESTRUTURA DE MADEIRA</t>
  </si>
  <si>
    <t>11.1</t>
  </si>
  <si>
    <t>EST.MAD.TELHA FIBROCIM. COM APOIOS EM LAJES/VIGAS OU PAREDES(SOMENTE TERÇAS ) C/FERRAGENS</t>
  </si>
  <si>
    <t>GRUPO DE SERVIÇO: 178 - COBERTURA</t>
  </si>
  <si>
    <t>COBERTURAS</t>
  </si>
  <si>
    <t>12.1</t>
  </si>
  <si>
    <t>COBERTURA COM TELHA ONDULADA OU EQUIV.</t>
  </si>
  <si>
    <t>12.2</t>
  </si>
  <si>
    <t>COBERTURA COM TELHA FIBERGLASS COM VÉU PROTEÇÃO 1MM COM ACESSÓRIOS</t>
  </si>
  <si>
    <t>Area em frente ao berçario B</t>
  </si>
  <si>
    <t>GRUPO DE SERVIÇO: 179 - ESQUADRIAS DE MADEIRAS</t>
  </si>
  <si>
    <t>ESQUADRIA DE MADEIRA</t>
  </si>
  <si>
    <t>13.1</t>
  </si>
  <si>
    <t>PORTA LISA 80x210 C/PORTAL E ALISAR S/FERRAGENS</t>
  </si>
  <si>
    <t xml:space="preserve">Depósito de material didático </t>
  </si>
  <si>
    <t>GRUPO DE SERVIÇO: 180 - ESQUADRIAS METÁLICAS</t>
  </si>
  <si>
    <t>ESQUADRIAS METÁLICAS</t>
  </si>
  <si>
    <t>14.1</t>
  </si>
  <si>
    <t>PORTAO CORRER / ABRIR CONJUGADO PT-8 C/FERRAGENS</t>
  </si>
  <si>
    <t>Refeitório - 1 porta (2x2,15)</t>
  </si>
  <si>
    <t>14.2</t>
  </si>
  <si>
    <t>COMPOSIÇÃO 1</t>
  </si>
  <si>
    <t>PORTA DE AÇO DE GIRO CALHA - 100X215 CM</t>
  </si>
  <si>
    <t xml:space="preserve">Maternal IIB </t>
  </si>
  <si>
    <t>14.3</t>
  </si>
  <si>
    <t>PORTA DE ABRIR EM CHAPA PF-1 C/FERRAGENS</t>
  </si>
  <si>
    <t xml:space="preserve">WC Masculino </t>
  </si>
  <si>
    <t xml:space="preserve">WC Feminino </t>
  </si>
  <si>
    <t xml:space="preserve">Cozinha </t>
  </si>
  <si>
    <t>14.4</t>
  </si>
  <si>
    <t>ESQUADRIA ALUMÍNIO ANODIZADO COM 3 FOLHAS (01 VIDRO E 02 VENEZIANA )C/ FERRAGENS (M.O.FAB.INC.MAT.)</t>
  </si>
  <si>
    <t>Refeitório - 3 janelas (2x1)</t>
  </si>
  <si>
    <t>Biblioteca - berçario B - 2 janela (2x1)</t>
  </si>
  <si>
    <t>14.5</t>
  </si>
  <si>
    <t>PORTAO DE ABRIR CHAPA 14 PT-4 C/FERRAGENS</t>
  </si>
  <si>
    <t>Reparo na parte posterior do bloco B</t>
  </si>
  <si>
    <t>GRUPO DE SERVIÇO: 182 - REVESTIMENTO DE PAREDES</t>
  </si>
  <si>
    <t>REVESTIMENTO DE PAREDE</t>
  </si>
  <si>
    <t>15.1</t>
  </si>
  <si>
    <t>REBOCO (1 CALH:4 ARFC+100kgCI/M3)</t>
  </si>
  <si>
    <t>15.2</t>
  </si>
  <si>
    <t>REVESTIMENTO COM CERAMICA</t>
  </si>
  <si>
    <t xml:space="preserve">   Desconto de janela - 1 (1,45x0,5)</t>
  </si>
  <si>
    <t xml:space="preserve">Biblioteca - berçario B </t>
  </si>
  <si>
    <t>Brinquedoteca - berçario A</t>
  </si>
  <si>
    <t>15.3</t>
  </si>
  <si>
    <t>CHAPISCO COMUM</t>
  </si>
  <si>
    <t>15.4</t>
  </si>
  <si>
    <t>EMBOÇO (1CI:4 ARML)</t>
  </si>
  <si>
    <t>GRUPO DE SERVIÇO: 183 - FORROS</t>
  </si>
  <si>
    <t>FORROS</t>
  </si>
  <si>
    <t>16.1</t>
  </si>
  <si>
    <t>FORRO DE GESSO ACARTONADO PARA ÁREAS MOLHADAS, ESPESSURA DE 12,5 MM</t>
  </si>
  <si>
    <t>16.2</t>
  </si>
  <si>
    <t>MOLDURA PARA FORRO DE GESSO COMUM 5 CM</t>
  </si>
  <si>
    <t>16.3</t>
  </si>
  <si>
    <t>FORRO DE PVC COM ESTRUTURA EM METALON PINTADA COM TINTA ALQUÍDICA D.F.</t>
  </si>
  <si>
    <t>16.4</t>
  </si>
  <si>
    <t>FORRO DE GESSO ACARTONADO PARA ÁREAS SECAS ESPESSURA DE 12,5MM</t>
  </si>
  <si>
    <t>GRUPO DE SERVIÇO: 184 - REVESTIMENTO DE PISO</t>
  </si>
  <si>
    <t>REVESTIMENTO DE PISO</t>
  </si>
  <si>
    <t>17.1</t>
  </si>
  <si>
    <t>PISO CONCRETO DESEMPENADO ESPESSURA = 5 CM 1:2,5:3,5</t>
  </si>
  <si>
    <t>Área lateral direita</t>
  </si>
  <si>
    <t xml:space="preserve">   Desconto área caixa d"água</t>
  </si>
  <si>
    <t xml:space="preserve">   Desconto área central de gás</t>
  </si>
  <si>
    <t>17.2</t>
  </si>
  <si>
    <t>CERÂMICA ANTIDERRAPANTE PEI MAIOR OU IGUAL A 4 COM CONTRA PISO (1CI:3ARML) E ARGAMASSA COLANTE</t>
  </si>
  <si>
    <t>17.3</t>
  </si>
  <si>
    <t>RODAPÉ DE CERÂMICA ANTIDERRAPANTE COM ARGAMASSA COLANTE</t>
  </si>
  <si>
    <t xml:space="preserve">   Desconto de porta - 1 (2x2,1)</t>
  </si>
  <si>
    <t>GRUPO DE SERVIÇO: 185 - FERRAGENS</t>
  </si>
  <si>
    <t>FERRAGENS</t>
  </si>
  <si>
    <t>18.1</t>
  </si>
  <si>
    <t>FECH.(ALAV.) LAFONTE 6236 E/8766- E17 IMAB OU EQUIV</t>
  </si>
  <si>
    <t>Deposito de material didático</t>
  </si>
  <si>
    <t>Refeitorio</t>
  </si>
  <si>
    <t>18.2</t>
  </si>
  <si>
    <t>DOBRADICA 3" x 3 1/2" FERRO POLIDO</t>
  </si>
  <si>
    <t>GRUPO DE SERVIÇO: 187 - ADMINISTRAÇÃO - MENSALISTAS</t>
  </si>
  <si>
    <t>ADMINISTRAÇÃO - MENSALISTAS</t>
  </si>
  <si>
    <t>19.1</t>
  </si>
  <si>
    <t>ENGENHEIRO - OBRAS CIVIS</t>
  </si>
  <si>
    <t>H</t>
  </si>
  <si>
    <t>TEMPO</t>
  </si>
  <si>
    <t>3 horas por dia</t>
  </si>
  <si>
    <t>h</t>
  </si>
  <si>
    <t>19.2</t>
  </si>
  <si>
    <t>ENCARREGADO - (OBRAS CIVIS)</t>
  </si>
  <si>
    <t>8 horas por dia</t>
  </si>
  <si>
    <t xml:space="preserve">GRUPO DE SERVIÇO: 188 - PINTURA </t>
  </si>
  <si>
    <t>PINTURA</t>
  </si>
  <si>
    <t>20.1</t>
  </si>
  <si>
    <t>EMASSAMENTO COM MASSA PVA DUAS DEMAOS</t>
  </si>
  <si>
    <t xml:space="preserve">   Desconto de janela - 1 (0,6x0,36)</t>
  </si>
  <si>
    <t>20.2</t>
  </si>
  <si>
    <t>REMOCAO DE PINTURA ANTIGA A LATEX</t>
  </si>
  <si>
    <t xml:space="preserve">   Desconto de janela - 2 (0,6x0,36)</t>
  </si>
  <si>
    <t xml:space="preserve">   Desconto de janela - 1 (1,6x0,6)</t>
  </si>
  <si>
    <t xml:space="preserve">    Desconto de janela - 2 (1,45x0,5)</t>
  </si>
  <si>
    <t>Mureta em volta do pátio</t>
  </si>
  <si>
    <t xml:space="preserve">  Desconto de entrada</t>
  </si>
  <si>
    <t>Parede de entrada</t>
  </si>
  <si>
    <t xml:space="preserve">   Desconto do cobogos</t>
  </si>
  <si>
    <t>Parede em frente aos banheiros feminino e masculino</t>
  </si>
  <si>
    <t xml:space="preserve">   Desconto de cobogo</t>
  </si>
  <si>
    <t>Pilares na entrada - (4 faces) - 3 pilares</t>
  </si>
  <si>
    <t>Muro lateral esquerdo (face interna)</t>
  </si>
  <si>
    <t>Muro lateral direiro (face interna e externa)</t>
  </si>
  <si>
    <t>Muro fundo (face interna e externa)</t>
  </si>
  <si>
    <t>Muro frontal (face interna e externa)</t>
  </si>
  <si>
    <t>20.3</t>
  </si>
  <si>
    <t>EMASSAMENTO ACRILICO 2 DEMAOS</t>
  </si>
  <si>
    <t>20.4</t>
  </si>
  <si>
    <t>PINTURA LATEX ACRILICO 2 DEMAOS</t>
  </si>
  <si>
    <t xml:space="preserve">   Desconto de vão - (0,7x2,1)</t>
  </si>
  <si>
    <t xml:space="preserve">   Desconto de vão - (1,5x2,1)</t>
  </si>
  <si>
    <t xml:space="preserve">    Desconto de janela - 1 (1,45x0,5)</t>
  </si>
  <si>
    <t>Cobogo de entrada</t>
  </si>
  <si>
    <t>Cobogo em frente aos banheiros feminino e masculino</t>
  </si>
  <si>
    <t>Pilares em volta do pátio</t>
  </si>
  <si>
    <t>20.5</t>
  </si>
  <si>
    <t>PINTURA TEXTURIZADA C/SELADOR ACRILICO</t>
  </si>
  <si>
    <t>20.6</t>
  </si>
  <si>
    <t>SINAPI 99822</t>
  </si>
  <si>
    <t>LIMPEZA DE PORTA DE MADEIRA</t>
  </si>
  <si>
    <t>Banheiro maternal IIA - 1 porta</t>
  </si>
  <si>
    <t>WC JArdim IA - 1 porta</t>
  </si>
  <si>
    <t>Secretaria - 1 porta</t>
  </si>
  <si>
    <t>Banho berçario B - 1 porta</t>
  </si>
  <si>
    <t>Banho Maternal IA - 1 porta</t>
  </si>
  <si>
    <t>Banho Berçario A - 1 porta</t>
  </si>
  <si>
    <t>Berçario A - 1 porta</t>
  </si>
  <si>
    <t>WC deposito de material didático</t>
  </si>
  <si>
    <t>20.7</t>
  </si>
  <si>
    <t>PINTURA C/VERNIZ ACRILICO-02 DEMAOS - FACE INTERNA E EXTERNA</t>
  </si>
  <si>
    <t>Deposito de material didático - 1 porta</t>
  </si>
  <si>
    <t>WC deposito de material didático - 1 porta</t>
  </si>
  <si>
    <t>20.8</t>
  </si>
  <si>
    <t>FUNDO ANTICORROSIVO PARA ESQUADRIAS METÁLICAS</t>
  </si>
  <si>
    <t>Bercario B - biblioteca</t>
  </si>
  <si>
    <t xml:space="preserve">Bercario B </t>
  </si>
  <si>
    <t>WC masc.</t>
  </si>
  <si>
    <t>WC fem.</t>
  </si>
  <si>
    <t>Banheiro masculino</t>
  </si>
  <si>
    <t>Portao de entrada 01</t>
  </si>
  <si>
    <t>Portão de entrada 02</t>
  </si>
  <si>
    <t>20.9</t>
  </si>
  <si>
    <t>PINTURA ESMALTE ALQUIDICO ESTR.METALICA 2 DEMAOS - CONSIDERANDO FACE INTERNA E EXTERNA</t>
  </si>
  <si>
    <t>20.10</t>
  </si>
  <si>
    <t>PINT.POLIESPORTIVA - 2 DEM.(PISOS E CIMENTADOS)</t>
  </si>
  <si>
    <t>GRUPO DE SERVIÇO: 189 - DIVERSOS</t>
  </si>
  <si>
    <t>DIVERSOS</t>
  </si>
  <si>
    <t>21.1</t>
  </si>
  <si>
    <t>LIMPEZA FINAL DE OBRA - (OBRAS CIVIS)</t>
  </si>
  <si>
    <t>Área total da construção</t>
  </si>
  <si>
    <t>21.2</t>
  </si>
  <si>
    <t>PLACA DE INAUGURACAO ACO ESCOVADO 80 X 60 CM</t>
  </si>
  <si>
    <t>un.</t>
  </si>
  <si>
    <t>QUANTIDADE</t>
  </si>
  <si>
    <t>Local a ser definido pela fiscalização</t>
  </si>
  <si>
    <t>21.3</t>
  </si>
  <si>
    <t>COMPOSIÇÃO 8</t>
  </si>
  <si>
    <t>ESPELHO 40X50 CM</t>
  </si>
  <si>
    <t>Banheiro Maternal (2 unidades)</t>
  </si>
  <si>
    <t>WC masculino (1 unidade)</t>
  </si>
  <si>
    <t>WC Feminino (1 unidade)</t>
  </si>
  <si>
    <t>Banheiro feminino (4 unidades)</t>
  </si>
  <si>
    <t>Banheiro masculino (3 unidades)</t>
  </si>
  <si>
    <t>WC deposito de material didtaico (1 unidade)</t>
  </si>
  <si>
    <t>WC Jardim IA (1 unidade)</t>
  </si>
  <si>
    <t>Banheiro entrada (1 unidade)</t>
  </si>
  <si>
    <t>Banho Berçario B (3 unidades)</t>
  </si>
  <si>
    <t>Elaborado por:</t>
  </si>
  <si>
    <t>________________________________</t>
  </si>
  <si>
    <t>Drielid Alves Rocha</t>
  </si>
  <si>
    <t>CREA: 1017426910/D-GO</t>
  </si>
  <si>
    <t>PREFEITURA MUNICIPAL DE CATALÃO</t>
  </si>
  <si>
    <t>REFORMA CMEI ANA MARIA GUIMARÃES DE MACEDO MONTENEGRO</t>
  </si>
  <si>
    <t>Rua Salvador, n° 398 - Vila Erondina</t>
  </si>
  <si>
    <t>TABELA 161 GOINFRA -  (JANEIRO/ 2022) CUSTOS DE OBRAS CIVIS - DESONERADA</t>
  </si>
  <si>
    <t xml:space="preserve">PLANILHA ORÇAMENTÁRIA </t>
  </si>
  <si>
    <t>TABELA</t>
  </si>
  <si>
    <t xml:space="preserve">CÓD. </t>
  </si>
  <si>
    <t xml:space="preserve">DESCRIÇÃO </t>
  </si>
  <si>
    <t>MATERIAL</t>
  </si>
  <si>
    <t>MÃO DE OBRA</t>
  </si>
  <si>
    <t>GRUPO DE SERVIÇO 164: SERVIÇOS PRELIMINARES</t>
  </si>
  <si>
    <t>GOINFRA</t>
  </si>
  <si>
    <t>GRUPO DE SERVIÇO 165: TRANSPORTES</t>
  </si>
  <si>
    <t>GRUPO DE SERVIÇO 166: SERVIÇOS EM TERRA</t>
  </si>
  <si>
    <t>GRUPO DE SERVIÇO 167: FUNDAÇÕES E SONDAGENS</t>
  </si>
  <si>
    <t>GRUPO DE SERVIÇO 168: ESTRUTURAS</t>
  </si>
  <si>
    <t>ESTRUTURAS</t>
  </si>
  <si>
    <t>GRUPO DE SERVIÇO 169: INST. ELÉT./TELEFÔNICA/CABEAMENTO ESTRUTURADO</t>
  </si>
  <si>
    <t xml:space="preserve"> INST. ELÉT./TELEFÔNICA/CABEAMENTO ESTRUTURADO</t>
  </si>
  <si>
    <t>SINAPI</t>
  </si>
  <si>
    <t>GRUPO DE SERVIÇO 170: INSTALAÇÃO HIDROSSANITÁRIA</t>
  </si>
  <si>
    <t>INSTALAÇÃO HIDROSSANITÁRIA</t>
  </si>
  <si>
    <t>GRUPO DE SERVIÇO 171: INSTALAÇÕES ESPECIAIS</t>
  </si>
  <si>
    <t>GRUPO DE SERVIÇO 172: ALVENARIAS E DIVISÓRIAS</t>
  </si>
  <si>
    <t>ALVENARIAS E DIVISÓRIAS</t>
  </si>
  <si>
    <t>GRUPO DE SERVIÇO 174: IMPERMEABILIZAÇÃO</t>
  </si>
  <si>
    <t>GRUPO DE SERVIÇO 176: ESTRUTURAS DE MADEIRA</t>
  </si>
  <si>
    <t>ESTRUTURAS DE MADEIRA</t>
  </si>
  <si>
    <t>GRUPO DE SERVIÇO 178: COBERTURAS</t>
  </si>
  <si>
    <t>GRUPOS DE SERVIÇO 179: ESQUADRIAS DE MADEIRA</t>
  </si>
  <si>
    <t>ESQUADRIAS MADEIRA</t>
  </si>
  <si>
    <t>GRUPO DE SERVIÇO 180: ESQUADRIAS METÁLICAS</t>
  </si>
  <si>
    <t>GRUPO DE SERVIÇO 182: REVESTIMENTO DE PAREDE</t>
  </si>
  <si>
    <t>GRUPO DE SERVIÇO 183: FORROS</t>
  </si>
  <si>
    <t xml:space="preserve">GRUPO DE SERVIÇO 184: REVESTIMENTO DE PISO </t>
  </si>
  <si>
    <t xml:space="preserve">REVESTIMENTO DE PISO </t>
  </si>
  <si>
    <t>GRUPO DE SERVIÇO 185: FERRAGENS</t>
  </si>
  <si>
    <t>GRUPO DE SERVIÇO 187: ADMINISTRAÇÃO - MENSALISTAS</t>
  </si>
  <si>
    <t>GRUPO DE SERVIÇO 188: PINTURA</t>
  </si>
  <si>
    <t>GRUPO DE SERVIÇO 189: DIVERSOS</t>
  </si>
  <si>
    <t>TOTAIS</t>
  </si>
  <si>
    <t>TOTAL :</t>
  </si>
  <si>
    <t>BDI (23,88):</t>
  </si>
  <si>
    <t>TOTAL COM BDI :</t>
  </si>
  <si>
    <t>Aprovado por:</t>
  </si>
  <si>
    <t>Leonardo Pereira Santa Cecília</t>
  </si>
  <si>
    <t>Secretário Municipal de Educação</t>
  </si>
  <si>
    <t>CREA: 11017426910/D-GO</t>
  </si>
  <si>
    <t xml:space="preserve">                        PREFEITURA MUNICIPAL DE CATALÃO</t>
  </si>
  <si>
    <t>Rua Salvador, n°398, bairro Vila Erondina</t>
  </si>
  <si>
    <t>CRONOGRAMA FÍSICO-FINANCEIRO</t>
  </si>
  <si>
    <t>MÊS</t>
  </si>
  <si>
    <t>GRUPO DE SERVIÇO</t>
  </si>
  <si>
    <t>Valor da etapa</t>
  </si>
  <si>
    <t>% da obra</t>
  </si>
  <si>
    <t>ADMINISTRAÇÃO - MENSALISTA</t>
  </si>
  <si>
    <t>Total</t>
  </si>
  <si>
    <t>Total c/ BDI</t>
  </si>
  <si>
    <t>PORCENTAGEM</t>
  </si>
  <si>
    <t>TOTAL ACUMULADO</t>
  </si>
  <si>
    <t>PORCENTAGEM CONCLUÍDA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</si>
</sst>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-&quot;R$&quot;* #,##0.00_-;\-&quot;R$&quot;* #,##0.00_-;_-&quot;R$&quot;* &quot;-&quot;??_-;_-@_-"/>
    <numFmt numFmtId="165" formatCode="_(&quot;R$ &quot;* #,##0.00_);_(&quot;R$ &quot;* \(#,##0.00\);_(&quot;R$ &quot;* &quot;-&quot;??_);_(@_)"/>
    <numFmt numFmtId="166" formatCode="0.000"/>
    <numFmt numFmtId="167" formatCode="0.000%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Arial"/>
      <family val="2"/>
    </font>
    <font>
      <sz val="12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8"/>
      <name val="Calibri"/>
      <family val="2"/>
      <scheme val="minor"/>
    </font>
    <font>
      <sz val="10"/>
      <name val="Arial"/>
      <family val="2"/>
    </font>
    <font>
      <sz val="11"/>
      <color rgb="FF000000"/>
      <name val="Arial"/>
      <family val="2"/>
    </font>
    <font>
      <sz val="11"/>
      <name val="Arial"/>
      <family val="2"/>
    </font>
    <font>
      <b/>
      <sz val="12"/>
      <name val="Arial"/>
      <family val="2"/>
    </font>
    <font>
      <b/>
      <sz val="14"/>
      <color theme="1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  <font>
      <b/>
      <sz val="12"/>
      <color rgb="FF000000"/>
      <name val="Arial"/>
      <family val="2"/>
    </font>
    <font>
      <sz val="14"/>
      <color theme="1"/>
      <name val="Arial"/>
      <family val="2"/>
    </font>
    <font>
      <sz val="14"/>
      <name val="Arial"/>
      <family val="2"/>
    </font>
    <font>
      <b/>
      <sz val="16"/>
      <color theme="1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FF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2" tint="-0.249977111117893"/>
      </left>
      <right style="thin">
        <color theme="2" tint="-0.249977111117893"/>
      </right>
      <top style="thin">
        <color theme="2" tint="-0.249977111117893"/>
      </top>
      <bottom style="thin">
        <color theme="2" tint="-0.249977111117893"/>
      </bottom>
      <diagonal/>
    </border>
    <border>
      <left style="thin">
        <color theme="2" tint="-0.249977111117893"/>
      </left>
      <right style="thin">
        <color theme="2" tint="-0.249977111117893"/>
      </right>
      <top style="thin">
        <color theme="2" tint="-0.249977111117893"/>
      </top>
      <bottom/>
      <diagonal/>
    </border>
    <border>
      <left style="medium">
        <color indexed="64"/>
      </left>
      <right style="thin">
        <color theme="2" tint="-0.249977111117893"/>
      </right>
      <top style="thin">
        <color theme="2" tint="-0.249977111117893"/>
      </top>
      <bottom style="thin">
        <color theme="2" tint="-0.249977111117893"/>
      </bottom>
      <diagonal/>
    </border>
    <border>
      <left style="thin">
        <color theme="2" tint="-0.249977111117893"/>
      </left>
      <right style="medium">
        <color indexed="64"/>
      </right>
      <top style="thin">
        <color theme="2" tint="-0.249977111117893"/>
      </top>
      <bottom style="thin">
        <color theme="2" tint="-0.249977111117893"/>
      </bottom>
      <diagonal/>
    </border>
    <border>
      <left style="thin">
        <color theme="2" tint="-0.249977111117893"/>
      </left>
      <right style="thin">
        <color theme="2" tint="-0.249977111117893"/>
      </right>
      <top/>
      <bottom style="thin">
        <color theme="2" tint="-0.249977111117893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theme="2" tint="-0.249977111117893"/>
      </right>
      <top/>
      <bottom style="thin">
        <color theme="2" tint="-0.249977111117893"/>
      </bottom>
      <diagonal/>
    </border>
    <border>
      <left style="thin">
        <color theme="2" tint="-0.249977111117893"/>
      </left>
      <right style="medium">
        <color indexed="64"/>
      </right>
      <top/>
      <bottom style="thin">
        <color theme="2" tint="-0.24997711111789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6">
    <xf numFmtId="0" fontId="0" fillId="0" borderId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" fillId="0" borderId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534">
    <xf numFmtId="0" fontId="0" fillId="0" borderId="0" xfId="0"/>
    <xf numFmtId="2" fontId="5" fillId="2" borderId="15" xfId="0" applyNumberFormat="1" applyFont="1" applyFill="1" applyBorder="1" applyAlignment="1">
      <alignment vertical="center"/>
    </xf>
    <xf numFmtId="2" fontId="5" fillId="2" borderId="15" xfId="0" applyNumberFormat="1" applyFont="1" applyFill="1" applyBorder="1" applyAlignment="1">
      <alignment horizontal="center" vertical="center"/>
    </xf>
    <xf numFmtId="2" fontId="5" fillId="2" borderId="0" xfId="0" applyNumberFormat="1" applyFont="1" applyFill="1" applyAlignment="1">
      <alignment vertical="center"/>
    </xf>
    <xf numFmtId="2" fontId="5" fillId="2" borderId="0" xfId="0" applyNumberFormat="1" applyFont="1" applyFill="1" applyAlignment="1">
      <alignment horizontal="center" vertical="center"/>
    </xf>
    <xf numFmtId="2" fontId="5" fillId="2" borderId="10" xfId="0" applyNumberFormat="1" applyFont="1" applyFill="1" applyBorder="1" applyAlignment="1">
      <alignment vertical="center"/>
    </xf>
    <xf numFmtId="2" fontId="5" fillId="2" borderId="10" xfId="0" applyNumberFormat="1" applyFont="1" applyFill="1" applyBorder="1" applyAlignment="1">
      <alignment horizontal="center" vertical="center"/>
    </xf>
    <xf numFmtId="2" fontId="5" fillId="2" borderId="16" xfId="0" applyNumberFormat="1" applyFont="1" applyFill="1" applyBorder="1" applyAlignment="1">
      <alignment horizontal="center" vertical="center"/>
    </xf>
    <xf numFmtId="2" fontId="5" fillId="2" borderId="7" xfId="0" applyNumberFormat="1" applyFont="1" applyFill="1" applyBorder="1" applyAlignment="1">
      <alignment horizontal="center" vertical="center"/>
    </xf>
    <xf numFmtId="2" fontId="5" fillId="2" borderId="9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2" fontId="5" fillId="0" borderId="15" xfId="0" applyNumberFormat="1" applyFont="1" applyBorder="1" applyAlignment="1">
      <alignment horizontal="center" vertical="center"/>
    </xf>
    <xf numFmtId="2" fontId="6" fillId="0" borderId="0" xfId="0" applyNumberFormat="1" applyFont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5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5" fillId="0" borderId="0" xfId="0" applyFont="1" applyAlignment="1">
      <alignment vertical="center" wrapText="1"/>
    </xf>
    <xf numFmtId="164" fontId="5" fillId="0" borderId="0" xfId="1" applyFont="1" applyAlignment="1">
      <alignment horizontal="center" vertical="center"/>
    </xf>
    <xf numFmtId="2" fontId="5" fillId="0" borderId="0" xfId="1" applyNumberFormat="1" applyFont="1" applyAlignment="1">
      <alignment horizontal="center" vertical="center"/>
    </xf>
    <xf numFmtId="0" fontId="5" fillId="0" borderId="0" xfId="0" applyFont="1" applyAlignment="1">
      <alignment vertical="center"/>
    </xf>
    <xf numFmtId="0" fontId="6" fillId="4" borderId="12" xfId="0" applyFont="1" applyFill="1" applyBorder="1" applyAlignment="1">
      <alignment horizontal="center" vertical="center"/>
    </xf>
    <xf numFmtId="0" fontId="6" fillId="0" borderId="0" xfId="0" applyFont="1" applyAlignment="1">
      <alignment vertical="center"/>
    </xf>
    <xf numFmtId="2" fontId="5" fillId="2" borderId="0" xfId="0" applyNumberFormat="1" applyFont="1" applyFill="1" applyAlignment="1">
      <alignment vertical="center" wrapText="1"/>
    </xf>
    <xf numFmtId="49" fontId="10" fillId="0" borderId="0" xfId="5" applyNumberFormat="1" applyFont="1" applyAlignment="1">
      <alignment horizontal="center" vertical="center"/>
    </xf>
    <xf numFmtId="0" fontId="5" fillId="2" borderId="7" xfId="0" applyFont="1" applyFill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/>
    </xf>
    <xf numFmtId="164" fontId="5" fillId="0" borderId="0" xfId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2" fontId="10" fillId="0" borderId="0" xfId="5" applyNumberFormat="1" applyFont="1" applyAlignment="1">
      <alignment horizontal="center" vertical="center"/>
    </xf>
    <xf numFmtId="49" fontId="5" fillId="2" borderId="15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center" vertical="center"/>
    </xf>
    <xf numFmtId="49" fontId="5" fillId="2" borderId="10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center" vertical="center" wrapText="1"/>
    </xf>
    <xf numFmtId="49" fontId="5" fillId="0" borderId="0" xfId="0" applyNumberFormat="1" applyFont="1" applyAlignment="1">
      <alignment horizontal="center" vertical="center"/>
    </xf>
    <xf numFmtId="49" fontId="5" fillId="0" borderId="0" xfId="0" applyNumberFormat="1" applyFont="1" applyAlignment="1">
      <alignment horizontal="center" vertical="center" wrapText="1"/>
    </xf>
    <xf numFmtId="164" fontId="6" fillId="0" borderId="0" xfId="1" applyFont="1" applyBorder="1" applyAlignment="1">
      <alignment horizontal="left" vertical="center"/>
    </xf>
    <xf numFmtId="164" fontId="6" fillId="0" borderId="10" xfId="1" applyFont="1" applyBorder="1" applyAlignment="1">
      <alignment horizontal="left" vertical="center"/>
    </xf>
    <xf numFmtId="164" fontId="5" fillId="0" borderId="0" xfId="1" applyFont="1" applyBorder="1" applyAlignment="1">
      <alignment horizontal="left" vertical="center"/>
    </xf>
    <xf numFmtId="164" fontId="5" fillId="0" borderId="0" xfId="1" applyFont="1" applyAlignment="1">
      <alignment horizontal="left" vertical="center"/>
    </xf>
    <xf numFmtId="164" fontId="5" fillId="0" borderId="15" xfId="1" applyFont="1" applyBorder="1" applyAlignment="1">
      <alignment horizontal="left" vertical="center"/>
    </xf>
    <xf numFmtId="44" fontId="5" fillId="0" borderId="0" xfId="0" applyNumberFormat="1" applyFont="1" applyAlignment="1">
      <alignment vertical="center"/>
    </xf>
    <xf numFmtId="10" fontId="6" fillId="0" borderId="0" xfId="13" applyNumberFormat="1" applyFont="1" applyFill="1" applyAlignment="1">
      <alignment vertical="center"/>
    </xf>
    <xf numFmtId="0" fontId="0" fillId="2" borderId="1" xfId="0" applyFill="1" applyBorder="1"/>
    <xf numFmtId="164" fontId="0" fillId="2" borderId="1" xfId="1" applyFont="1" applyFill="1" applyBorder="1" applyAlignment="1">
      <alignment vertical="center"/>
    </xf>
    <xf numFmtId="10" fontId="0" fillId="2" borderId="1" xfId="13" applyNumberFormat="1" applyFont="1" applyFill="1" applyBorder="1" applyAlignment="1">
      <alignment horizontal="center" vertical="center"/>
    </xf>
    <xf numFmtId="0" fontId="0" fillId="2" borderId="1" xfId="0" applyFill="1" applyBorder="1" applyAlignment="1">
      <alignment wrapText="1"/>
    </xf>
    <xf numFmtId="164" fontId="2" fillId="2" borderId="1" xfId="0" applyNumberFormat="1" applyFont="1" applyFill="1" applyBorder="1" applyAlignment="1">
      <alignment vertical="center"/>
    </xf>
    <xf numFmtId="9" fontId="2" fillId="2" borderId="1" xfId="13" applyFont="1" applyFill="1" applyBorder="1" applyAlignment="1">
      <alignment horizontal="center" vertical="center"/>
    </xf>
    <xf numFmtId="44" fontId="0" fillId="2" borderId="1" xfId="0" applyNumberFormat="1" applyFill="1" applyBorder="1" applyAlignment="1">
      <alignment horizontal="center" vertical="center"/>
    </xf>
    <xf numFmtId="44" fontId="2" fillId="2" borderId="1" xfId="0" applyNumberFormat="1" applyFont="1" applyFill="1" applyBorder="1" applyAlignment="1">
      <alignment vertical="center"/>
    </xf>
    <xf numFmtId="44" fontId="2" fillId="2" borderId="1" xfId="0" applyNumberFormat="1" applyFont="1" applyFill="1" applyBorder="1" applyAlignment="1">
      <alignment horizontal="center" vertical="center"/>
    </xf>
    <xf numFmtId="44" fontId="0" fillId="2" borderId="1" xfId="13" applyNumberFormat="1" applyFont="1" applyFill="1" applyBorder="1" applyAlignment="1">
      <alignment horizontal="center" vertical="center"/>
    </xf>
    <xf numFmtId="10" fontId="0" fillId="2" borderId="19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10" fontId="0" fillId="2" borderId="13" xfId="0" applyNumberFormat="1" applyFill="1" applyBorder="1" applyAlignment="1">
      <alignment horizontal="center" vertical="center"/>
    </xf>
    <xf numFmtId="164" fontId="6" fillId="6" borderId="13" xfId="1" applyFont="1" applyFill="1" applyBorder="1" applyAlignment="1">
      <alignment horizontal="center" vertical="center"/>
    </xf>
    <xf numFmtId="164" fontId="6" fillId="6" borderId="13" xfId="1" applyFont="1" applyFill="1" applyBorder="1" applyAlignment="1">
      <alignment horizontal="center" vertical="center" wrapText="1"/>
    </xf>
    <xf numFmtId="164" fontId="6" fillId="6" borderId="13" xfId="0" applyNumberFormat="1" applyFont="1" applyFill="1" applyBorder="1" applyAlignment="1">
      <alignment vertical="center"/>
    </xf>
    <xf numFmtId="164" fontId="6" fillId="6" borderId="13" xfId="0" applyNumberFormat="1" applyFont="1" applyFill="1" applyBorder="1" applyAlignment="1">
      <alignment horizontal="center" vertical="center"/>
    </xf>
    <xf numFmtId="164" fontId="13" fillId="0" borderId="15" xfId="1" applyFont="1" applyBorder="1" applyAlignment="1">
      <alignment horizontal="right" vertical="center"/>
    </xf>
    <xf numFmtId="164" fontId="13" fillId="0" borderId="17" xfId="1" applyFont="1" applyBorder="1" applyAlignment="1">
      <alignment horizontal="center" vertical="center"/>
    </xf>
    <xf numFmtId="164" fontId="13" fillId="0" borderId="0" xfId="1" applyFont="1" applyBorder="1" applyAlignment="1">
      <alignment horizontal="right" vertical="center"/>
    </xf>
    <xf numFmtId="164" fontId="13" fillId="0" borderId="8" xfId="1" applyFont="1" applyBorder="1" applyAlignment="1">
      <alignment horizontal="center" vertical="center"/>
    </xf>
    <xf numFmtId="164" fontId="13" fillId="0" borderId="10" xfId="1" applyFont="1" applyBorder="1" applyAlignment="1">
      <alignment horizontal="right" vertical="center"/>
    </xf>
    <xf numFmtId="164" fontId="13" fillId="0" borderId="11" xfId="1" applyFont="1" applyBorder="1" applyAlignment="1">
      <alignment horizontal="center" vertical="center"/>
    </xf>
    <xf numFmtId="0" fontId="14" fillId="0" borderId="1" xfId="0" applyFont="1" applyBorder="1" applyAlignment="1">
      <alignment horizontal="left" vertical="center" wrapText="1"/>
    </xf>
    <xf numFmtId="0" fontId="4" fillId="0" borderId="0" xfId="0" applyFont="1" applyAlignment="1">
      <alignment vertical="center"/>
    </xf>
    <xf numFmtId="0" fontId="4" fillId="0" borderId="1" xfId="0" applyFont="1" applyBorder="1" applyAlignment="1">
      <alignment horizontal="center" vertical="center" wrapText="1"/>
    </xf>
    <xf numFmtId="0" fontId="13" fillId="6" borderId="3" xfId="0" applyFont="1" applyFill="1" applyBorder="1" applyAlignment="1">
      <alignment horizontal="center" vertical="center" wrapText="1"/>
    </xf>
    <xf numFmtId="2" fontId="13" fillId="6" borderId="1" xfId="0" applyNumberFormat="1" applyFont="1" applyFill="1" applyBorder="1" applyAlignment="1">
      <alignment horizontal="center" vertical="center"/>
    </xf>
    <xf numFmtId="0" fontId="13" fillId="4" borderId="1" xfId="0" applyFont="1" applyFill="1" applyBorder="1" applyAlignment="1">
      <alignment horizontal="left" vertical="center"/>
    </xf>
    <xf numFmtId="2" fontId="13" fillId="4" borderId="1" xfId="0" applyNumberFormat="1" applyFont="1" applyFill="1" applyBorder="1" applyAlignment="1">
      <alignment horizontal="center" vertical="center" wrapText="1"/>
    </xf>
    <xf numFmtId="0" fontId="15" fillId="4" borderId="1" xfId="0" applyFont="1" applyFill="1" applyBorder="1" applyAlignment="1">
      <alignment horizontal="left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13" fillId="4" borderId="1" xfId="0" applyFont="1" applyFill="1" applyBorder="1" applyAlignment="1">
      <alignment vertical="center" wrapText="1"/>
    </xf>
    <xf numFmtId="0" fontId="13" fillId="6" borderId="38" xfId="0" applyFont="1" applyFill="1" applyBorder="1" applyAlignment="1">
      <alignment horizontal="center" vertical="center"/>
    </xf>
    <xf numFmtId="0" fontId="13" fillId="6" borderId="38" xfId="0" applyFont="1" applyFill="1" applyBorder="1" applyAlignment="1">
      <alignment horizontal="center" vertical="center" wrapText="1"/>
    </xf>
    <xf numFmtId="2" fontId="13" fillId="6" borderId="38" xfId="0" applyNumberFormat="1" applyFont="1" applyFill="1" applyBorder="1" applyAlignment="1">
      <alignment horizontal="center" vertical="center"/>
    </xf>
    <xf numFmtId="164" fontId="13" fillId="6" borderId="39" xfId="1" applyFont="1" applyFill="1" applyBorder="1" applyAlignment="1">
      <alignment horizontal="center" vertical="center"/>
    </xf>
    <xf numFmtId="164" fontId="13" fillId="6" borderId="40" xfId="1" applyFont="1" applyFill="1" applyBorder="1" applyAlignment="1">
      <alignment horizontal="center" vertical="center"/>
    </xf>
    <xf numFmtId="164" fontId="13" fillId="6" borderId="38" xfId="1" applyFont="1" applyFill="1" applyBorder="1" applyAlignment="1">
      <alignment horizontal="center" vertical="center"/>
    </xf>
    <xf numFmtId="164" fontId="13" fillId="6" borderId="24" xfId="1" applyFont="1" applyFill="1" applyBorder="1" applyAlignment="1">
      <alignment horizontal="center" vertical="center"/>
    </xf>
    <xf numFmtId="0" fontId="5" fillId="0" borderId="41" xfId="0" applyFont="1" applyBorder="1" applyAlignment="1">
      <alignment horizontal="center" vertical="center"/>
    </xf>
    <xf numFmtId="2" fontId="5" fillId="0" borderId="41" xfId="0" applyNumberFormat="1" applyFont="1" applyBorder="1" applyAlignment="1">
      <alignment horizontal="center" vertical="center"/>
    </xf>
    <xf numFmtId="164" fontId="9" fillId="0" borderId="41" xfId="1" applyFont="1" applyBorder="1" applyAlignment="1">
      <alignment horizontal="left" vertical="center"/>
    </xf>
    <xf numFmtId="0" fontId="10" fillId="0" borderId="41" xfId="0" applyFont="1" applyBorder="1" applyAlignment="1">
      <alignment horizontal="left" vertical="center" wrapText="1"/>
    </xf>
    <xf numFmtId="164" fontId="9" fillId="0" borderId="42" xfId="1" applyFont="1" applyBorder="1" applyAlignment="1">
      <alignment horizontal="left" vertical="center"/>
    </xf>
    <xf numFmtId="2" fontId="10" fillId="0" borderId="41" xfId="0" applyNumberFormat="1" applyFont="1" applyBorder="1" applyAlignment="1">
      <alignment horizontal="center" vertical="center"/>
    </xf>
    <xf numFmtId="164" fontId="5" fillId="0" borderId="41" xfId="1" applyFont="1" applyBorder="1" applyAlignment="1">
      <alignment horizontal="left" vertical="center"/>
    </xf>
    <xf numFmtId="0" fontId="5" fillId="0" borderId="41" xfId="0" applyFont="1" applyBorder="1" applyAlignment="1">
      <alignment horizontal="center" vertical="center" wrapText="1"/>
    </xf>
    <xf numFmtId="164" fontId="5" fillId="0" borderId="41" xfId="1" applyFont="1" applyFill="1" applyBorder="1" applyAlignment="1">
      <alignment horizontal="left" vertical="center"/>
    </xf>
    <xf numFmtId="164" fontId="5" fillId="2" borderId="41" xfId="0" applyNumberFormat="1" applyFont="1" applyFill="1" applyBorder="1" applyAlignment="1">
      <alignment horizontal="left" vertical="center"/>
    </xf>
    <xf numFmtId="164" fontId="5" fillId="0" borderId="41" xfId="0" applyNumberFormat="1" applyFont="1" applyBorder="1" applyAlignment="1">
      <alignment horizontal="left" vertical="center"/>
    </xf>
    <xf numFmtId="0" fontId="5" fillId="0" borderId="41" xfId="0" applyFont="1" applyBorder="1" applyAlignment="1">
      <alignment horizontal="left" vertical="center" wrapText="1"/>
    </xf>
    <xf numFmtId="0" fontId="5" fillId="0" borderId="43" xfId="0" applyFont="1" applyBorder="1" applyAlignment="1">
      <alignment horizontal="center" vertical="center"/>
    </xf>
    <xf numFmtId="164" fontId="9" fillId="0" borderId="44" xfId="1" applyFont="1" applyBorder="1" applyAlignment="1">
      <alignment horizontal="right" vertical="center" wrapText="1"/>
    </xf>
    <xf numFmtId="0" fontId="4" fillId="2" borderId="0" xfId="0" applyFont="1" applyFill="1" applyAlignment="1">
      <alignment vertical="center"/>
    </xf>
    <xf numFmtId="0" fontId="5" fillId="0" borderId="0" xfId="0" applyFont="1" applyAlignment="1">
      <alignment horizontal="left" vertical="center" wrapText="1"/>
    </xf>
    <xf numFmtId="164" fontId="5" fillId="0" borderId="0" xfId="0" applyNumberFormat="1" applyFont="1" applyAlignment="1">
      <alignment horizontal="left" vertical="center"/>
    </xf>
    <xf numFmtId="164" fontId="5" fillId="0" borderId="8" xfId="0" applyNumberFormat="1" applyFont="1" applyBorder="1" applyAlignment="1">
      <alignment horizontal="left" vertical="center"/>
    </xf>
    <xf numFmtId="2" fontId="5" fillId="0" borderId="0" xfId="1" applyNumberFormat="1" applyFont="1" applyBorder="1" applyAlignment="1">
      <alignment horizontal="center" vertical="center"/>
    </xf>
    <xf numFmtId="0" fontId="13" fillId="4" borderId="1" xfId="0" applyFont="1" applyFill="1" applyBorder="1" applyAlignment="1">
      <alignment horizontal="center" vertical="center"/>
    </xf>
    <xf numFmtId="0" fontId="13" fillId="4" borderId="2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10" fillId="0" borderId="0" xfId="0" applyFont="1" applyAlignment="1">
      <alignment horizontal="left" vertical="center" wrapText="1"/>
    </xf>
    <xf numFmtId="164" fontId="5" fillId="2" borderId="0" xfId="0" applyNumberFormat="1" applyFont="1" applyFill="1" applyAlignment="1">
      <alignment horizontal="left" vertical="center"/>
    </xf>
    <xf numFmtId="164" fontId="5" fillId="2" borderId="8" xfId="0" applyNumberFormat="1" applyFont="1" applyFill="1" applyBorder="1" applyAlignment="1">
      <alignment horizontal="center" vertical="center"/>
    </xf>
    <xf numFmtId="0" fontId="9" fillId="0" borderId="41" xfId="0" quotePrefix="1" applyFont="1" applyBorder="1" applyAlignment="1">
      <alignment horizontal="center" vertical="center"/>
    </xf>
    <xf numFmtId="0" fontId="13" fillId="6" borderId="2" xfId="0" applyFont="1" applyFill="1" applyBorder="1" applyAlignment="1">
      <alignment horizontal="center" vertical="center"/>
    </xf>
    <xf numFmtId="0" fontId="9" fillId="0" borderId="41" xfId="0" quotePrefix="1" applyFont="1" applyBorder="1" applyAlignment="1">
      <alignment horizontal="left" vertical="center"/>
    </xf>
    <xf numFmtId="0" fontId="9" fillId="0" borderId="41" xfId="0" quotePrefix="1" applyFont="1" applyBorder="1" applyAlignment="1">
      <alignment horizontal="left" vertical="center" wrapText="1"/>
    </xf>
    <xf numFmtId="164" fontId="5" fillId="0" borderId="21" xfId="0" applyNumberFormat="1" applyFont="1" applyBorder="1" applyAlignment="1">
      <alignment horizontal="center" vertical="center"/>
    </xf>
    <xf numFmtId="0" fontId="5" fillId="0" borderId="41" xfId="0" quotePrefix="1" applyFont="1" applyBorder="1" applyAlignment="1">
      <alignment horizontal="center" vertical="center"/>
    </xf>
    <xf numFmtId="0" fontId="5" fillId="0" borderId="43" xfId="0" applyFont="1" applyBorder="1" applyAlignment="1">
      <alignment horizontal="center" vertical="center" wrapText="1"/>
    </xf>
    <xf numFmtId="164" fontId="5" fillId="0" borderId="41" xfId="1" applyFont="1" applyBorder="1" applyAlignment="1">
      <alignment horizontal="left" vertical="center" wrapText="1"/>
    </xf>
    <xf numFmtId="164" fontId="5" fillId="0" borderId="41" xfId="1" applyFont="1" applyFill="1" applyBorder="1" applyAlignment="1">
      <alignment horizontal="left" vertical="center" wrapText="1"/>
    </xf>
    <xf numFmtId="164" fontId="5" fillId="0" borderId="21" xfId="1" applyFont="1" applyFill="1" applyBorder="1" applyAlignment="1">
      <alignment vertical="center"/>
    </xf>
    <xf numFmtId="164" fontId="5" fillId="0" borderId="18" xfId="1" applyFont="1" applyFill="1" applyBorder="1" applyAlignment="1">
      <alignment vertical="center"/>
    </xf>
    <xf numFmtId="164" fontId="5" fillId="0" borderId="0" xfId="1" applyFont="1" applyFill="1" applyBorder="1" applyAlignment="1">
      <alignment horizontal="left" vertical="center"/>
    </xf>
    <xf numFmtId="164" fontId="5" fillId="0" borderId="8" xfId="1" applyFont="1" applyFill="1" applyBorder="1" applyAlignment="1">
      <alignment horizontal="center" vertical="center" wrapText="1"/>
    </xf>
    <xf numFmtId="49" fontId="9" fillId="0" borderId="21" xfId="0" quotePrefix="1" applyNumberFormat="1" applyFont="1" applyBorder="1" applyAlignment="1">
      <alignment horizontal="center" vertical="center" wrapText="1"/>
    </xf>
    <xf numFmtId="2" fontId="9" fillId="0" borderId="0" xfId="0" applyNumberFormat="1" applyFont="1" applyAlignment="1">
      <alignment horizontal="center" vertical="center" wrapText="1"/>
    </xf>
    <xf numFmtId="164" fontId="9" fillId="0" borderId="0" xfId="1" applyFont="1" applyBorder="1" applyAlignment="1">
      <alignment horizontal="left" vertical="center" wrapText="1"/>
    </xf>
    <xf numFmtId="164" fontId="9" fillId="0" borderId="8" xfId="1" applyFont="1" applyBorder="1" applyAlignment="1">
      <alignment horizontal="right" vertical="center" wrapText="1"/>
    </xf>
    <xf numFmtId="0" fontId="9" fillId="0" borderId="0" xfId="0" quotePrefix="1" applyFont="1" applyAlignment="1">
      <alignment horizontal="center" vertical="center" wrapText="1"/>
    </xf>
    <xf numFmtId="2" fontId="10" fillId="0" borderId="0" xfId="0" applyNumberFormat="1" applyFont="1" applyAlignment="1">
      <alignment horizontal="center" vertical="center"/>
    </xf>
    <xf numFmtId="164" fontId="5" fillId="0" borderId="18" xfId="0" applyNumberFormat="1" applyFont="1" applyBorder="1" applyAlignment="1">
      <alignment horizontal="center" vertical="center"/>
    </xf>
    <xf numFmtId="0" fontId="5" fillId="0" borderId="0" xfId="0" quotePrefix="1" applyFont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0" xfId="0" quotePrefix="1" applyFont="1" applyAlignment="1">
      <alignment horizontal="center" vertical="center" wrapText="1"/>
    </xf>
    <xf numFmtId="2" fontId="5" fillId="0" borderId="0" xfId="0" applyNumberFormat="1" applyFont="1" applyAlignment="1">
      <alignment horizontal="center" vertical="center" wrapText="1"/>
    </xf>
    <xf numFmtId="164" fontId="5" fillId="0" borderId="0" xfId="1" applyFont="1" applyBorder="1" applyAlignment="1">
      <alignment horizontal="left" vertical="center" wrapText="1"/>
    </xf>
    <xf numFmtId="0" fontId="5" fillId="0" borderId="0" xfId="0" applyFont="1" applyAlignment="1">
      <alignment horizontal="left" vertical="center"/>
    </xf>
    <xf numFmtId="0" fontId="13" fillId="0" borderId="0" xfId="0" applyFont="1" applyAlignment="1">
      <alignment horizontal="center" vertical="center"/>
    </xf>
    <xf numFmtId="164" fontId="9" fillId="0" borderId="22" xfId="1" applyFont="1" applyBorder="1" applyAlignment="1">
      <alignment horizontal="center" vertical="center" wrapText="1"/>
    </xf>
    <xf numFmtId="164" fontId="9" fillId="0" borderId="21" xfId="1" applyFont="1" applyBorder="1" applyAlignment="1">
      <alignment horizontal="center" vertical="center" wrapText="1"/>
    </xf>
    <xf numFmtId="164" fontId="9" fillId="0" borderId="18" xfId="1" applyFont="1" applyBorder="1" applyAlignment="1">
      <alignment horizontal="center" vertical="center" wrapText="1"/>
    </xf>
    <xf numFmtId="0" fontId="13" fillId="0" borderId="0" xfId="0" applyFont="1" applyAlignment="1">
      <alignment vertical="center"/>
    </xf>
    <xf numFmtId="0" fontId="16" fillId="0" borderId="0" xfId="0" applyFont="1" applyAlignment="1">
      <alignment vertical="center" wrapText="1"/>
    </xf>
    <xf numFmtId="2" fontId="16" fillId="2" borderId="0" xfId="0" applyNumberFormat="1" applyFont="1" applyFill="1" applyAlignment="1">
      <alignment vertical="center" wrapText="1"/>
    </xf>
    <xf numFmtId="2" fontId="5" fillId="2" borderId="4" xfId="0" applyNumberFormat="1" applyFont="1" applyFill="1" applyBorder="1" applyAlignment="1">
      <alignment horizontal="center" vertical="center"/>
    </xf>
    <xf numFmtId="2" fontId="5" fillId="2" borderId="5" xfId="0" applyNumberFormat="1" applyFont="1" applyFill="1" applyBorder="1" applyAlignment="1">
      <alignment horizontal="center" vertical="center"/>
    </xf>
    <xf numFmtId="49" fontId="5" fillId="2" borderId="5" xfId="0" applyNumberFormat="1" applyFont="1" applyFill="1" applyBorder="1" applyAlignment="1">
      <alignment horizontal="center" vertical="center"/>
    </xf>
    <xf numFmtId="2" fontId="5" fillId="2" borderId="5" xfId="0" applyNumberFormat="1" applyFont="1" applyFill="1" applyBorder="1" applyAlignment="1">
      <alignment vertical="center"/>
    </xf>
    <xf numFmtId="2" fontId="6" fillId="0" borderId="5" xfId="0" applyNumberFormat="1" applyFont="1" applyBorder="1" applyAlignment="1">
      <alignment horizontal="center" vertical="center"/>
    </xf>
    <xf numFmtId="164" fontId="5" fillId="2" borderId="5" xfId="1" applyFont="1" applyFill="1" applyBorder="1" applyAlignment="1">
      <alignment horizontal="left" vertical="center"/>
    </xf>
    <xf numFmtId="164" fontId="5" fillId="2" borderId="6" xfId="0" applyNumberFormat="1" applyFont="1" applyFill="1" applyBorder="1" applyAlignment="1">
      <alignment vertical="center"/>
    </xf>
    <xf numFmtId="0" fontId="5" fillId="2" borderId="9" xfId="0" applyFont="1" applyFill="1" applyBorder="1" applyAlignment="1">
      <alignment horizontal="center" vertical="center" wrapText="1"/>
    </xf>
    <xf numFmtId="49" fontId="10" fillId="0" borderId="10" xfId="5" applyNumberFormat="1" applyFont="1" applyBorder="1" applyAlignment="1">
      <alignment horizontal="center" vertical="center"/>
    </xf>
    <xf numFmtId="49" fontId="5" fillId="0" borderId="10" xfId="0" applyNumberFormat="1" applyFont="1" applyBorder="1" applyAlignment="1">
      <alignment horizontal="center" vertical="center"/>
    </xf>
    <xf numFmtId="2" fontId="10" fillId="0" borderId="10" xfId="5" applyNumberFormat="1" applyFont="1" applyBorder="1" applyAlignment="1">
      <alignment horizontal="center" vertical="center"/>
    </xf>
    <xf numFmtId="2" fontId="17" fillId="0" borderId="0" xfId="5" applyNumberFormat="1" applyFont="1" applyAlignment="1">
      <alignment horizontal="center" vertical="center"/>
    </xf>
    <xf numFmtId="2" fontId="16" fillId="0" borderId="0" xfId="0" applyNumberFormat="1" applyFont="1" applyAlignment="1">
      <alignment horizontal="center" vertical="center"/>
    </xf>
    <xf numFmtId="10" fontId="5" fillId="0" borderId="0" xfId="0" applyNumberFormat="1" applyFont="1" applyAlignment="1">
      <alignment horizontal="center" vertical="center"/>
    </xf>
    <xf numFmtId="0" fontId="4" fillId="0" borderId="46" xfId="0" applyFont="1" applyBorder="1" applyAlignment="1">
      <alignment vertical="center"/>
    </xf>
    <xf numFmtId="0" fontId="4" fillId="0" borderId="26" xfId="0" applyFont="1" applyBorder="1" applyAlignment="1">
      <alignment vertical="center"/>
    </xf>
    <xf numFmtId="0" fontId="4" fillId="0" borderId="27" xfId="0" applyFont="1" applyBorder="1" applyAlignment="1">
      <alignment vertical="center"/>
    </xf>
    <xf numFmtId="0" fontId="5" fillId="0" borderId="45" xfId="0" applyFont="1" applyBorder="1" applyAlignment="1">
      <alignment horizontal="center" vertical="center"/>
    </xf>
    <xf numFmtId="0" fontId="10" fillId="0" borderId="45" xfId="0" applyFont="1" applyBorder="1" applyAlignment="1">
      <alignment horizontal="left" vertical="center" wrapText="1"/>
    </xf>
    <xf numFmtId="2" fontId="5" fillId="0" borderId="45" xfId="0" applyNumberFormat="1" applyFont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5" fillId="2" borderId="47" xfId="0" applyFont="1" applyFill="1" applyBorder="1" applyAlignment="1">
      <alignment horizontal="center" vertical="center"/>
    </xf>
    <xf numFmtId="164" fontId="5" fillId="2" borderId="45" xfId="0" applyNumberFormat="1" applyFont="1" applyFill="1" applyBorder="1" applyAlignment="1">
      <alignment horizontal="left" vertical="center"/>
    </xf>
    <xf numFmtId="49" fontId="17" fillId="0" borderId="0" xfId="5" applyNumberFormat="1" applyFont="1" applyAlignment="1">
      <alignment horizontal="center" vertical="center" wrapText="1"/>
    </xf>
    <xf numFmtId="0" fontId="5" fillId="0" borderId="22" xfId="0" applyFont="1" applyBorder="1" applyAlignment="1">
      <alignment horizontal="center" vertical="center"/>
    </xf>
    <xf numFmtId="0" fontId="5" fillId="0" borderId="21" xfId="0" applyFont="1" applyBorder="1" applyAlignment="1">
      <alignment horizontal="center" vertical="center"/>
    </xf>
    <xf numFmtId="0" fontId="5" fillId="0" borderId="18" xfId="0" applyFont="1" applyBorder="1" applyAlignment="1">
      <alignment horizontal="center" vertical="center"/>
    </xf>
    <xf numFmtId="49" fontId="14" fillId="0" borderId="10" xfId="5" applyNumberFormat="1" applyFont="1" applyBorder="1" applyAlignment="1">
      <alignment horizontal="center" vertical="center" wrapText="1"/>
    </xf>
    <xf numFmtId="49" fontId="14" fillId="0" borderId="0" xfId="5" applyNumberFormat="1" applyFont="1" applyAlignment="1">
      <alignment horizontal="center" vertical="center" wrapText="1"/>
    </xf>
    <xf numFmtId="0" fontId="9" fillId="0" borderId="45" xfId="0" quotePrefix="1" applyFont="1" applyBorder="1" applyAlignment="1">
      <alignment horizontal="center" vertical="center"/>
    </xf>
    <xf numFmtId="0" fontId="9" fillId="0" borderId="45" xfId="0" quotePrefix="1" applyFont="1" applyBorder="1" applyAlignment="1">
      <alignment horizontal="left" vertical="center"/>
    </xf>
    <xf numFmtId="2" fontId="10" fillId="0" borderId="45" xfId="0" applyNumberFormat="1" applyFont="1" applyBorder="1" applyAlignment="1">
      <alignment horizontal="center" vertical="center"/>
    </xf>
    <xf numFmtId="164" fontId="9" fillId="0" borderId="45" xfId="1" applyFont="1" applyBorder="1" applyAlignment="1">
      <alignment horizontal="left" vertical="center"/>
    </xf>
    <xf numFmtId="0" fontId="5" fillId="0" borderId="47" xfId="0" applyFont="1" applyBorder="1" applyAlignment="1">
      <alignment horizontal="center" vertical="center"/>
    </xf>
    <xf numFmtId="0" fontId="5" fillId="0" borderId="45" xfId="0" applyFont="1" applyBorder="1" applyAlignment="1">
      <alignment horizontal="left" vertical="center"/>
    </xf>
    <xf numFmtId="164" fontId="9" fillId="0" borderId="45" xfId="1" applyFont="1" applyBorder="1" applyAlignment="1">
      <alignment horizontal="left" vertical="center" wrapText="1"/>
    </xf>
    <xf numFmtId="164" fontId="9" fillId="0" borderId="48" xfId="1" applyFont="1" applyBorder="1" applyAlignment="1">
      <alignment horizontal="right" vertical="center" wrapText="1"/>
    </xf>
    <xf numFmtId="164" fontId="5" fillId="0" borderId="45" xfId="1" applyFont="1" applyFill="1" applyBorder="1" applyAlignment="1">
      <alignment horizontal="left" vertical="center"/>
    </xf>
    <xf numFmtId="0" fontId="5" fillId="0" borderId="45" xfId="0" applyFont="1" applyBorder="1" applyAlignment="1">
      <alignment horizontal="left" vertical="center" wrapText="1"/>
    </xf>
    <xf numFmtId="164" fontId="5" fillId="0" borderId="45" xfId="0" applyNumberFormat="1" applyFont="1" applyBorder="1" applyAlignment="1">
      <alignment horizontal="left" vertical="center"/>
    </xf>
    <xf numFmtId="0" fontId="0" fillId="6" borderId="29" xfId="0" applyFill="1" applyBorder="1" applyAlignment="1">
      <alignment horizontal="center" vertical="center"/>
    </xf>
    <xf numFmtId="0" fontId="6" fillId="6" borderId="20" xfId="0" applyFont="1" applyFill="1" applyBorder="1" applyAlignment="1">
      <alignment horizontal="center" vertical="center"/>
    </xf>
    <xf numFmtId="0" fontId="0" fillId="6" borderId="25" xfId="0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 wrapText="1"/>
    </xf>
    <xf numFmtId="0" fontId="6" fillId="4" borderId="13" xfId="0" applyFont="1" applyFill="1" applyBorder="1" applyAlignment="1">
      <alignment horizontal="center" vertical="center"/>
    </xf>
    <xf numFmtId="0" fontId="13" fillId="6" borderId="32" xfId="0" applyFont="1" applyFill="1" applyBorder="1" applyAlignment="1">
      <alignment horizontal="center" vertical="center"/>
    </xf>
    <xf numFmtId="0" fontId="13" fillId="6" borderId="8" xfId="0" applyFont="1" applyFill="1" applyBorder="1" applyAlignment="1">
      <alignment horizontal="center" vertical="center"/>
    </xf>
    <xf numFmtId="2" fontId="13" fillId="4" borderId="13" xfId="2" applyNumberFormat="1" applyFont="1" applyFill="1" applyBorder="1" applyAlignment="1">
      <alignment horizontal="center" vertical="center"/>
    </xf>
    <xf numFmtId="2" fontId="4" fillId="0" borderId="13" xfId="0" applyNumberFormat="1" applyFont="1" applyBorder="1" applyAlignment="1">
      <alignment horizontal="center" vertical="center" wrapText="1"/>
    </xf>
    <xf numFmtId="0" fontId="13" fillId="4" borderId="12" xfId="0" applyFont="1" applyFill="1" applyBorder="1" applyAlignment="1">
      <alignment horizontal="center" vertical="center"/>
    </xf>
    <xf numFmtId="2" fontId="13" fillId="4" borderId="13" xfId="0" applyNumberFormat="1" applyFont="1" applyFill="1" applyBorder="1" applyAlignment="1">
      <alignment horizontal="center" vertical="center"/>
    </xf>
    <xf numFmtId="0" fontId="4" fillId="0" borderId="7" xfId="0" applyFont="1" applyBorder="1" applyAlignment="1">
      <alignment vertical="center"/>
    </xf>
    <xf numFmtId="0" fontId="13" fillId="6" borderId="13" xfId="0" applyFont="1" applyFill="1" applyBorder="1" applyAlignment="1">
      <alignment horizontal="center" vertical="center"/>
    </xf>
    <xf numFmtId="2" fontId="4" fillId="0" borderId="13" xfId="1" applyNumberFormat="1" applyFont="1" applyBorder="1" applyAlignment="1">
      <alignment horizontal="center" vertical="center"/>
    </xf>
    <xf numFmtId="0" fontId="4" fillId="0" borderId="22" xfId="0" applyFont="1" applyBorder="1" applyAlignment="1">
      <alignment vertical="center"/>
    </xf>
    <xf numFmtId="167" fontId="0" fillId="2" borderId="1" xfId="13" applyNumberFormat="1" applyFont="1" applyFill="1" applyBorder="1" applyAlignment="1">
      <alignment horizontal="center" vertical="center"/>
    </xf>
    <xf numFmtId="2" fontId="4" fillId="0" borderId="1" xfId="1" applyNumberFormat="1" applyFont="1" applyFill="1" applyBorder="1" applyAlignment="1">
      <alignment horizontal="center" vertical="center"/>
    </xf>
    <xf numFmtId="0" fontId="14" fillId="0" borderId="20" xfId="0" applyFont="1" applyBorder="1" applyAlignment="1">
      <alignment horizontal="left" vertical="center" wrapText="1"/>
    </xf>
    <xf numFmtId="0" fontId="13" fillId="4" borderId="31" xfId="0" applyFont="1" applyFill="1" applyBorder="1" applyAlignment="1">
      <alignment horizontal="center" vertical="center"/>
    </xf>
    <xf numFmtId="0" fontId="13" fillId="8" borderId="12" xfId="0" applyFont="1" applyFill="1" applyBorder="1" applyAlignment="1">
      <alignment horizontal="center" vertical="center"/>
    </xf>
    <xf numFmtId="0" fontId="13" fillId="8" borderId="2" xfId="0" applyFont="1" applyFill="1" applyBorder="1" applyAlignment="1">
      <alignment horizontal="center" vertical="center"/>
    </xf>
    <xf numFmtId="0" fontId="13" fillId="8" borderId="13" xfId="0" applyFont="1" applyFill="1" applyBorder="1" applyAlignment="1">
      <alignment horizontal="center" vertical="center"/>
    </xf>
    <xf numFmtId="0" fontId="13" fillId="4" borderId="32" xfId="0" applyFont="1" applyFill="1" applyBorder="1" applyAlignment="1">
      <alignment horizontal="center" vertical="center"/>
    </xf>
    <xf numFmtId="0" fontId="13" fillId="4" borderId="30" xfId="0" applyFont="1" applyFill="1" applyBorder="1" applyAlignment="1">
      <alignment horizontal="center" vertical="center"/>
    </xf>
    <xf numFmtId="2" fontId="4" fillId="0" borderId="25" xfId="0" applyNumberFormat="1" applyFont="1" applyBorder="1" applyAlignment="1">
      <alignment horizontal="center" vertical="center" wrapText="1"/>
    </xf>
    <xf numFmtId="0" fontId="14" fillId="0" borderId="3" xfId="0" applyFont="1" applyBorder="1" applyAlignment="1">
      <alignment horizontal="left" vertical="center" wrapText="1"/>
    </xf>
    <xf numFmtId="0" fontId="13" fillId="4" borderId="0" xfId="0" applyFont="1" applyFill="1" applyAlignment="1">
      <alignment horizontal="left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vertical="center"/>
    </xf>
    <xf numFmtId="2" fontId="13" fillId="4" borderId="1" xfId="0" applyNumberFormat="1" applyFont="1" applyFill="1" applyBorder="1" applyAlignment="1">
      <alignment vertical="center"/>
    </xf>
    <xf numFmtId="166" fontId="13" fillId="4" borderId="13" xfId="0" applyNumberFormat="1" applyFont="1" applyFill="1" applyBorder="1" applyAlignment="1">
      <alignment horizontal="center" vertical="center"/>
    </xf>
    <xf numFmtId="2" fontId="4" fillId="0" borderId="13" xfId="0" applyNumberFormat="1" applyFont="1" applyBorder="1" applyAlignment="1">
      <alignment horizontal="center" vertical="center"/>
    </xf>
    <xf numFmtId="0" fontId="4" fillId="7" borderId="0" xfId="0" applyFont="1" applyFill="1" applyAlignment="1">
      <alignment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vertical="center" wrapText="1"/>
    </xf>
    <xf numFmtId="2" fontId="4" fillId="2" borderId="1" xfId="0" applyNumberFormat="1" applyFont="1" applyFill="1" applyBorder="1" applyAlignment="1">
      <alignment horizontal="center" vertical="center"/>
    </xf>
    <xf numFmtId="2" fontId="4" fillId="2" borderId="13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vertical="center"/>
    </xf>
    <xf numFmtId="0" fontId="13" fillId="3" borderId="13" xfId="0" applyFont="1" applyFill="1" applyBorder="1" applyAlignment="1">
      <alignment horizontal="center" vertical="center"/>
    </xf>
    <xf numFmtId="2" fontId="13" fillId="2" borderId="13" xfId="0" applyNumberFormat="1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horizontal="left" vertical="center" wrapText="1"/>
    </xf>
    <xf numFmtId="2" fontId="4" fillId="2" borderId="13" xfId="0" applyNumberFormat="1" applyFont="1" applyFill="1" applyBorder="1" applyAlignment="1">
      <alignment horizontal="center" vertical="center" wrapText="1"/>
    </xf>
    <xf numFmtId="2" fontId="4" fillId="2" borderId="1" xfId="0" applyNumberFormat="1" applyFont="1" applyFill="1" applyBorder="1" applyAlignment="1">
      <alignment horizontal="center" vertical="center" wrapText="1"/>
    </xf>
    <xf numFmtId="0" fontId="13" fillId="4" borderId="33" xfId="0" applyFont="1" applyFill="1" applyBorder="1" applyAlignment="1">
      <alignment horizontal="center" vertical="center"/>
    </xf>
    <xf numFmtId="0" fontId="13" fillId="3" borderId="1" xfId="0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4" fillId="3" borderId="1" xfId="0" applyFont="1" applyFill="1" applyBorder="1" applyAlignment="1">
      <alignment horizontal="left" vertical="center" wrapText="1"/>
    </xf>
    <xf numFmtId="0" fontId="13" fillId="3" borderId="1" xfId="0" applyFont="1" applyFill="1" applyBorder="1" applyAlignment="1">
      <alignment horizontal="center" vertical="center" wrapText="1"/>
    </xf>
    <xf numFmtId="2" fontId="4" fillId="3" borderId="13" xfId="1" applyNumberFormat="1" applyFont="1" applyFill="1" applyBorder="1" applyAlignment="1">
      <alignment horizontal="center" vertical="center"/>
    </xf>
    <xf numFmtId="0" fontId="13" fillId="0" borderId="1" xfId="0" applyFont="1" applyBorder="1" applyAlignment="1">
      <alignment horizontal="left" vertical="center" wrapText="1"/>
    </xf>
    <xf numFmtId="166" fontId="4" fillId="0" borderId="1" xfId="0" applyNumberFormat="1" applyFont="1" applyBorder="1" applyAlignment="1">
      <alignment horizontal="center" vertical="center" wrapText="1"/>
    </xf>
    <xf numFmtId="166" fontId="4" fillId="0" borderId="13" xfId="0" applyNumberFormat="1" applyFont="1" applyBorder="1" applyAlignment="1">
      <alignment horizontal="center" vertical="center" wrapText="1"/>
    </xf>
    <xf numFmtId="2" fontId="4" fillId="3" borderId="13" xfId="0" applyNumberFormat="1" applyFont="1" applyFill="1" applyBorder="1" applyAlignment="1">
      <alignment horizontal="center" vertical="center"/>
    </xf>
    <xf numFmtId="2" fontId="13" fillId="3" borderId="1" xfId="1" applyNumberFormat="1" applyFont="1" applyFill="1" applyBorder="1" applyAlignment="1">
      <alignment horizontal="center" vertical="center"/>
    </xf>
    <xf numFmtId="2" fontId="4" fillId="0" borderId="25" xfId="1" applyNumberFormat="1" applyFont="1" applyBorder="1" applyAlignment="1">
      <alignment horizontal="center" vertical="center"/>
    </xf>
    <xf numFmtId="0" fontId="4" fillId="0" borderId="8" xfId="0" applyFont="1" applyBorder="1" applyAlignment="1">
      <alignment vertical="center"/>
    </xf>
    <xf numFmtId="2" fontId="16" fillId="0" borderId="0" xfId="1" applyNumberFormat="1" applyFont="1" applyBorder="1" applyAlignment="1">
      <alignment horizontal="center" vertical="center"/>
    </xf>
    <xf numFmtId="2" fontId="16" fillId="0" borderId="8" xfId="1" applyNumberFormat="1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49" fontId="17" fillId="0" borderId="10" xfId="5" applyNumberFormat="1" applyFont="1" applyBorder="1" applyAlignment="1">
      <alignment horizontal="center" vertical="center" wrapText="1"/>
    </xf>
    <xf numFmtId="2" fontId="5" fillId="0" borderId="10" xfId="0" applyNumberFormat="1" applyFont="1" applyBorder="1" applyAlignment="1">
      <alignment horizontal="center" vertical="center"/>
    </xf>
    <xf numFmtId="0" fontId="4" fillId="0" borderId="10" xfId="0" applyFont="1" applyBorder="1" applyAlignment="1">
      <alignment vertical="center"/>
    </xf>
    <xf numFmtId="0" fontId="4" fillId="0" borderId="11" xfId="0" applyFont="1" applyBorder="1" applyAlignment="1">
      <alignment vertical="center"/>
    </xf>
    <xf numFmtId="0" fontId="13" fillId="0" borderId="7" xfId="0" applyFont="1" applyBorder="1" applyAlignment="1">
      <alignment vertical="center"/>
    </xf>
    <xf numFmtId="0" fontId="9" fillId="0" borderId="0" xfId="0" quotePrefix="1" applyFont="1" applyAlignment="1">
      <alignment horizontal="center" vertical="center"/>
    </xf>
    <xf numFmtId="164" fontId="6" fillId="5" borderId="13" xfId="0" applyNumberFormat="1" applyFont="1" applyFill="1" applyBorder="1" applyAlignment="1">
      <alignment vertical="center"/>
    </xf>
    <xf numFmtId="2" fontId="4" fillId="2" borderId="0" xfId="1" applyNumberFormat="1" applyFont="1" applyFill="1" applyBorder="1" applyAlignment="1">
      <alignment horizontal="center" vertical="center"/>
    </xf>
    <xf numFmtId="0" fontId="9" fillId="0" borderId="0" xfId="0" quotePrefix="1" applyFont="1" applyAlignment="1">
      <alignment horizontal="left" vertical="center"/>
    </xf>
    <xf numFmtId="164" fontId="9" fillId="0" borderId="0" xfId="1" applyFont="1" applyBorder="1" applyAlignment="1">
      <alignment horizontal="left" vertical="center"/>
    </xf>
    <xf numFmtId="0" fontId="5" fillId="9" borderId="47" xfId="0" applyFont="1" applyFill="1" applyBorder="1" applyAlignment="1">
      <alignment horizontal="center" vertical="center"/>
    </xf>
    <xf numFmtId="0" fontId="5" fillId="9" borderId="45" xfId="0" applyFont="1" applyFill="1" applyBorder="1" applyAlignment="1">
      <alignment horizontal="center" vertical="center"/>
    </xf>
    <xf numFmtId="0" fontId="9" fillId="9" borderId="41" xfId="0" quotePrefix="1" applyFont="1" applyFill="1" applyBorder="1" applyAlignment="1">
      <alignment horizontal="left" vertical="center"/>
    </xf>
    <xf numFmtId="0" fontId="9" fillId="9" borderId="41" xfId="0" quotePrefix="1" applyFont="1" applyFill="1" applyBorder="1" applyAlignment="1">
      <alignment horizontal="center" vertical="center"/>
    </xf>
    <xf numFmtId="2" fontId="10" fillId="9" borderId="41" xfId="0" applyNumberFormat="1" applyFont="1" applyFill="1" applyBorder="1" applyAlignment="1">
      <alignment horizontal="center" vertical="center"/>
    </xf>
    <xf numFmtId="164" fontId="9" fillId="9" borderId="45" xfId="1" applyFont="1" applyFill="1" applyBorder="1" applyAlignment="1">
      <alignment horizontal="left" vertical="center" wrapText="1"/>
    </xf>
    <xf numFmtId="0" fontId="5" fillId="2" borderId="41" xfId="0" applyFont="1" applyFill="1" applyBorder="1" applyAlignment="1">
      <alignment horizontal="center" vertical="center"/>
    </xf>
    <xf numFmtId="0" fontId="9" fillId="2" borderId="41" xfId="0" quotePrefix="1" applyFont="1" applyFill="1" applyBorder="1" applyAlignment="1">
      <alignment horizontal="center" vertical="center"/>
    </xf>
    <xf numFmtId="0" fontId="5" fillId="2" borderId="45" xfId="0" applyFont="1" applyFill="1" applyBorder="1" applyAlignment="1">
      <alignment horizontal="center" vertical="center"/>
    </xf>
    <xf numFmtId="0" fontId="9" fillId="2" borderId="41" xfId="0" quotePrefix="1" applyFont="1" applyFill="1" applyBorder="1" applyAlignment="1">
      <alignment horizontal="left" vertical="center"/>
    </xf>
    <xf numFmtId="2" fontId="10" fillId="2" borderId="41" xfId="0" applyNumberFormat="1" applyFont="1" applyFill="1" applyBorder="1" applyAlignment="1">
      <alignment horizontal="center" vertical="center"/>
    </xf>
    <xf numFmtId="164" fontId="9" fillId="2" borderId="45" xfId="1" applyFont="1" applyFill="1" applyBorder="1" applyAlignment="1">
      <alignment horizontal="left" vertical="center" wrapText="1"/>
    </xf>
    <xf numFmtId="0" fontId="5" fillId="9" borderId="41" xfId="0" applyFont="1" applyFill="1" applyBorder="1" applyAlignment="1">
      <alignment horizontal="center" vertical="center"/>
    </xf>
    <xf numFmtId="164" fontId="5" fillId="9" borderId="45" xfId="1" applyFont="1" applyFill="1" applyBorder="1" applyAlignment="1">
      <alignment horizontal="left" vertical="center" wrapText="1"/>
    </xf>
    <xf numFmtId="0" fontId="10" fillId="9" borderId="41" xfId="0" applyFont="1" applyFill="1" applyBorder="1" applyAlignment="1">
      <alignment horizontal="left" vertical="center" wrapText="1"/>
    </xf>
    <xf numFmtId="2" fontId="5" fillId="9" borderId="41" xfId="0" applyNumberFormat="1" applyFont="1" applyFill="1" applyBorder="1" applyAlignment="1">
      <alignment horizontal="center" vertical="center"/>
    </xf>
    <xf numFmtId="164" fontId="5" fillId="9" borderId="41" xfId="0" applyNumberFormat="1" applyFont="1" applyFill="1" applyBorder="1" applyAlignment="1">
      <alignment horizontal="left" vertical="center"/>
    </xf>
    <xf numFmtId="2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1" xfId="0" applyFont="1" applyBorder="1" applyAlignment="1">
      <alignment vertical="center"/>
    </xf>
    <xf numFmtId="0" fontId="13" fillId="0" borderId="46" xfId="0" applyFont="1" applyBorder="1" applyAlignment="1">
      <alignment vertical="center"/>
    </xf>
    <xf numFmtId="0" fontId="14" fillId="2" borderId="3" xfId="0" applyFont="1" applyFill="1" applyBorder="1" applyAlignment="1">
      <alignment horizontal="left" vertical="center" wrapText="1"/>
    </xf>
    <xf numFmtId="164" fontId="6" fillId="6" borderId="1" xfId="1" applyFont="1" applyFill="1" applyBorder="1" applyAlignment="1">
      <alignment horizontal="center" vertical="center"/>
    </xf>
    <xf numFmtId="0" fontId="10" fillId="0" borderId="41" xfId="0" applyFont="1" applyBorder="1" applyAlignment="1">
      <alignment horizontal="center" vertical="center"/>
    </xf>
    <xf numFmtId="0" fontId="10" fillId="0" borderId="45" xfId="0" applyFont="1" applyBorder="1" applyAlignment="1">
      <alignment horizontal="center" vertical="center"/>
    </xf>
    <xf numFmtId="0" fontId="5" fillId="0" borderId="4" xfId="0" applyFont="1" applyBorder="1" applyAlignment="1">
      <alignment vertical="center"/>
    </xf>
    <xf numFmtId="0" fontId="5" fillId="0" borderId="5" xfId="0" applyFont="1" applyBorder="1" applyAlignment="1">
      <alignment vertical="center"/>
    </xf>
    <xf numFmtId="0" fontId="5" fillId="0" borderId="6" xfId="0" applyFont="1" applyBorder="1" applyAlignment="1">
      <alignment vertical="center"/>
    </xf>
    <xf numFmtId="0" fontId="6" fillId="2" borderId="9" xfId="0" applyFont="1" applyFill="1" applyBorder="1" applyAlignment="1">
      <alignment horizontal="center" vertical="top"/>
    </xf>
    <xf numFmtId="0" fontId="6" fillId="2" borderId="10" xfId="0" applyFont="1" applyFill="1" applyBorder="1" applyAlignment="1">
      <alignment horizontal="center" vertical="top"/>
    </xf>
    <xf numFmtId="0" fontId="6" fillId="2" borderId="11" xfId="0" applyFont="1" applyFill="1" applyBorder="1" applyAlignment="1">
      <alignment horizontal="center" vertical="top"/>
    </xf>
    <xf numFmtId="0" fontId="4" fillId="0" borderId="20" xfId="0" applyFont="1" applyBorder="1" applyAlignment="1">
      <alignment horizontal="left" vertical="center" wrapText="1"/>
    </xf>
    <xf numFmtId="0" fontId="4" fillId="0" borderId="15" xfId="0" applyFont="1" applyBorder="1" applyAlignment="1">
      <alignment horizontal="center" vertical="center"/>
    </xf>
    <xf numFmtId="0" fontId="4" fillId="0" borderId="46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27" xfId="0" applyFont="1" applyBorder="1" applyAlignment="1">
      <alignment horizontal="center" vertical="center"/>
    </xf>
    <xf numFmtId="2" fontId="4" fillId="0" borderId="2" xfId="0" applyNumberFormat="1" applyFont="1" applyBorder="1" applyAlignment="1">
      <alignment horizontal="center" vertical="center" wrapText="1"/>
    </xf>
    <xf numFmtId="2" fontId="4" fillId="0" borderId="3" xfId="0" applyNumberFormat="1" applyFont="1" applyBorder="1" applyAlignment="1">
      <alignment horizontal="center" vertical="center" wrapText="1"/>
    </xf>
    <xf numFmtId="2" fontId="4" fillId="0" borderId="1" xfId="2" applyNumberFormat="1" applyFont="1" applyFill="1" applyBorder="1" applyAlignment="1">
      <alignment horizontal="center" vertical="center"/>
    </xf>
    <xf numFmtId="2" fontId="13" fillId="4" borderId="1" xfId="2" applyNumberFormat="1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2" fontId="4" fillId="0" borderId="1" xfId="1" applyNumberFormat="1" applyFont="1" applyBorder="1" applyAlignment="1">
      <alignment horizontal="center" vertical="center"/>
    </xf>
    <xf numFmtId="2" fontId="13" fillId="4" borderId="1" xfId="0" applyNumberFormat="1" applyFont="1" applyFill="1" applyBorder="1" applyAlignment="1">
      <alignment horizontal="center" vertical="center"/>
    </xf>
    <xf numFmtId="2" fontId="4" fillId="0" borderId="2" xfId="1" applyNumberFormat="1" applyFont="1" applyBorder="1" applyAlignment="1">
      <alignment horizontal="center" vertical="center"/>
    </xf>
    <xf numFmtId="2" fontId="4" fillId="0" borderId="3" xfId="1" applyNumberFormat="1" applyFont="1" applyBorder="1" applyAlignment="1">
      <alignment horizontal="center" vertical="center"/>
    </xf>
    <xf numFmtId="0" fontId="4" fillId="0" borderId="29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2" fontId="4" fillId="2" borderId="1" xfId="1" applyNumberFormat="1" applyFont="1" applyFill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5" fillId="0" borderId="46" xfId="0" applyFont="1" applyBorder="1" applyAlignment="1">
      <alignment horizontal="center" vertical="center"/>
    </xf>
    <xf numFmtId="0" fontId="5" fillId="0" borderId="27" xfId="0" applyFont="1" applyBorder="1" applyAlignment="1">
      <alignment horizontal="center" vertical="center"/>
    </xf>
    <xf numFmtId="2" fontId="4" fillId="0" borderId="20" xfId="0" applyNumberFormat="1" applyFont="1" applyBorder="1" applyAlignment="1">
      <alignment horizontal="center" vertical="center" wrapText="1"/>
    </xf>
    <xf numFmtId="0" fontId="13" fillId="0" borderId="16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13" fillId="0" borderId="22" xfId="0" applyFont="1" applyBorder="1" applyAlignment="1">
      <alignment horizontal="center" vertical="center"/>
    </xf>
    <xf numFmtId="0" fontId="13" fillId="0" borderId="21" xfId="0" applyFont="1" applyBorder="1" applyAlignment="1">
      <alignment horizontal="center" vertical="center"/>
    </xf>
    <xf numFmtId="0" fontId="13" fillId="6" borderId="12" xfId="0" applyFont="1" applyFill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13" fillId="0" borderId="26" xfId="0" applyFont="1" applyBorder="1" applyAlignment="1">
      <alignment horizontal="center" vertical="center"/>
    </xf>
    <xf numFmtId="0" fontId="13" fillId="0" borderId="29" xfId="0" applyFont="1" applyBorder="1" applyAlignment="1">
      <alignment horizontal="center" vertical="center"/>
    </xf>
    <xf numFmtId="0" fontId="13" fillId="0" borderId="46" xfId="0" applyFont="1" applyBorder="1" applyAlignment="1">
      <alignment horizontal="center" vertical="center"/>
    </xf>
    <xf numFmtId="0" fontId="13" fillId="2" borderId="29" xfId="0" applyFont="1" applyFill="1" applyBorder="1" applyAlignment="1">
      <alignment horizontal="center" vertical="center"/>
    </xf>
    <xf numFmtId="2" fontId="4" fillId="2" borderId="0" xfId="0" applyNumberFormat="1" applyFont="1" applyFill="1" applyAlignment="1">
      <alignment horizontal="center" vertical="center"/>
    </xf>
    <xf numFmtId="2" fontId="4" fillId="0" borderId="2" xfId="1" applyNumberFormat="1" applyFont="1" applyFill="1" applyBorder="1" applyAlignment="1">
      <alignment horizontal="center" vertical="center"/>
    </xf>
    <xf numFmtId="2" fontId="4" fillId="0" borderId="3" xfId="1" applyNumberFormat="1" applyFont="1" applyFill="1" applyBorder="1" applyAlignment="1">
      <alignment horizontal="center" vertical="center"/>
    </xf>
    <xf numFmtId="2" fontId="4" fillId="0" borderId="1" xfId="2" quotePrefix="1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/>
    <xf numFmtId="0" fontId="0" fillId="0" borderId="5" xfId="0" applyBorder="1" applyAlignment="1">
      <alignment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2" fontId="16" fillId="2" borderId="0" xfId="0" applyNumberFormat="1" applyFont="1" applyFill="1" applyAlignment="1">
      <alignment horizontal="center" vertical="center" wrapText="1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2" fontId="5" fillId="2" borderId="0" xfId="0" applyNumberFormat="1" applyFont="1" applyFill="1" applyAlignment="1">
      <alignment horizontal="center" vertical="center" wrapText="1"/>
    </xf>
    <xf numFmtId="0" fontId="4" fillId="0" borderId="20" xfId="0" applyFont="1" applyBorder="1" applyAlignment="1">
      <alignment horizontal="center" vertical="center" wrapText="1"/>
    </xf>
    <xf numFmtId="2" fontId="4" fillId="0" borderId="20" xfId="1" applyNumberFormat="1" applyFont="1" applyBorder="1" applyAlignment="1">
      <alignment horizontal="center" vertical="center"/>
    </xf>
    <xf numFmtId="0" fontId="13" fillId="0" borderId="20" xfId="0" applyFont="1" applyBorder="1" applyAlignment="1">
      <alignment horizontal="center" vertical="center"/>
    </xf>
    <xf numFmtId="2" fontId="4" fillId="0" borderId="20" xfId="0" applyNumberFormat="1" applyFont="1" applyBorder="1" applyAlignment="1">
      <alignment horizontal="center" vertical="center"/>
    </xf>
    <xf numFmtId="2" fontId="4" fillId="0" borderId="25" xfId="0" applyNumberFormat="1" applyFont="1" applyBorder="1" applyAlignment="1">
      <alignment horizontal="center" vertical="center"/>
    </xf>
    <xf numFmtId="2" fontId="4" fillId="0" borderId="20" xfId="1" applyNumberFormat="1" applyFont="1" applyFill="1" applyBorder="1" applyAlignment="1">
      <alignment horizontal="center" vertical="center"/>
    </xf>
    <xf numFmtId="0" fontId="13" fillId="2" borderId="20" xfId="0" applyFont="1" applyFill="1" applyBorder="1" applyAlignment="1">
      <alignment horizontal="center" vertical="center"/>
    </xf>
    <xf numFmtId="2" fontId="13" fillId="2" borderId="20" xfId="0" applyNumberFormat="1" applyFont="1" applyFill="1" applyBorder="1" applyAlignment="1">
      <alignment horizontal="center" vertical="center"/>
    </xf>
    <xf numFmtId="2" fontId="13" fillId="2" borderId="25" xfId="0" applyNumberFormat="1" applyFont="1" applyFill="1" applyBorder="1" applyAlignment="1">
      <alignment horizontal="center" vertical="center"/>
    </xf>
    <xf numFmtId="0" fontId="14" fillId="0" borderId="49" xfId="0" applyFont="1" applyBorder="1" applyAlignment="1">
      <alignment horizontal="left" vertical="center" wrapText="1"/>
    </xf>
    <xf numFmtId="0" fontId="4" fillId="0" borderId="49" xfId="0" applyFont="1" applyBorder="1" applyAlignment="1">
      <alignment horizontal="center" vertical="center"/>
    </xf>
    <xf numFmtId="2" fontId="4" fillId="0" borderId="49" xfId="0" applyNumberFormat="1" applyFont="1" applyBorder="1" applyAlignment="1">
      <alignment horizontal="center" vertical="center" wrapText="1"/>
    </xf>
    <xf numFmtId="2" fontId="4" fillId="0" borderId="14" xfId="0" applyNumberFormat="1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/>
    </xf>
    <xf numFmtId="2" fontId="4" fillId="0" borderId="8" xfId="0" applyNumberFormat="1" applyFont="1" applyBorder="1" applyAlignment="1">
      <alignment horizontal="center" vertical="center"/>
    </xf>
    <xf numFmtId="49" fontId="17" fillId="0" borderId="0" xfId="5" applyNumberFormat="1" applyFont="1" applyAlignment="1">
      <alignment vertical="center" wrapText="1"/>
    </xf>
    <xf numFmtId="0" fontId="13" fillId="0" borderId="8" xfId="0" applyFont="1" applyBorder="1" applyAlignment="1">
      <alignment vertical="center"/>
    </xf>
    <xf numFmtId="0" fontId="4" fillId="0" borderId="16" xfId="0" applyFont="1" applyBorder="1" applyAlignment="1">
      <alignment vertical="center"/>
    </xf>
    <xf numFmtId="0" fontId="13" fillId="0" borderId="29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3" fillId="0" borderId="16" xfId="0" applyFont="1" applyBorder="1" applyAlignment="1">
      <alignment horizontal="center" vertical="center"/>
    </xf>
    <xf numFmtId="0" fontId="13" fillId="0" borderId="26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13" fillId="0" borderId="46" xfId="0" applyFont="1" applyBorder="1" applyAlignment="1">
      <alignment horizontal="center" vertical="center"/>
    </xf>
    <xf numFmtId="0" fontId="13" fillId="0" borderId="22" xfId="0" applyFont="1" applyBorder="1" applyAlignment="1">
      <alignment horizontal="center" vertical="center"/>
    </xf>
    <xf numFmtId="0" fontId="13" fillId="0" borderId="27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2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46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4" fillId="0" borderId="27" xfId="0" applyFont="1" applyBorder="1" applyAlignment="1">
      <alignment horizontal="center" vertical="center"/>
    </xf>
    <xf numFmtId="0" fontId="4" fillId="2" borderId="29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13" fillId="2" borderId="29" xfId="0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0" fontId="13" fillId="6" borderId="12" xfId="0" applyFont="1" applyFill="1" applyBorder="1" applyAlignment="1">
      <alignment horizontal="left" vertical="center"/>
    </xf>
    <xf numFmtId="0" fontId="13" fillId="6" borderId="1" xfId="0" applyFont="1" applyFill="1" applyBorder="1" applyAlignment="1">
      <alignment horizontal="left" vertical="center"/>
    </xf>
    <xf numFmtId="0" fontId="4" fillId="6" borderId="1" xfId="0" applyFont="1" applyFill="1" applyBorder="1" applyAlignment="1">
      <alignment horizontal="left" vertical="center"/>
    </xf>
    <xf numFmtId="0" fontId="4" fillId="6" borderId="13" xfId="0" applyFont="1" applyFill="1" applyBorder="1" applyAlignment="1">
      <alignment horizontal="left" vertical="center"/>
    </xf>
    <xf numFmtId="2" fontId="13" fillId="4" borderId="1" xfId="0" applyNumberFormat="1" applyFont="1" applyFill="1" applyBorder="1" applyAlignment="1">
      <alignment horizontal="center" vertical="center"/>
    </xf>
    <xf numFmtId="2" fontId="4" fillId="0" borderId="2" xfId="1" applyNumberFormat="1" applyFont="1" applyBorder="1" applyAlignment="1">
      <alignment horizontal="center" vertical="center"/>
    </xf>
    <xf numFmtId="2" fontId="4" fillId="0" borderId="3" xfId="1" applyNumberFormat="1" applyFont="1" applyBorder="1" applyAlignment="1">
      <alignment horizontal="center" vertical="center"/>
    </xf>
    <xf numFmtId="0" fontId="4" fillId="0" borderId="29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13" fillId="6" borderId="12" xfId="0" applyFont="1" applyFill="1" applyBorder="1" applyAlignment="1">
      <alignment horizontal="center" vertical="center"/>
    </xf>
    <xf numFmtId="0" fontId="13" fillId="6" borderId="1" xfId="0" applyFont="1" applyFill="1" applyBorder="1" applyAlignment="1">
      <alignment horizontal="center" vertical="center"/>
    </xf>
    <xf numFmtId="0" fontId="13" fillId="6" borderId="2" xfId="0" applyFont="1" applyFill="1" applyBorder="1" applyAlignment="1">
      <alignment horizontal="left" vertical="center"/>
    </xf>
    <xf numFmtId="0" fontId="13" fillId="6" borderId="20" xfId="0" applyFont="1" applyFill="1" applyBorder="1" applyAlignment="1">
      <alignment horizontal="left" vertical="center"/>
    </xf>
    <xf numFmtId="0" fontId="13" fillId="6" borderId="3" xfId="0" applyFont="1" applyFill="1" applyBorder="1" applyAlignment="1">
      <alignment horizontal="left" vertical="center"/>
    </xf>
    <xf numFmtId="2" fontId="4" fillId="2" borderId="2" xfId="0" applyNumberFormat="1" applyFont="1" applyFill="1" applyBorder="1" applyAlignment="1">
      <alignment horizontal="center" vertical="center" wrapText="1"/>
    </xf>
    <xf numFmtId="2" fontId="4" fillId="2" borderId="3" xfId="0" applyNumberFormat="1" applyFont="1" applyFill="1" applyBorder="1" applyAlignment="1">
      <alignment horizontal="center" vertical="center" wrapText="1"/>
    </xf>
    <xf numFmtId="2" fontId="4" fillId="0" borderId="2" xfId="0" applyNumberFormat="1" applyFont="1" applyBorder="1" applyAlignment="1">
      <alignment horizontal="center" vertical="center" wrapText="1"/>
    </xf>
    <xf numFmtId="2" fontId="4" fillId="0" borderId="20" xfId="0" applyNumberFormat="1" applyFont="1" applyBorder="1" applyAlignment="1">
      <alignment horizontal="center" vertical="center" wrapText="1"/>
    </xf>
    <xf numFmtId="2" fontId="13" fillId="4" borderId="2" xfId="2" applyNumberFormat="1" applyFont="1" applyFill="1" applyBorder="1" applyAlignment="1">
      <alignment horizontal="center" vertical="center"/>
    </xf>
    <xf numFmtId="2" fontId="13" fillId="4" borderId="3" xfId="2" applyNumberFormat="1" applyFont="1" applyFill="1" applyBorder="1" applyAlignment="1">
      <alignment horizontal="center" vertical="center"/>
    </xf>
    <xf numFmtId="2" fontId="4" fillId="0" borderId="2" xfId="1" applyNumberFormat="1" applyFont="1" applyFill="1" applyBorder="1" applyAlignment="1">
      <alignment horizontal="center" vertical="center"/>
    </xf>
    <xf numFmtId="2" fontId="4" fillId="0" borderId="3" xfId="1" applyNumberFormat="1" applyFont="1" applyFill="1" applyBorder="1" applyAlignment="1">
      <alignment horizontal="center" vertical="center"/>
    </xf>
    <xf numFmtId="0" fontId="13" fillId="3" borderId="29" xfId="0" applyFont="1" applyFill="1" applyBorder="1" applyAlignment="1">
      <alignment horizontal="center"/>
    </xf>
    <xf numFmtId="0" fontId="13" fillId="3" borderId="20" xfId="0" applyFont="1" applyFill="1" applyBorder="1" applyAlignment="1">
      <alignment horizontal="center"/>
    </xf>
    <xf numFmtId="0" fontId="13" fillId="3" borderId="3" xfId="0" applyFont="1" applyFill="1" applyBorder="1" applyAlignment="1">
      <alignment horizontal="center"/>
    </xf>
    <xf numFmtId="2" fontId="4" fillId="0" borderId="2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13" fillId="6" borderId="29" xfId="0" applyFont="1" applyFill="1" applyBorder="1" applyAlignment="1">
      <alignment horizontal="left" vertical="center"/>
    </xf>
    <xf numFmtId="0" fontId="13" fillId="6" borderId="25" xfId="0" applyFont="1" applyFill="1" applyBorder="1" applyAlignment="1">
      <alignment horizontal="left" vertical="center"/>
    </xf>
    <xf numFmtId="2" fontId="13" fillId="4" borderId="2" xfId="0" applyNumberFormat="1" applyFont="1" applyFill="1" applyBorder="1" applyAlignment="1">
      <alignment horizontal="center" vertical="center"/>
    </xf>
    <xf numFmtId="2" fontId="13" fillId="4" borderId="3" xfId="0" applyNumberFormat="1" applyFont="1" applyFill="1" applyBorder="1" applyAlignment="1">
      <alignment horizontal="center" vertical="center"/>
    </xf>
    <xf numFmtId="2" fontId="4" fillId="2" borderId="2" xfId="1" applyNumberFormat="1" applyFont="1" applyFill="1" applyBorder="1" applyAlignment="1">
      <alignment horizontal="center" vertical="center"/>
    </xf>
    <xf numFmtId="2" fontId="4" fillId="2" borderId="3" xfId="1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2" fontId="13" fillId="4" borderId="1" xfId="2" applyNumberFormat="1" applyFont="1" applyFill="1" applyBorder="1" applyAlignment="1">
      <alignment horizontal="center" vertical="center"/>
    </xf>
    <xf numFmtId="2" fontId="4" fillId="0" borderId="1" xfId="1" applyNumberFormat="1" applyFont="1" applyBorder="1" applyAlignment="1">
      <alignment horizontal="center" vertical="center"/>
    </xf>
    <xf numFmtId="0" fontId="13" fillId="0" borderId="15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3" fillId="0" borderId="21" xfId="0" applyFont="1" applyBorder="1" applyAlignment="1">
      <alignment horizontal="center" vertical="center"/>
    </xf>
    <xf numFmtId="0" fontId="13" fillId="8" borderId="29" xfId="0" applyFont="1" applyFill="1" applyBorder="1" applyAlignment="1">
      <alignment horizontal="left" vertical="center"/>
    </xf>
    <xf numFmtId="0" fontId="13" fillId="8" borderId="20" xfId="0" applyFont="1" applyFill="1" applyBorder="1" applyAlignment="1">
      <alignment horizontal="left" vertical="center"/>
    </xf>
    <xf numFmtId="0" fontId="13" fillId="8" borderId="25" xfId="0" applyFont="1" applyFill="1" applyBorder="1" applyAlignment="1">
      <alignment horizontal="left" vertical="center"/>
    </xf>
    <xf numFmtId="2" fontId="4" fillId="0" borderId="1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center" vertical="center" wrapText="1"/>
    </xf>
    <xf numFmtId="0" fontId="13" fillId="6" borderId="30" xfId="0" applyFont="1" applyFill="1" applyBorder="1" applyAlignment="1">
      <alignment horizontal="left" vertical="center"/>
    </xf>
    <xf numFmtId="0" fontId="13" fillId="6" borderId="15" xfId="0" applyFont="1" applyFill="1" applyBorder="1" applyAlignment="1">
      <alignment horizontal="left" vertical="center"/>
    </xf>
    <xf numFmtId="0" fontId="13" fillId="6" borderId="26" xfId="0" applyFont="1" applyFill="1" applyBorder="1" applyAlignment="1">
      <alignment horizontal="left" vertical="center"/>
    </xf>
    <xf numFmtId="2" fontId="4" fillId="2" borderId="1" xfId="1" applyNumberFormat="1" applyFont="1" applyFill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46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/>
    </xf>
    <xf numFmtId="0" fontId="5" fillId="0" borderId="27" xfId="0" applyFont="1" applyBorder="1" applyAlignment="1">
      <alignment horizontal="center" vertical="center"/>
    </xf>
    <xf numFmtId="0" fontId="13" fillId="8" borderId="2" xfId="0" applyFont="1" applyFill="1" applyBorder="1" applyAlignment="1">
      <alignment horizontal="left" vertical="center"/>
    </xf>
    <xf numFmtId="0" fontId="13" fillId="8" borderId="3" xfId="0" applyFont="1" applyFill="1" applyBorder="1" applyAlignment="1">
      <alignment horizontal="left" vertical="center"/>
    </xf>
    <xf numFmtId="0" fontId="13" fillId="0" borderId="4" xfId="0" applyFont="1" applyBorder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0" fontId="13" fillId="0" borderId="6" xfId="0" applyFont="1" applyBorder="1" applyAlignment="1">
      <alignment horizontal="center" vertical="center"/>
    </xf>
    <xf numFmtId="0" fontId="13" fillId="0" borderId="8" xfId="0" applyFont="1" applyBorder="1" applyAlignment="1">
      <alignment horizontal="center" vertical="center"/>
    </xf>
    <xf numFmtId="0" fontId="4" fillId="6" borderId="20" xfId="0" applyFont="1" applyFill="1" applyBorder="1" applyAlignment="1">
      <alignment horizontal="left" vertical="center"/>
    </xf>
    <xf numFmtId="0" fontId="4" fillId="6" borderId="25" xfId="0" applyFont="1" applyFill="1" applyBorder="1" applyAlignment="1">
      <alignment horizontal="left" vertical="center"/>
    </xf>
    <xf numFmtId="0" fontId="18" fillId="0" borderId="22" xfId="0" applyFont="1" applyBorder="1" applyAlignment="1">
      <alignment horizontal="center" vertical="center"/>
    </xf>
    <xf numFmtId="0" fontId="18" fillId="0" borderId="21" xfId="0" applyFont="1" applyBorder="1" applyAlignment="1">
      <alignment horizontal="center" vertical="center"/>
    </xf>
    <xf numFmtId="0" fontId="18" fillId="0" borderId="18" xfId="0" applyFont="1" applyBorder="1" applyAlignment="1">
      <alignment horizontal="center" vertical="center"/>
    </xf>
    <xf numFmtId="2" fontId="13" fillId="6" borderId="2" xfId="1" applyNumberFormat="1" applyFont="1" applyFill="1" applyBorder="1" applyAlignment="1">
      <alignment horizontal="center" vertical="center"/>
    </xf>
    <xf numFmtId="2" fontId="13" fillId="6" borderId="20" xfId="1" applyNumberFormat="1" applyFont="1" applyFill="1" applyBorder="1" applyAlignment="1">
      <alignment horizontal="center" vertical="center"/>
    </xf>
    <xf numFmtId="2" fontId="13" fillId="6" borderId="25" xfId="1" applyNumberFormat="1" applyFont="1" applyFill="1" applyBorder="1" applyAlignment="1">
      <alignment horizontal="center" vertical="center"/>
    </xf>
    <xf numFmtId="0" fontId="13" fillId="6" borderId="13" xfId="0" applyFont="1" applyFill="1" applyBorder="1" applyAlignment="1">
      <alignment horizontal="left" vertical="center"/>
    </xf>
    <xf numFmtId="0" fontId="13" fillId="6" borderId="2" xfId="0" applyFont="1" applyFill="1" applyBorder="1" applyAlignment="1">
      <alignment horizontal="left"/>
    </xf>
    <xf numFmtId="0" fontId="13" fillId="6" borderId="20" xfId="0" applyFont="1" applyFill="1" applyBorder="1" applyAlignment="1">
      <alignment horizontal="left"/>
    </xf>
    <xf numFmtId="0" fontId="13" fillId="6" borderId="3" xfId="0" applyFont="1" applyFill="1" applyBorder="1" applyAlignment="1">
      <alignment horizontal="left"/>
    </xf>
    <xf numFmtId="2" fontId="13" fillId="2" borderId="2" xfId="0" applyNumberFormat="1" applyFont="1" applyFill="1" applyBorder="1" applyAlignment="1">
      <alignment horizontal="center" vertical="center"/>
    </xf>
    <xf numFmtId="2" fontId="13" fillId="2" borderId="3" xfId="0" applyNumberFormat="1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25" xfId="0" applyFont="1" applyBorder="1" applyAlignment="1">
      <alignment horizontal="center" vertical="center"/>
    </xf>
    <xf numFmtId="2" fontId="4" fillId="0" borderId="1" xfId="2" applyNumberFormat="1" applyFont="1" applyFill="1" applyBorder="1" applyAlignment="1">
      <alignment horizontal="center" vertical="center"/>
    </xf>
    <xf numFmtId="0" fontId="13" fillId="0" borderId="12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3" fillId="3" borderId="29" xfId="0" applyFont="1" applyFill="1" applyBorder="1" applyAlignment="1">
      <alignment horizontal="center" vertical="center"/>
    </xf>
    <xf numFmtId="0" fontId="13" fillId="3" borderId="20" xfId="0" applyFont="1" applyFill="1" applyBorder="1" applyAlignment="1">
      <alignment horizontal="center" vertical="center"/>
    </xf>
    <xf numFmtId="0" fontId="13" fillId="3" borderId="25" xfId="0" applyFont="1" applyFill="1" applyBorder="1" applyAlignment="1">
      <alignment horizontal="center" vertical="center"/>
    </xf>
    <xf numFmtId="2" fontId="16" fillId="2" borderId="0" xfId="0" applyNumberFormat="1" applyFont="1" applyFill="1" applyAlignment="1">
      <alignment horizontal="center" vertical="center"/>
    </xf>
    <xf numFmtId="2" fontId="16" fillId="2" borderId="8" xfId="0" applyNumberFormat="1" applyFont="1" applyFill="1" applyBorder="1" applyAlignment="1">
      <alignment horizontal="center" vertical="center"/>
    </xf>
    <xf numFmtId="2" fontId="16" fillId="0" borderId="0" xfId="0" applyNumberFormat="1" applyFont="1" applyAlignment="1">
      <alignment horizontal="left" vertical="center"/>
    </xf>
    <xf numFmtId="2" fontId="16" fillId="0" borderId="8" xfId="0" applyNumberFormat="1" applyFont="1" applyBorder="1" applyAlignment="1">
      <alignment horizontal="left" vertical="center"/>
    </xf>
    <xf numFmtId="49" fontId="14" fillId="0" borderId="10" xfId="5" applyNumberFormat="1" applyFont="1" applyBorder="1" applyAlignment="1">
      <alignment horizontal="center" vertical="center" wrapText="1"/>
    </xf>
    <xf numFmtId="49" fontId="14" fillId="0" borderId="11" xfId="5" applyNumberFormat="1" applyFont="1" applyBorder="1" applyAlignment="1">
      <alignment horizontal="center" vertical="center" wrapText="1"/>
    </xf>
    <xf numFmtId="0" fontId="6" fillId="4" borderId="1" xfId="0" applyFont="1" applyFill="1" applyBorder="1" applyAlignment="1">
      <alignment horizontal="left" vertical="center"/>
    </xf>
    <xf numFmtId="0" fontId="6" fillId="4" borderId="13" xfId="0" applyFont="1" applyFill="1" applyBorder="1" applyAlignment="1">
      <alignment horizontal="left" vertical="center"/>
    </xf>
    <xf numFmtId="0" fontId="6" fillId="6" borderId="12" xfId="0" applyFont="1" applyFill="1" applyBorder="1" applyAlignment="1">
      <alignment horizontal="left" vertical="center"/>
    </xf>
    <xf numFmtId="0" fontId="6" fillId="6" borderId="1" xfId="0" applyFont="1" applyFill="1" applyBorder="1" applyAlignment="1">
      <alignment horizontal="left" vertical="center"/>
    </xf>
    <xf numFmtId="0" fontId="6" fillId="6" borderId="29" xfId="0" applyFont="1" applyFill="1" applyBorder="1" applyAlignment="1">
      <alignment horizontal="left" vertical="center"/>
    </xf>
    <xf numFmtId="0" fontId="6" fillId="6" borderId="20" xfId="0" applyFont="1" applyFill="1" applyBorder="1" applyAlignment="1">
      <alignment horizontal="left" vertical="center"/>
    </xf>
    <xf numFmtId="0" fontId="5" fillId="0" borderId="21" xfId="0" applyFont="1" applyBorder="1" applyAlignment="1">
      <alignment horizontal="center" vertical="center"/>
    </xf>
    <xf numFmtId="0" fontId="5" fillId="0" borderId="18" xfId="0" applyFont="1" applyBorder="1" applyAlignment="1">
      <alignment horizontal="center" vertical="center"/>
    </xf>
    <xf numFmtId="0" fontId="6" fillId="4" borderId="2" xfId="0" applyFont="1" applyFill="1" applyBorder="1" applyAlignment="1">
      <alignment horizontal="left" vertical="center"/>
    </xf>
    <xf numFmtId="0" fontId="6" fillId="4" borderId="20" xfId="0" applyFont="1" applyFill="1" applyBorder="1" applyAlignment="1">
      <alignment horizontal="left" vertical="center"/>
    </xf>
    <xf numFmtId="0" fontId="6" fillId="4" borderId="25" xfId="0" applyFont="1" applyFill="1" applyBorder="1" applyAlignment="1">
      <alignment horizontal="left" vertical="center"/>
    </xf>
    <xf numFmtId="0" fontId="6" fillId="6" borderId="3" xfId="0" applyFont="1" applyFill="1" applyBorder="1" applyAlignment="1">
      <alignment horizontal="left" vertical="center"/>
    </xf>
    <xf numFmtId="0" fontId="13" fillId="6" borderId="33" xfId="0" applyFont="1" applyFill="1" applyBorder="1" applyAlignment="1">
      <alignment horizontal="left" vertical="center"/>
    </xf>
    <xf numFmtId="0" fontId="13" fillId="6" borderId="23" xfId="0" applyFont="1" applyFill="1" applyBorder="1" applyAlignment="1">
      <alignment horizontal="left" vertical="center"/>
    </xf>
    <xf numFmtId="0" fontId="6" fillId="6" borderId="2" xfId="0" applyFont="1" applyFill="1" applyBorder="1" applyAlignment="1">
      <alignment horizontal="left" vertical="center"/>
    </xf>
    <xf numFmtId="0" fontId="6" fillId="2" borderId="10" xfId="0" applyFont="1" applyFill="1" applyBorder="1" applyAlignment="1">
      <alignment horizontal="center" vertical="top"/>
    </xf>
    <xf numFmtId="2" fontId="4" fillId="2" borderId="0" xfId="0" applyNumberFormat="1" applyFont="1" applyFill="1" applyAlignment="1">
      <alignment horizontal="center" vertical="center"/>
    </xf>
    <xf numFmtId="2" fontId="4" fillId="2" borderId="8" xfId="0" applyNumberFormat="1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3" fillId="0" borderId="8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top"/>
    </xf>
    <xf numFmtId="0" fontId="13" fillId="0" borderId="0" xfId="0" applyFont="1" applyAlignment="1">
      <alignment horizontal="center" vertical="top"/>
    </xf>
    <xf numFmtId="0" fontId="13" fillId="0" borderId="8" xfId="0" applyFont="1" applyBorder="1" applyAlignment="1">
      <alignment horizontal="center" vertical="top"/>
    </xf>
    <xf numFmtId="0" fontId="6" fillId="2" borderId="7" xfId="0" applyFont="1" applyFill="1" applyBorder="1" applyAlignment="1">
      <alignment horizontal="center"/>
    </xf>
    <xf numFmtId="0" fontId="6" fillId="2" borderId="0" xfId="0" applyFont="1" applyFill="1" applyAlignment="1">
      <alignment horizontal="center"/>
    </xf>
    <xf numFmtId="0" fontId="6" fillId="2" borderId="8" xfId="0" applyFont="1" applyFill="1" applyBorder="1" applyAlignment="1">
      <alignment horizontal="center"/>
    </xf>
    <xf numFmtId="0" fontId="11" fillId="0" borderId="7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0" borderId="8" xfId="0" applyFont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top"/>
    </xf>
    <xf numFmtId="0" fontId="6" fillId="2" borderId="0" xfId="0" applyFont="1" applyFill="1" applyAlignment="1">
      <alignment horizontal="center" vertical="top"/>
    </xf>
    <xf numFmtId="0" fontId="6" fillId="2" borderId="8" xfId="0" applyFont="1" applyFill="1" applyBorder="1" applyAlignment="1">
      <alignment horizontal="center" vertical="top"/>
    </xf>
    <xf numFmtId="0" fontId="12" fillId="2" borderId="9" xfId="0" applyFont="1" applyFill="1" applyBorder="1" applyAlignment="1">
      <alignment horizontal="center" vertical="center"/>
    </xf>
    <xf numFmtId="0" fontId="12" fillId="2" borderId="10" xfId="0" applyFont="1" applyFill="1" applyBorder="1" applyAlignment="1">
      <alignment horizontal="center" vertical="center"/>
    </xf>
    <xf numFmtId="0" fontId="12" fillId="2" borderId="11" xfId="0" applyFont="1" applyFill="1" applyBorder="1" applyAlignment="1">
      <alignment horizontal="center" vertical="center"/>
    </xf>
    <xf numFmtId="0" fontId="6" fillId="5" borderId="12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12" fillId="2" borderId="22" xfId="0" applyFont="1" applyFill="1" applyBorder="1" applyAlignment="1">
      <alignment horizontal="center" vertical="center"/>
    </xf>
    <xf numFmtId="0" fontId="12" fillId="2" borderId="21" xfId="0" applyFont="1" applyFill="1" applyBorder="1" applyAlignment="1">
      <alignment horizontal="center" vertical="center"/>
    </xf>
    <xf numFmtId="0" fontId="12" fillId="2" borderId="18" xfId="0" applyFont="1" applyFill="1" applyBorder="1" applyAlignment="1">
      <alignment horizontal="center" vertical="center"/>
    </xf>
    <xf numFmtId="0" fontId="2" fillId="2" borderId="35" xfId="0" applyFont="1" applyFill="1" applyBorder="1" applyAlignment="1">
      <alignment horizontal="right"/>
    </xf>
    <xf numFmtId="0" fontId="2" fillId="2" borderId="37" xfId="0" applyFont="1" applyFill="1" applyBorder="1" applyAlignment="1">
      <alignment horizontal="right"/>
    </xf>
    <xf numFmtId="0" fontId="2" fillId="2" borderId="34" xfId="0" applyFont="1" applyFill="1" applyBorder="1" applyAlignment="1">
      <alignment horizontal="right"/>
    </xf>
    <xf numFmtId="2" fontId="5" fillId="2" borderId="0" xfId="0" applyNumberFormat="1" applyFont="1" applyFill="1" applyAlignment="1">
      <alignment horizontal="center" vertical="center" wrapText="1"/>
    </xf>
    <xf numFmtId="49" fontId="10" fillId="0" borderId="0" xfId="5" applyNumberFormat="1" applyFont="1" applyAlignment="1">
      <alignment horizontal="center" vertical="center" wrapText="1"/>
    </xf>
    <xf numFmtId="49" fontId="10" fillId="0" borderId="10" xfId="5" applyNumberFormat="1" applyFont="1" applyBorder="1" applyAlignment="1">
      <alignment horizontal="center" vertical="center" wrapText="1"/>
    </xf>
    <xf numFmtId="0" fontId="6" fillId="4" borderId="29" xfId="0" applyFont="1" applyFill="1" applyBorder="1" applyAlignment="1">
      <alignment horizontal="center" vertical="center"/>
    </xf>
    <xf numFmtId="0" fontId="6" fillId="4" borderId="3" xfId="0" applyFont="1" applyFill="1" applyBorder="1" applyAlignment="1">
      <alignment horizontal="center" vertical="center"/>
    </xf>
    <xf numFmtId="0" fontId="6" fillId="2" borderId="0" xfId="0" applyFont="1" applyFill="1" applyAlignment="1">
      <alignment horizontal="center" vertical="center" wrapText="1"/>
    </xf>
    <xf numFmtId="0" fontId="6" fillId="6" borderId="2" xfId="0" applyFont="1" applyFill="1" applyBorder="1" applyAlignment="1">
      <alignment horizontal="center" vertical="center"/>
    </xf>
    <xf numFmtId="0" fontId="6" fillId="6" borderId="20" xfId="0" applyFont="1" applyFill="1" applyBorder="1" applyAlignment="1">
      <alignment horizontal="center" vertical="center"/>
    </xf>
    <xf numFmtId="10" fontId="0" fillId="2" borderId="14" xfId="0" applyNumberFormat="1" applyFill="1" applyBorder="1" applyAlignment="1">
      <alignment horizontal="center" vertical="center"/>
    </xf>
    <xf numFmtId="10" fontId="0" fillId="2" borderId="28" xfId="0" applyNumberFormat="1" applyFill="1" applyBorder="1" applyAlignment="1">
      <alignment horizontal="center" vertical="center"/>
    </xf>
    <xf numFmtId="10" fontId="0" fillId="2" borderId="36" xfId="0" applyNumberFormat="1" applyFill="1" applyBorder="1" applyAlignment="1">
      <alignment horizontal="center" vertical="center"/>
    </xf>
    <xf numFmtId="0" fontId="2" fillId="2" borderId="29" xfId="0" applyFont="1" applyFill="1" applyBorder="1" applyAlignment="1">
      <alignment horizontal="right"/>
    </xf>
    <xf numFmtId="0" fontId="2" fillId="2" borderId="3" xfId="0" applyFont="1" applyFill="1" applyBorder="1" applyAlignment="1">
      <alignment horizontal="right"/>
    </xf>
    <xf numFmtId="0" fontId="2" fillId="2" borderId="20" xfId="0" applyFont="1" applyFill="1" applyBorder="1" applyAlignment="1">
      <alignment horizontal="right"/>
    </xf>
  </cellXfs>
  <cellStyles count="16">
    <cellStyle name="Moeda" xfId="1" builtinId="4"/>
    <cellStyle name="Moeda 2" xfId="3" xr:uid="{00000000-0005-0000-0000-000001000000}"/>
    <cellStyle name="Moeda 2 2" xfId="10" xr:uid="{32B7A7B1-F038-44E2-B71D-9D742E83FCE0}"/>
    <cellStyle name="Moeda 3" xfId="6" xr:uid="{00000000-0005-0000-0000-000002000000}"/>
    <cellStyle name="Moeda 4" xfId="8" xr:uid="{4B4C0928-1805-4D9A-97CE-5DCA79ADB0FF}"/>
    <cellStyle name="Normal" xfId="0" builtinId="0"/>
    <cellStyle name="Normal 2" xfId="5" xr:uid="{00000000-0005-0000-0000-000004000000}"/>
    <cellStyle name="Normal 2 21" xfId="14" xr:uid="{C53104C7-610A-4229-9004-1163380C8534}"/>
    <cellStyle name="Porcentagem" xfId="13" builtinId="5"/>
    <cellStyle name="Vírgula" xfId="2" builtinId="3"/>
    <cellStyle name="Vírgula 2" xfId="4" xr:uid="{00000000-0005-0000-0000-000007000000}"/>
    <cellStyle name="Vírgula 2 2" xfId="11" xr:uid="{0FCDC4DB-BD5B-4D2E-A0AF-8B05B5E02D80}"/>
    <cellStyle name="Vírgula 3" xfId="7" xr:uid="{00000000-0005-0000-0000-000008000000}"/>
    <cellStyle name="Vírgula 3 2" xfId="12" xr:uid="{179258CB-261E-4719-A81D-5263A6283A9C}"/>
    <cellStyle name="Vírgula 4" xfId="9" xr:uid="{736F402F-D74B-49FE-BC5E-76307B448416}"/>
    <cellStyle name="Vírgula 5" xfId="15" xr:uid="{264F5944-432F-4F52-8ECD-B18DB83D7354}"/>
  </cellStyles>
  <dxfs count="572"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380999</xdr:colOff>
      <xdr:row>0</xdr:row>
      <xdr:rowOff>0</xdr:rowOff>
    </xdr:from>
    <xdr:ext cx="3844076" cy="1203882"/>
    <xdr:pic>
      <xdr:nvPicPr>
        <xdr:cNvPr id="4" name="Imagem 3">
          <a:extLst>
            <a:ext uri="{FF2B5EF4-FFF2-40B4-BE49-F238E27FC236}">
              <a16:creationId xmlns:a16="http://schemas.microsoft.com/office/drawing/2014/main" id="{041EEDF2-5CE6-46AD-A8D0-8D260E6A1A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3320" y="224868"/>
          <a:ext cx="3844076" cy="1203882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377825</xdr:colOff>
      <xdr:row>2</xdr:row>
      <xdr:rowOff>13396</xdr:rowOff>
    </xdr:from>
    <xdr:ext cx="3160828" cy="989904"/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7425" y="407096"/>
          <a:ext cx="3160828" cy="989904"/>
        </a:xfrm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106456</xdr:colOff>
      <xdr:row>1</xdr:row>
      <xdr:rowOff>51311</xdr:rowOff>
    </xdr:from>
    <xdr:ext cx="2459691" cy="770322"/>
    <xdr:pic>
      <xdr:nvPicPr>
        <xdr:cNvPr id="3" name="Imagem 2">
          <a:extLst>
            <a:ext uri="{FF2B5EF4-FFF2-40B4-BE49-F238E27FC236}">
              <a16:creationId xmlns:a16="http://schemas.microsoft.com/office/drawing/2014/main" id="{142CC5BB-0D08-49DA-BB15-A9625823E3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11574" y="241811"/>
          <a:ext cx="2459691" cy="770322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E05B2D-2B8C-4543-87AB-DA6FE3FB5E0E}">
  <sheetPr>
    <pageSetUpPr fitToPage="1"/>
  </sheetPr>
  <dimension ref="A1:J1478"/>
  <sheetViews>
    <sheetView showGridLines="0" view="pageBreakPreview" topLeftCell="B1" zoomScale="70" zoomScaleNormal="70" zoomScaleSheetLayoutView="70" zoomScalePageLayoutView="10" workbookViewId="0">
      <selection activeCell="D12" sqref="D12"/>
    </sheetView>
  </sheetViews>
  <sheetFormatPr defaultColWidth="9.140625" defaultRowHeight="20.100000000000001" customHeight="1" x14ac:dyDescent="0.25"/>
  <cols>
    <col min="1" max="1" width="0" style="20" hidden="1" customWidth="1"/>
    <col min="2" max="2" width="9.28515625" style="15" customWidth="1"/>
    <col min="3" max="3" width="23.140625" style="15" customWidth="1"/>
    <col min="4" max="4" width="111.85546875" style="17" customWidth="1"/>
    <col min="5" max="5" width="6.85546875" style="14" bestFit="1" customWidth="1"/>
    <col min="6" max="6" width="31.7109375" style="19" bestFit="1" customWidth="1"/>
    <col min="7" max="7" width="26.85546875" style="19" customWidth="1"/>
    <col min="8" max="8" width="21.7109375" style="106" bestFit="1" customWidth="1"/>
    <col min="9" max="9" width="25.140625" style="20" bestFit="1" customWidth="1"/>
    <col min="10" max="16384" width="9.140625" style="20"/>
  </cols>
  <sheetData>
    <row r="1" spans="2:10" ht="20.100000000000001" customHeight="1" x14ac:dyDescent="0.25">
      <c r="B1" s="438" t="s">
        <v>0</v>
      </c>
      <c r="C1" s="439"/>
      <c r="D1" s="439"/>
      <c r="E1" s="439"/>
      <c r="F1" s="439"/>
      <c r="G1" s="439"/>
      <c r="H1" s="440"/>
    </row>
    <row r="2" spans="2:10" ht="20.100000000000001" customHeight="1" x14ac:dyDescent="0.25">
      <c r="B2" s="365" t="s">
        <v>1</v>
      </c>
      <c r="C2" s="419"/>
      <c r="D2" s="419"/>
      <c r="E2" s="419"/>
      <c r="F2" s="419"/>
      <c r="G2" s="419"/>
      <c r="H2" s="441"/>
    </row>
    <row r="3" spans="2:10" ht="20.100000000000001" customHeight="1" x14ac:dyDescent="0.25">
      <c r="B3" s="316"/>
      <c r="C3" s="142"/>
      <c r="D3" s="419" t="s">
        <v>2</v>
      </c>
      <c r="E3" s="419"/>
      <c r="F3" s="419"/>
      <c r="G3" s="419"/>
      <c r="H3" s="357"/>
    </row>
    <row r="4" spans="2:10" ht="20.100000000000001" customHeight="1" x14ac:dyDescent="0.25">
      <c r="B4" s="365" t="s">
        <v>3</v>
      </c>
      <c r="C4" s="419"/>
      <c r="D4" s="419"/>
      <c r="E4" s="419"/>
      <c r="F4" s="419"/>
      <c r="G4" s="419"/>
      <c r="H4" s="441"/>
      <c r="I4" s="146"/>
      <c r="J4" s="142"/>
    </row>
    <row r="5" spans="2:10" ht="20.100000000000001" customHeight="1" x14ac:dyDescent="0.25">
      <c r="B5" s="365" t="s">
        <v>4</v>
      </c>
      <c r="C5" s="419"/>
      <c r="D5" s="419"/>
      <c r="E5" s="419"/>
      <c r="F5" s="419"/>
      <c r="G5" s="419"/>
      <c r="H5" s="441"/>
      <c r="I5" s="419"/>
      <c r="J5" s="419"/>
    </row>
    <row r="6" spans="2:10" ht="20.100000000000001" customHeight="1" x14ac:dyDescent="0.25">
      <c r="B6" s="444" t="s">
        <v>5</v>
      </c>
      <c r="C6" s="445"/>
      <c r="D6" s="445"/>
      <c r="E6" s="445"/>
      <c r="F6" s="445"/>
      <c r="G6" s="445"/>
      <c r="H6" s="446"/>
    </row>
    <row r="7" spans="2:10" s="71" customFormat="1" ht="20.100000000000001" customHeight="1" x14ac:dyDescent="0.25">
      <c r="B7" s="319" t="s">
        <v>6</v>
      </c>
      <c r="C7" s="115" t="s">
        <v>7</v>
      </c>
      <c r="D7" s="73"/>
      <c r="E7" s="74" t="s">
        <v>8</v>
      </c>
      <c r="F7" s="447" t="s">
        <v>5</v>
      </c>
      <c r="G7" s="448"/>
      <c r="H7" s="449"/>
    </row>
    <row r="8" spans="2:10" s="71" customFormat="1" ht="20.100000000000001" customHeight="1" x14ac:dyDescent="0.25">
      <c r="B8" s="409" t="s">
        <v>9</v>
      </c>
      <c r="C8" s="391"/>
      <c r="D8" s="442"/>
      <c r="E8" s="442"/>
      <c r="F8" s="442"/>
      <c r="G8" s="442"/>
      <c r="H8" s="443"/>
    </row>
    <row r="9" spans="2:10" s="71" customFormat="1" ht="20.100000000000001" customHeight="1" x14ac:dyDescent="0.25">
      <c r="B9" s="194">
        <v>1</v>
      </c>
      <c r="C9" s="115">
        <v>20000</v>
      </c>
      <c r="D9" s="426" t="s">
        <v>10</v>
      </c>
      <c r="E9" s="427"/>
      <c r="F9" s="427"/>
      <c r="G9" s="428"/>
      <c r="H9" s="195" t="s">
        <v>11</v>
      </c>
    </row>
    <row r="10" spans="2:10" s="71" customFormat="1" ht="20.100000000000001" customHeight="1" x14ac:dyDescent="0.25">
      <c r="B10" s="198" t="s">
        <v>12</v>
      </c>
      <c r="C10" s="108">
        <v>20117</v>
      </c>
      <c r="D10" s="77" t="s">
        <v>13</v>
      </c>
      <c r="E10" s="76" t="s">
        <v>14</v>
      </c>
      <c r="F10" s="298" t="s">
        <v>15</v>
      </c>
      <c r="G10" s="298" t="s">
        <v>16</v>
      </c>
      <c r="H10" s="199">
        <f>SUM(H11:H131)</f>
        <v>1021.0722999999998</v>
      </c>
    </row>
    <row r="11" spans="2:10" s="71" customFormat="1" ht="20.100000000000001" customHeight="1" x14ac:dyDescent="0.25">
      <c r="B11" s="358"/>
      <c r="C11" s="164"/>
      <c r="D11" s="70" t="s">
        <v>17</v>
      </c>
      <c r="E11" s="277" t="s">
        <v>14</v>
      </c>
      <c r="F11" s="276">
        <f>10.93+10.93+4.68+4.68</f>
        <v>31.22</v>
      </c>
      <c r="G11" s="276">
        <v>1.5</v>
      </c>
      <c r="H11" s="197">
        <f>G11*F11</f>
        <v>46.83</v>
      </c>
    </row>
    <row r="12" spans="2:10" s="71" customFormat="1" ht="20.100000000000001" customHeight="1" x14ac:dyDescent="0.25">
      <c r="B12" s="200"/>
      <c r="C12" s="163"/>
      <c r="D12" s="70" t="s">
        <v>18</v>
      </c>
      <c r="E12" s="277" t="s">
        <v>14</v>
      </c>
      <c r="F12" s="205">
        <v>2</v>
      </c>
      <c r="G12" s="303">
        <v>0.4</v>
      </c>
      <c r="H12" s="197">
        <f>-G12*F12*3</f>
        <v>-2.4000000000000004</v>
      </c>
    </row>
    <row r="13" spans="2:10" s="71" customFormat="1" ht="20.100000000000001" customHeight="1" x14ac:dyDescent="0.25">
      <c r="B13" s="200"/>
      <c r="C13" s="163"/>
      <c r="D13" s="70" t="s">
        <v>19</v>
      </c>
      <c r="E13" s="277" t="s">
        <v>14</v>
      </c>
      <c r="F13" s="205">
        <v>0.75</v>
      </c>
      <c r="G13" s="303">
        <v>1.5</v>
      </c>
      <c r="H13" s="197">
        <f>-G13*F13</f>
        <v>-1.125</v>
      </c>
    </row>
    <row r="14" spans="2:10" s="71" customFormat="1" ht="20.100000000000001" customHeight="1" x14ac:dyDescent="0.25">
      <c r="B14" s="200"/>
      <c r="C14" s="163"/>
      <c r="D14" s="70" t="s">
        <v>20</v>
      </c>
      <c r="E14" s="277" t="s">
        <v>14</v>
      </c>
      <c r="F14" s="205">
        <v>0.8</v>
      </c>
      <c r="G14" s="303">
        <v>1.5</v>
      </c>
      <c r="H14" s="197">
        <f>-G14*F14</f>
        <v>-1.2000000000000002</v>
      </c>
    </row>
    <row r="15" spans="2:10" s="71" customFormat="1" ht="20.100000000000001" customHeight="1" x14ac:dyDescent="0.25">
      <c r="B15" s="200"/>
      <c r="C15" s="163"/>
      <c r="D15" s="70" t="s">
        <v>21</v>
      </c>
      <c r="E15" s="277" t="s">
        <v>14</v>
      </c>
      <c r="F15" s="276">
        <v>45.36</v>
      </c>
      <c r="G15" s="276">
        <v>1.5</v>
      </c>
      <c r="H15" s="197">
        <f>G15*F15</f>
        <v>68.039999999999992</v>
      </c>
    </row>
    <row r="16" spans="2:10" s="71" customFormat="1" ht="20.100000000000001" customHeight="1" x14ac:dyDescent="0.25">
      <c r="B16" s="200"/>
      <c r="C16" s="163"/>
      <c r="D16" s="70" t="s">
        <v>22</v>
      </c>
      <c r="E16" s="277" t="s">
        <v>14</v>
      </c>
      <c r="F16" s="205">
        <v>2</v>
      </c>
      <c r="G16" s="276">
        <v>0.4</v>
      </c>
      <c r="H16" s="197">
        <f>-4*G16*F16</f>
        <v>-3.2</v>
      </c>
    </row>
    <row r="17" spans="2:8" s="71" customFormat="1" ht="20.100000000000001" customHeight="1" x14ac:dyDescent="0.25">
      <c r="B17" s="200"/>
      <c r="C17" s="163"/>
      <c r="D17" s="70" t="s">
        <v>23</v>
      </c>
      <c r="E17" s="277" t="s">
        <v>14</v>
      </c>
      <c r="F17" s="276">
        <v>0.8</v>
      </c>
      <c r="G17" s="276">
        <v>1.5</v>
      </c>
      <c r="H17" s="197">
        <f>-G17*F17</f>
        <v>-1.2000000000000002</v>
      </c>
    </row>
    <row r="18" spans="2:8" s="71" customFormat="1" ht="19.5" customHeight="1" x14ac:dyDescent="0.25">
      <c r="B18" s="200"/>
      <c r="C18" s="163"/>
      <c r="D18" s="70" t="s">
        <v>24</v>
      </c>
      <c r="E18" s="277" t="s">
        <v>14</v>
      </c>
      <c r="F18" s="276">
        <v>1.4</v>
      </c>
      <c r="G18" s="276">
        <v>1.5</v>
      </c>
      <c r="H18" s="197">
        <f>G18*F18</f>
        <v>2.0999999999999996</v>
      </c>
    </row>
    <row r="19" spans="2:8" s="71" customFormat="1" ht="20.100000000000001" customHeight="1" x14ac:dyDescent="0.25">
      <c r="B19" s="200"/>
      <c r="C19" s="163"/>
      <c r="D19" s="70" t="s">
        <v>25</v>
      </c>
      <c r="E19" s="277" t="s">
        <v>14</v>
      </c>
      <c r="F19" s="276">
        <v>0.7</v>
      </c>
      <c r="G19" s="276">
        <v>1.5</v>
      </c>
      <c r="H19" s="197">
        <f>-G19*F19</f>
        <v>-1.0499999999999998</v>
      </c>
    </row>
    <row r="20" spans="2:8" s="71" customFormat="1" ht="20.100000000000001" customHeight="1" x14ac:dyDescent="0.25">
      <c r="B20" s="200"/>
      <c r="C20" s="163"/>
      <c r="D20" s="70" t="s">
        <v>26</v>
      </c>
      <c r="E20" s="277" t="s">
        <v>14</v>
      </c>
      <c r="F20" s="276">
        <v>25.65</v>
      </c>
      <c r="G20" s="276">
        <v>1.5</v>
      </c>
      <c r="H20" s="197">
        <f>G20*F20</f>
        <v>38.474999999999994</v>
      </c>
    </row>
    <row r="21" spans="2:8" s="71" customFormat="1" ht="20.100000000000001" customHeight="1" x14ac:dyDescent="0.25">
      <c r="B21" s="200"/>
      <c r="C21" s="163"/>
      <c r="D21" s="70" t="s">
        <v>20</v>
      </c>
      <c r="E21" s="277" t="s">
        <v>14</v>
      </c>
      <c r="F21" s="276">
        <v>0.8</v>
      </c>
      <c r="G21" s="276">
        <v>1.5</v>
      </c>
      <c r="H21" s="197">
        <f>-G21*F21</f>
        <v>-1.2000000000000002</v>
      </c>
    </row>
    <row r="22" spans="2:8" s="71" customFormat="1" ht="20.100000000000001" customHeight="1" x14ac:dyDescent="0.25">
      <c r="B22" s="200"/>
      <c r="C22" s="163"/>
      <c r="D22" s="70" t="s">
        <v>27</v>
      </c>
      <c r="E22" s="277" t="s">
        <v>14</v>
      </c>
      <c r="F22" s="276">
        <v>2</v>
      </c>
      <c r="G22" s="276">
        <v>0.4</v>
      </c>
      <c r="H22" s="197">
        <f>-G22*F22</f>
        <v>-0.8</v>
      </c>
    </row>
    <row r="23" spans="2:8" s="71" customFormat="1" ht="20.100000000000001" customHeight="1" x14ac:dyDescent="0.25">
      <c r="B23" s="200"/>
      <c r="C23" s="163"/>
      <c r="D23" s="70" t="s">
        <v>28</v>
      </c>
      <c r="E23" s="277" t="s">
        <v>14</v>
      </c>
      <c r="F23" s="276">
        <f>4.4+4.4+3.68+3.68</f>
        <v>16.16</v>
      </c>
      <c r="G23" s="276">
        <v>1.5</v>
      </c>
      <c r="H23" s="197">
        <f>G23*F23</f>
        <v>24.240000000000002</v>
      </c>
    </row>
    <row r="24" spans="2:8" s="71" customFormat="1" ht="20.100000000000001" customHeight="1" x14ac:dyDescent="0.25">
      <c r="B24" s="200"/>
      <c r="C24" s="163"/>
      <c r="D24" s="70" t="s">
        <v>29</v>
      </c>
      <c r="E24" s="277" t="s">
        <v>14</v>
      </c>
      <c r="F24" s="276">
        <v>1.5</v>
      </c>
      <c r="G24" s="276">
        <v>1.5</v>
      </c>
      <c r="H24" s="197">
        <f>-G24*F24</f>
        <v>-2.25</v>
      </c>
    </row>
    <row r="25" spans="2:8" s="71" customFormat="1" ht="20.100000000000001" customHeight="1" x14ac:dyDescent="0.25">
      <c r="B25" s="200"/>
      <c r="C25" s="163"/>
      <c r="D25" s="70" t="s">
        <v>30</v>
      </c>
      <c r="E25" s="277" t="s">
        <v>14</v>
      </c>
      <c r="F25" s="276">
        <v>0.8</v>
      </c>
      <c r="G25" s="276">
        <v>1.5</v>
      </c>
      <c r="H25" s="197">
        <f>-G25*F25*3</f>
        <v>-3.6000000000000005</v>
      </c>
    </row>
    <row r="26" spans="2:8" s="71" customFormat="1" ht="20.100000000000001" customHeight="1" x14ac:dyDescent="0.25">
      <c r="B26" s="200"/>
      <c r="C26" s="163"/>
      <c r="D26" s="70" t="s">
        <v>31</v>
      </c>
      <c r="E26" s="277" t="s">
        <v>14</v>
      </c>
      <c r="F26" s="205">
        <v>1.5</v>
      </c>
      <c r="G26" s="205">
        <v>0.4</v>
      </c>
      <c r="H26" s="197">
        <f>-G26*F26</f>
        <v>-0.60000000000000009</v>
      </c>
    </row>
    <row r="27" spans="2:8" s="71" customFormat="1" ht="20.100000000000001" customHeight="1" x14ac:dyDescent="0.25">
      <c r="B27" s="200"/>
      <c r="C27" s="163"/>
      <c r="D27" s="70" t="s">
        <v>32</v>
      </c>
      <c r="E27" s="277" t="s">
        <v>14</v>
      </c>
      <c r="F27" s="205">
        <f>3.915+4.655</f>
        <v>8.57</v>
      </c>
      <c r="G27" s="205">
        <v>1.5</v>
      </c>
      <c r="H27" s="197">
        <f>G27*F27</f>
        <v>12.855</v>
      </c>
    </row>
    <row r="28" spans="2:8" s="71" customFormat="1" ht="20.100000000000001" customHeight="1" x14ac:dyDescent="0.25">
      <c r="B28" s="200"/>
      <c r="C28" s="163"/>
      <c r="D28" s="70" t="s">
        <v>30</v>
      </c>
      <c r="E28" s="277" t="s">
        <v>14</v>
      </c>
      <c r="F28" s="276">
        <v>0.8</v>
      </c>
      <c r="G28" s="276">
        <v>1.5</v>
      </c>
      <c r="H28" s="197">
        <f>-G28*F28*3</f>
        <v>-3.6000000000000005</v>
      </c>
    </row>
    <row r="29" spans="2:8" s="71" customFormat="1" ht="20.100000000000001" customHeight="1" x14ac:dyDescent="0.25">
      <c r="B29" s="200"/>
      <c r="C29" s="163"/>
      <c r="D29" s="70" t="s">
        <v>31</v>
      </c>
      <c r="E29" s="277" t="s">
        <v>14</v>
      </c>
      <c r="F29" s="205">
        <v>1.5</v>
      </c>
      <c r="G29" s="205">
        <v>0.4</v>
      </c>
      <c r="H29" s="197">
        <f>G29*F29</f>
        <v>0.60000000000000009</v>
      </c>
    </row>
    <row r="30" spans="2:8" s="71" customFormat="1" ht="20.100000000000001" customHeight="1" x14ac:dyDescent="0.25">
      <c r="B30" s="200"/>
      <c r="C30" s="163"/>
      <c r="D30" s="70" t="s">
        <v>33</v>
      </c>
      <c r="E30" s="277" t="s">
        <v>14</v>
      </c>
      <c r="F30" s="205">
        <f>3.02+3.02+6.18+6.18+2.35</f>
        <v>20.75</v>
      </c>
      <c r="G30" s="276">
        <v>1.5</v>
      </c>
      <c r="H30" s="197">
        <f>G30*F30</f>
        <v>31.125</v>
      </c>
    </row>
    <row r="31" spans="2:8" s="71" customFormat="1" ht="20.100000000000001" customHeight="1" x14ac:dyDescent="0.25">
      <c r="B31" s="200"/>
      <c r="C31" s="163"/>
      <c r="D31" s="70" t="s">
        <v>34</v>
      </c>
      <c r="E31" s="277" t="s">
        <v>14</v>
      </c>
      <c r="F31" s="205">
        <v>1.1000000000000001</v>
      </c>
      <c r="G31" s="303">
        <v>0.4</v>
      </c>
      <c r="H31" s="197">
        <f>G31*F31*-2</f>
        <v>-0.88000000000000012</v>
      </c>
    </row>
    <row r="32" spans="2:8" s="71" customFormat="1" ht="20.100000000000001" customHeight="1" x14ac:dyDescent="0.25">
      <c r="B32" s="200"/>
      <c r="C32" s="163"/>
      <c r="D32" s="70" t="s">
        <v>23</v>
      </c>
      <c r="E32" s="277" t="s">
        <v>14</v>
      </c>
      <c r="F32" s="205">
        <v>0.8</v>
      </c>
      <c r="G32" s="303">
        <v>1.5</v>
      </c>
      <c r="H32" s="197">
        <f>G32*F32*-1</f>
        <v>-1.2000000000000002</v>
      </c>
    </row>
    <row r="33" spans="2:8" s="71" customFormat="1" ht="20.100000000000001" customHeight="1" x14ac:dyDescent="0.25">
      <c r="B33" s="200"/>
      <c r="C33" s="163"/>
      <c r="D33" s="70" t="s">
        <v>35</v>
      </c>
      <c r="E33" s="277" t="s">
        <v>14</v>
      </c>
      <c r="F33" s="205">
        <v>0.7</v>
      </c>
      <c r="G33" s="303">
        <v>1.5</v>
      </c>
      <c r="H33" s="197">
        <f>G33*F33*-1</f>
        <v>-1.0499999999999998</v>
      </c>
    </row>
    <row r="34" spans="2:8" s="71" customFormat="1" ht="20.100000000000001" customHeight="1" x14ac:dyDescent="0.25">
      <c r="B34" s="200"/>
      <c r="C34" s="163"/>
      <c r="D34" s="70" t="s">
        <v>36</v>
      </c>
      <c r="E34" s="277" t="s">
        <v>14</v>
      </c>
      <c r="F34" s="276">
        <f>3.17+0.075+8.42+3.22</f>
        <v>14.885</v>
      </c>
      <c r="G34" s="276">
        <v>1.5</v>
      </c>
      <c r="H34" s="197">
        <f>G34*F34</f>
        <v>22.327500000000001</v>
      </c>
    </row>
    <row r="35" spans="2:8" s="71" customFormat="1" ht="20.100000000000001" customHeight="1" x14ac:dyDescent="0.25">
      <c r="B35" s="200"/>
      <c r="C35" s="163"/>
      <c r="D35" s="70" t="s">
        <v>34</v>
      </c>
      <c r="E35" s="277" t="s">
        <v>14</v>
      </c>
      <c r="F35" s="205">
        <v>1.1000000000000001</v>
      </c>
      <c r="G35" s="303">
        <v>0.4</v>
      </c>
      <c r="H35" s="197">
        <f>G35*F35*-2</f>
        <v>-0.88000000000000012</v>
      </c>
    </row>
    <row r="36" spans="2:8" s="71" customFormat="1" ht="20.100000000000001" customHeight="1" x14ac:dyDescent="0.25">
      <c r="B36" s="200"/>
      <c r="C36" s="163"/>
      <c r="D36" s="70" t="s">
        <v>37</v>
      </c>
      <c r="E36" s="277" t="s">
        <v>14</v>
      </c>
      <c r="F36" s="205">
        <v>0.8</v>
      </c>
      <c r="G36" s="276">
        <v>0.4</v>
      </c>
      <c r="H36" s="197">
        <f>G36*F36*-2</f>
        <v>-0.64000000000000012</v>
      </c>
    </row>
    <row r="37" spans="2:8" s="71" customFormat="1" ht="20.100000000000001" customHeight="1" x14ac:dyDescent="0.25">
      <c r="B37" s="200"/>
      <c r="C37" s="163"/>
      <c r="D37" s="70" t="s">
        <v>38</v>
      </c>
      <c r="E37" s="277" t="s">
        <v>14</v>
      </c>
      <c r="F37" s="276">
        <f>4.3+4.3+4.4+4.4</f>
        <v>17.399999999999999</v>
      </c>
      <c r="G37" s="276">
        <v>1.5</v>
      </c>
      <c r="H37" s="197">
        <f>G37*F37</f>
        <v>26.099999999999998</v>
      </c>
    </row>
    <row r="38" spans="2:8" s="71" customFormat="1" ht="20.100000000000001" customHeight="1" x14ac:dyDescent="0.25">
      <c r="B38" s="200"/>
      <c r="C38" s="163"/>
      <c r="D38" s="70" t="s">
        <v>39</v>
      </c>
      <c r="E38" s="277" t="s">
        <v>14</v>
      </c>
      <c r="F38" s="205">
        <v>0.8</v>
      </c>
      <c r="G38" s="276">
        <v>0.4</v>
      </c>
      <c r="H38" s="197">
        <f>G38*F38*-2</f>
        <v>-0.64000000000000012</v>
      </c>
    </row>
    <row r="39" spans="2:8" s="71" customFormat="1" ht="20.100000000000001" customHeight="1" x14ac:dyDescent="0.25">
      <c r="B39" s="200"/>
      <c r="C39" s="163"/>
      <c r="D39" s="70" t="s">
        <v>35</v>
      </c>
      <c r="E39" s="277" t="s">
        <v>14</v>
      </c>
      <c r="F39" s="205">
        <v>0.7</v>
      </c>
      <c r="G39" s="276">
        <v>1.5</v>
      </c>
      <c r="H39" s="197">
        <f>-G39*F39</f>
        <v>-1.0499999999999998</v>
      </c>
    </row>
    <row r="40" spans="2:8" s="71" customFormat="1" ht="20.100000000000001" customHeight="1" x14ac:dyDescent="0.25">
      <c r="B40" s="200"/>
      <c r="C40" s="163"/>
      <c r="D40" s="70" t="s">
        <v>31</v>
      </c>
      <c r="E40" s="277" t="s">
        <v>14</v>
      </c>
      <c r="F40" s="205">
        <v>1.5</v>
      </c>
      <c r="G40" s="303">
        <v>0.4</v>
      </c>
      <c r="H40" s="197">
        <f>F40*G40*-2</f>
        <v>-1.2000000000000002</v>
      </c>
    </row>
    <row r="41" spans="2:8" s="71" customFormat="1" ht="20.100000000000001" customHeight="1" x14ac:dyDescent="0.25">
      <c r="B41" s="200"/>
      <c r="C41" s="163"/>
      <c r="D41" s="70" t="s">
        <v>40</v>
      </c>
      <c r="E41" s="277" t="s">
        <v>14</v>
      </c>
      <c r="F41" s="205">
        <f>4.65+4.43</f>
        <v>9.08</v>
      </c>
      <c r="G41" s="276">
        <v>1.5</v>
      </c>
      <c r="H41" s="197">
        <f>G41*F41</f>
        <v>13.620000000000001</v>
      </c>
    </row>
    <row r="42" spans="2:8" s="71" customFormat="1" ht="20.100000000000001" customHeight="1" x14ac:dyDescent="0.25">
      <c r="B42" s="200"/>
      <c r="C42" s="163"/>
      <c r="D42" s="70" t="s">
        <v>23</v>
      </c>
      <c r="E42" s="277" t="s">
        <v>14</v>
      </c>
      <c r="F42" s="205">
        <v>0.8</v>
      </c>
      <c r="G42" s="276">
        <v>1.5</v>
      </c>
      <c r="H42" s="197">
        <f>-G42*F42</f>
        <v>-1.2000000000000002</v>
      </c>
    </row>
    <row r="43" spans="2:8" s="71" customFormat="1" ht="20.100000000000001" customHeight="1" x14ac:dyDescent="0.25">
      <c r="B43" s="200"/>
      <c r="C43" s="163"/>
      <c r="D43" s="70" t="s">
        <v>31</v>
      </c>
      <c r="E43" s="277" t="s">
        <v>14</v>
      </c>
      <c r="F43" s="276">
        <v>1.5</v>
      </c>
      <c r="G43" s="276">
        <v>0.4</v>
      </c>
      <c r="H43" s="197">
        <f>G43*F43*-2</f>
        <v>-1.2000000000000002</v>
      </c>
    </row>
    <row r="44" spans="2:8" s="71" customFormat="1" ht="20.100000000000001" customHeight="1" x14ac:dyDescent="0.25">
      <c r="B44" s="200"/>
      <c r="C44" s="163"/>
      <c r="D44" s="70" t="s">
        <v>41</v>
      </c>
      <c r="E44" s="277" t="s">
        <v>14</v>
      </c>
      <c r="F44" s="205">
        <f>5.51+4+5.51+4</f>
        <v>19.02</v>
      </c>
      <c r="G44" s="276">
        <v>1.5</v>
      </c>
      <c r="H44" s="197">
        <f>G44*F44</f>
        <v>28.53</v>
      </c>
    </row>
    <row r="45" spans="2:8" s="71" customFormat="1" ht="20.100000000000001" customHeight="1" x14ac:dyDescent="0.25">
      <c r="B45" s="200"/>
      <c r="C45" s="163"/>
      <c r="D45" s="70" t="s">
        <v>42</v>
      </c>
      <c r="E45" s="277" t="s">
        <v>14</v>
      </c>
      <c r="F45" s="205">
        <v>0.7</v>
      </c>
      <c r="G45" s="276">
        <v>1.5</v>
      </c>
      <c r="H45" s="197">
        <f>G45*F45*-1</f>
        <v>-1.0499999999999998</v>
      </c>
    </row>
    <row r="46" spans="2:8" s="71" customFormat="1" ht="20.100000000000001" customHeight="1" x14ac:dyDescent="0.25">
      <c r="B46" s="200"/>
      <c r="C46" s="163"/>
      <c r="D46" s="70" t="s">
        <v>43</v>
      </c>
      <c r="E46" s="277" t="s">
        <v>14</v>
      </c>
      <c r="F46" s="205">
        <v>0.8</v>
      </c>
      <c r="G46" s="276">
        <v>1.5</v>
      </c>
      <c r="H46" s="197">
        <f>G46*F46*-1</f>
        <v>-1.2000000000000002</v>
      </c>
    </row>
    <row r="47" spans="2:8" s="71" customFormat="1" ht="20.100000000000001" customHeight="1" x14ac:dyDescent="0.25">
      <c r="B47" s="200"/>
      <c r="C47" s="163"/>
      <c r="D47" s="70" t="s">
        <v>31</v>
      </c>
      <c r="E47" s="277" t="s">
        <v>14</v>
      </c>
      <c r="F47" s="205">
        <v>1.5</v>
      </c>
      <c r="G47" s="303">
        <v>0.4</v>
      </c>
      <c r="H47" s="197">
        <f>-2*G47*F47</f>
        <v>-1.2000000000000002</v>
      </c>
    </row>
    <row r="48" spans="2:8" s="71" customFormat="1" ht="20.100000000000001" customHeight="1" x14ac:dyDescent="0.25">
      <c r="B48" s="200"/>
      <c r="C48" s="163"/>
      <c r="D48" s="70" t="s">
        <v>44</v>
      </c>
      <c r="E48" s="277" t="s">
        <v>14</v>
      </c>
      <c r="F48" s="205">
        <f>5.71+4.15+0.075</f>
        <v>9.9349999999999987</v>
      </c>
      <c r="G48" s="276">
        <v>1.5</v>
      </c>
      <c r="H48" s="197">
        <f>G48*F48</f>
        <v>14.902499999999998</v>
      </c>
    </row>
    <row r="49" spans="2:8" s="71" customFormat="1" ht="20.100000000000001" customHeight="1" x14ac:dyDescent="0.25">
      <c r="B49" s="200"/>
      <c r="C49" s="163"/>
      <c r="D49" s="70" t="s">
        <v>45</v>
      </c>
      <c r="E49" s="277" t="s">
        <v>14</v>
      </c>
      <c r="F49" s="205">
        <v>0.8</v>
      </c>
      <c r="G49" s="276">
        <v>0.4</v>
      </c>
      <c r="H49" s="197">
        <f>-G49*F49</f>
        <v>-0.32000000000000006</v>
      </c>
    </row>
    <row r="50" spans="2:8" s="71" customFormat="1" ht="20.100000000000001" customHeight="1" x14ac:dyDescent="0.25">
      <c r="B50" s="200"/>
      <c r="C50" s="163"/>
      <c r="D50" s="70" t="s">
        <v>31</v>
      </c>
      <c r="E50" s="277" t="s">
        <v>14</v>
      </c>
      <c r="F50" s="276">
        <v>1.5</v>
      </c>
      <c r="G50" s="276">
        <v>0.4</v>
      </c>
      <c r="H50" s="197">
        <f>-2*G50*F50</f>
        <v>-1.2000000000000002</v>
      </c>
    </row>
    <row r="51" spans="2:8" s="71" customFormat="1" ht="20.100000000000001" customHeight="1" x14ac:dyDescent="0.25">
      <c r="B51" s="200"/>
      <c r="C51" s="163"/>
      <c r="D51" s="70" t="s">
        <v>46</v>
      </c>
      <c r="E51" s="277" t="s">
        <v>14</v>
      </c>
      <c r="F51" s="205">
        <f>2.66+6.26</f>
        <v>8.92</v>
      </c>
      <c r="G51" s="276">
        <v>1.5</v>
      </c>
      <c r="H51" s="197">
        <f>G51*F51</f>
        <v>13.379999999999999</v>
      </c>
    </row>
    <row r="52" spans="2:8" s="71" customFormat="1" ht="20.100000000000001" customHeight="1" x14ac:dyDescent="0.25">
      <c r="B52" s="200"/>
      <c r="C52" s="163"/>
      <c r="D52" s="70" t="s">
        <v>35</v>
      </c>
      <c r="E52" s="277" t="s">
        <v>14</v>
      </c>
      <c r="F52" s="205">
        <v>0.7</v>
      </c>
      <c r="G52" s="276">
        <v>1.5</v>
      </c>
      <c r="H52" s="197">
        <f>G52*F52*-1</f>
        <v>-1.0499999999999998</v>
      </c>
    </row>
    <row r="53" spans="2:8" s="71" customFormat="1" ht="20.100000000000001" customHeight="1" x14ac:dyDescent="0.25">
      <c r="B53" s="200"/>
      <c r="C53" s="163"/>
      <c r="D53" s="70" t="s">
        <v>47</v>
      </c>
      <c r="E53" s="277" t="s">
        <v>14</v>
      </c>
      <c r="F53" s="205">
        <v>0.6</v>
      </c>
      <c r="G53" s="276">
        <v>0.4</v>
      </c>
      <c r="H53" s="197">
        <f>G53*F53*-3</f>
        <v>-0.72</v>
      </c>
    </row>
    <row r="54" spans="2:8" s="71" customFormat="1" ht="20.100000000000001" customHeight="1" x14ac:dyDescent="0.25">
      <c r="B54" s="200"/>
      <c r="C54" s="163"/>
      <c r="D54" s="70" t="s">
        <v>48</v>
      </c>
      <c r="E54" s="277" t="s">
        <v>14</v>
      </c>
      <c r="F54" s="205">
        <f>5.4+6.56+4+5.52+1.48+3.5</f>
        <v>26.46</v>
      </c>
      <c r="G54" s="276">
        <v>1.5</v>
      </c>
      <c r="H54" s="197">
        <f>G54*F54</f>
        <v>39.69</v>
      </c>
    </row>
    <row r="55" spans="2:8" s="71" customFormat="1" ht="20.100000000000001" customHeight="1" x14ac:dyDescent="0.25">
      <c r="B55" s="200"/>
      <c r="C55" s="163"/>
      <c r="D55" s="70" t="s">
        <v>30</v>
      </c>
      <c r="E55" s="277" t="s">
        <v>14</v>
      </c>
      <c r="F55" s="205">
        <v>0.8</v>
      </c>
      <c r="G55" s="303">
        <v>1.5</v>
      </c>
      <c r="H55" s="197">
        <f>-3*F55*G55</f>
        <v>-3.6000000000000005</v>
      </c>
    </row>
    <row r="56" spans="2:8" s="71" customFormat="1" ht="20.100000000000001" customHeight="1" x14ac:dyDescent="0.25">
      <c r="B56" s="200"/>
      <c r="C56" s="163"/>
      <c r="D56" s="70" t="s">
        <v>31</v>
      </c>
      <c r="E56" s="277" t="s">
        <v>14</v>
      </c>
      <c r="F56" s="205">
        <v>1.5</v>
      </c>
      <c r="G56" s="303">
        <v>0.4</v>
      </c>
      <c r="H56" s="197">
        <f>-2*F56*G56</f>
        <v>-1.2000000000000002</v>
      </c>
    </row>
    <row r="57" spans="2:8" s="71" customFormat="1" ht="20.100000000000001" customHeight="1" x14ac:dyDescent="0.25">
      <c r="B57" s="200"/>
      <c r="C57" s="163"/>
      <c r="D57" s="70" t="s">
        <v>49</v>
      </c>
      <c r="E57" s="277" t="s">
        <v>14</v>
      </c>
      <c r="F57" s="205">
        <v>1.85</v>
      </c>
      <c r="G57" s="303">
        <v>0.5</v>
      </c>
      <c r="H57" s="197">
        <f>-1*F57*G57</f>
        <v>-0.92500000000000004</v>
      </c>
    </row>
    <row r="58" spans="2:8" s="71" customFormat="1" ht="20.100000000000001" customHeight="1" x14ac:dyDescent="0.25">
      <c r="B58" s="200"/>
      <c r="C58" s="163"/>
      <c r="D58" s="70" t="s">
        <v>50</v>
      </c>
      <c r="E58" s="277" t="s">
        <v>14</v>
      </c>
      <c r="F58" s="205">
        <f>3.97+5.4+3.97+5.4</f>
        <v>18.740000000000002</v>
      </c>
      <c r="G58" s="303">
        <v>1.5</v>
      </c>
      <c r="H58" s="197">
        <f>G58*F58</f>
        <v>28.110000000000003</v>
      </c>
    </row>
    <row r="59" spans="2:8" s="71" customFormat="1" ht="20.100000000000001" customHeight="1" x14ac:dyDescent="0.25">
      <c r="B59" s="200"/>
      <c r="C59" s="163"/>
      <c r="D59" s="70" t="s">
        <v>51</v>
      </c>
      <c r="E59" s="277" t="s">
        <v>14</v>
      </c>
      <c r="F59" s="205">
        <v>0.8</v>
      </c>
      <c r="G59" s="303">
        <v>1.5</v>
      </c>
      <c r="H59" s="197">
        <f>G59*-F59</f>
        <v>-1.2000000000000002</v>
      </c>
    </row>
    <row r="60" spans="2:8" s="71" customFormat="1" ht="20.100000000000001" customHeight="1" x14ac:dyDescent="0.25">
      <c r="B60" s="200"/>
      <c r="C60" s="163"/>
      <c r="D60" s="70" t="s">
        <v>52</v>
      </c>
      <c r="E60" s="277" t="s">
        <v>14</v>
      </c>
      <c r="F60" s="205">
        <v>2</v>
      </c>
      <c r="G60" s="303">
        <v>0.4</v>
      </c>
      <c r="H60" s="197">
        <f>G60*-F60</f>
        <v>-0.8</v>
      </c>
    </row>
    <row r="61" spans="2:8" s="71" customFormat="1" ht="20.100000000000001" customHeight="1" x14ac:dyDescent="0.25">
      <c r="B61" s="200"/>
      <c r="C61" s="163"/>
      <c r="D61" s="70" t="s">
        <v>49</v>
      </c>
      <c r="E61" s="277" t="s">
        <v>14</v>
      </c>
      <c r="F61" s="303">
        <v>1.85</v>
      </c>
      <c r="G61" s="303">
        <v>0.5</v>
      </c>
      <c r="H61" s="197">
        <f>-1*F61*G61</f>
        <v>-0.92500000000000004</v>
      </c>
    </row>
    <row r="62" spans="2:8" s="71" customFormat="1" ht="20.100000000000001" customHeight="1" x14ac:dyDescent="0.25">
      <c r="B62" s="200"/>
      <c r="C62" s="163"/>
      <c r="D62" s="70" t="s">
        <v>53</v>
      </c>
      <c r="E62" s="277" t="s">
        <v>14</v>
      </c>
      <c r="F62" s="303">
        <f>8.44+6.84+1.53</f>
        <v>16.809999999999999</v>
      </c>
      <c r="G62" s="303">
        <v>1.5</v>
      </c>
      <c r="H62" s="197">
        <f>G62*F62</f>
        <v>25.214999999999996</v>
      </c>
    </row>
    <row r="63" spans="2:8" s="71" customFormat="1" ht="20.100000000000001" customHeight="1" x14ac:dyDescent="0.25">
      <c r="B63" s="200"/>
      <c r="C63" s="163"/>
      <c r="D63" s="70" t="s">
        <v>51</v>
      </c>
      <c r="E63" s="277" t="s">
        <v>14</v>
      </c>
      <c r="F63" s="303">
        <v>0.8</v>
      </c>
      <c r="G63" s="303">
        <v>1.5</v>
      </c>
      <c r="H63" s="197">
        <f>-G63*F63</f>
        <v>-1.2000000000000002</v>
      </c>
    </row>
    <row r="64" spans="2:8" s="71" customFormat="1" ht="20.100000000000001" customHeight="1" x14ac:dyDescent="0.25">
      <c r="B64" s="200"/>
      <c r="C64" s="163"/>
      <c r="D64" s="70" t="s">
        <v>54</v>
      </c>
      <c r="E64" s="277" t="s">
        <v>14</v>
      </c>
      <c r="F64" s="303">
        <v>1.5</v>
      </c>
      <c r="G64" s="276">
        <v>0.4</v>
      </c>
      <c r="H64" s="197">
        <f>-2*G64*F64</f>
        <v>-1.2000000000000002</v>
      </c>
    </row>
    <row r="65" spans="2:8" s="71" customFormat="1" ht="20.100000000000001" customHeight="1" x14ac:dyDescent="0.25">
      <c r="B65" s="200"/>
      <c r="C65" s="163"/>
      <c r="D65" s="70" t="s">
        <v>52</v>
      </c>
      <c r="E65" s="277" t="s">
        <v>14</v>
      </c>
      <c r="F65" s="303">
        <v>2.5</v>
      </c>
      <c r="G65" s="276">
        <v>0.4</v>
      </c>
      <c r="H65" s="197">
        <f>-G65*F65</f>
        <v>-1</v>
      </c>
    </row>
    <row r="66" spans="2:8" s="71" customFormat="1" ht="20.100000000000001" customHeight="1" x14ac:dyDescent="0.25">
      <c r="B66" s="200"/>
      <c r="C66" s="163"/>
      <c r="D66" s="70" t="s">
        <v>55</v>
      </c>
      <c r="E66" s="277" t="s">
        <v>14</v>
      </c>
      <c r="F66" s="303">
        <f>3.94+2.22</f>
        <v>6.16</v>
      </c>
      <c r="G66" s="303">
        <v>1.5</v>
      </c>
      <c r="H66" s="197">
        <f>G66*F66</f>
        <v>9.24</v>
      </c>
    </row>
    <row r="67" spans="2:8" s="71" customFormat="1" ht="20.100000000000001" customHeight="1" x14ac:dyDescent="0.25">
      <c r="B67" s="200"/>
      <c r="C67" s="163"/>
      <c r="D67" s="70" t="s">
        <v>51</v>
      </c>
      <c r="E67" s="277" t="s">
        <v>14</v>
      </c>
      <c r="F67" s="303">
        <v>0.8</v>
      </c>
      <c r="G67" s="276">
        <v>1.5</v>
      </c>
      <c r="H67" s="197">
        <f>-G67*F67</f>
        <v>-1.2000000000000002</v>
      </c>
    </row>
    <row r="68" spans="2:8" s="71" customFormat="1" ht="20.100000000000001" customHeight="1" x14ac:dyDescent="0.25">
      <c r="B68" s="200"/>
      <c r="C68" s="163"/>
      <c r="D68" s="70" t="s">
        <v>56</v>
      </c>
      <c r="E68" s="277" t="s">
        <v>14</v>
      </c>
      <c r="F68" s="303">
        <v>1.45</v>
      </c>
      <c r="G68" s="276">
        <v>0.4</v>
      </c>
      <c r="H68" s="197">
        <f>-G68*F68</f>
        <v>-0.57999999999999996</v>
      </c>
    </row>
    <row r="69" spans="2:8" s="71" customFormat="1" ht="20.100000000000001" customHeight="1" x14ac:dyDescent="0.25">
      <c r="B69" s="200"/>
      <c r="C69" s="163"/>
      <c r="D69" s="70" t="s">
        <v>57</v>
      </c>
      <c r="E69" s="277" t="s">
        <v>14</v>
      </c>
      <c r="F69" s="303">
        <v>4.0659999999999998</v>
      </c>
      <c r="G69" s="303">
        <v>1.5</v>
      </c>
      <c r="H69" s="197">
        <f>G69*F69</f>
        <v>6.0990000000000002</v>
      </c>
    </row>
    <row r="70" spans="2:8" s="71" customFormat="1" ht="20.100000000000001" customHeight="1" x14ac:dyDescent="0.25">
      <c r="B70" s="200"/>
      <c r="C70" s="163"/>
      <c r="D70" s="70" t="s">
        <v>56</v>
      </c>
      <c r="E70" s="277" t="s">
        <v>14</v>
      </c>
      <c r="F70" s="303">
        <v>1.45</v>
      </c>
      <c r="G70" s="276">
        <v>0.4</v>
      </c>
      <c r="H70" s="197">
        <f>-G70*F70</f>
        <v>-0.57999999999999996</v>
      </c>
    </row>
    <row r="71" spans="2:8" s="71" customFormat="1" ht="20.100000000000001" customHeight="1" x14ac:dyDescent="0.25">
      <c r="B71" s="200"/>
      <c r="C71" s="163"/>
      <c r="D71" s="70" t="s">
        <v>58</v>
      </c>
      <c r="E71" s="277" t="s">
        <v>14</v>
      </c>
      <c r="F71" s="303">
        <f>9.52+9.52+5.97+5.97</f>
        <v>30.979999999999997</v>
      </c>
      <c r="G71" s="303">
        <v>1.5</v>
      </c>
      <c r="H71" s="197">
        <f>F71*G71</f>
        <v>46.47</v>
      </c>
    </row>
    <row r="72" spans="2:8" s="71" customFormat="1" ht="20.100000000000001" customHeight="1" x14ac:dyDescent="0.25">
      <c r="B72" s="200"/>
      <c r="C72" s="163"/>
      <c r="D72" s="70" t="s">
        <v>59</v>
      </c>
      <c r="E72" s="277" t="s">
        <v>14</v>
      </c>
      <c r="F72" s="303">
        <v>2</v>
      </c>
      <c r="G72" s="303">
        <v>0.4</v>
      </c>
      <c r="H72" s="197">
        <f>G72*F72*-2</f>
        <v>-1.6</v>
      </c>
    </row>
    <row r="73" spans="2:8" s="71" customFormat="1" ht="20.100000000000001" customHeight="1" x14ac:dyDescent="0.25">
      <c r="B73" s="200"/>
      <c r="C73" s="163"/>
      <c r="D73" s="70" t="s">
        <v>60</v>
      </c>
      <c r="E73" s="277" t="s">
        <v>14</v>
      </c>
      <c r="F73" s="303">
        <v>0.8</v>
      </c>
      <c r="G73" s="276">
        <v>1.5</v>
      </c>
      <c r="H73" s="197">
        <f>-G73*F73*1</f>
        <v>-1.2000000000000002</v>
      </c>
    </row>
    <row r="74" spans="2:8" s="71" customFormat="1" ht="20.100000000000001" customHeight="1" x14ac:dyDescent="0.25">
      <c r="B74" s="200"/>
      <c r="C74" s="163"/>
      <c r="D74" s="70" t="s">
        <v>61</v>
      </c>
      <c r="E74" s="277" t="s">
        <v>14</v>
      </c>
      <c r="F74" s="303">
        <v>2</v>
      </c>
      <c r="G74" s="276">
        <v>1.5</v>
      </c>
      <c r="H74" s="197">
        <f>-G74*F74</f>
        <v>-3</v>
      </c>
    </row>
    <row r="75" spans="2:8" s="71" customFormat="1" ht="20.100000000000001" customHeight="1" x14ac:dyDescent="0.25">
      <c r="B75" s="200"/>
      <c r="C75" s="163"/>
      <c r="D75" s="70" t="s">
        <v>62</v>
      </c>
      <c r="E75" s="277" t="s">
        <v>14</v>
      </c>
      <c r="F75" s="303">
        <f>6.11+6.11</f>
        <v>12.22</v>
      </c>
      <c r="G75" s="276">
        <v>1.5</v>
      </c>
      <c r="H75" s="197">
        <f>G75*F75</f>
        <v>18.330000000000002</v>
      </c>
    </row>
    <row r="76" spans="2:8" s="71" customFormat="1" ht="20.100000000000001" customHeight="1" x14ac:dyDescent="0.25">
      <c r="B76" s="203"/>
      <c r="C76" s="165"/>
      <c r="D76" s="70" t="s">
        <v>51</v>
      </c>
      <c r="E76" s="277" t="s">
        <v>14</v>
      </c>
      <c r="F76" s="303">
        <v>0.8</v>
      </c>
      <c r="G76" s="276">
        <v>1.5</v>
      </c>
      <c r="H76" s="197">
        <f>-G76*F76</f>
        <v>-1.2000000000000002</v>
      </c>
    </row>
    <row r="77" spans="2:8" s="71" customFormat="1" ht="20.100000000000001" customHeight="1" x14ac:dyDescent="0.25">
      <c r="B77" s="369"/>
      <c r="C77" s="370"/>
      <c r="D77" s="70" t="s">
        <v>63</v>
      </c>
      <c r="E77" s="277" t="s">
        <v>14</v>
      </c>
      <c r="F77" s="303">
        <v>1.5</v>
      </c>
      <c r="G77" s="276">
        <v>0.4</v>
      </c>
      <c r="H77" s="197">
        <f>-3*G77*F77</f>
        <v>-1.8000000000000003</v>
      </c>
    </row>
    <row r="78" spans="2:8" s="71" customFormat="1" ht="20.100000000000001" customHeight="1" x14ac:dyDescent="0.25">
      <c r="B78" s="371"/>
      <c r="C78" s="372"/>
      <c r="D78" s="70" t="s">
        <v>64</v>
      </c>
      <c r="E78" s="277" t="s">
        <v>14</v>
      </c>
      <c r="F78" s="303">
        <f>9.63+9.63</f>
        <v>19.260000000000002</v>
      </c>
      <c r="G78" s="303">
        <v>1.5</v>
      </c>
      <c r="H78" s="197">
        <f>G78*F78</f>
        <v>28.89</v>
      </c>
    </row>
    <row r="79" spans="2:8" s="71" customFormat="1" ht="20.100000000000001" customHeight="1" x14ac:dyDescent="0.25">
      <c r="B79" s="371"/>
      <c r="C79" s="372"/>
      <c r="D79" s="70" t="s">
        <v>61</v>
      </c>
      <c r="E79" s="277" t="s">
        <v>14</v>
      </c>
      <c r="F79" s="303">
        <v>2</v>
      </c>
      <c r="G79" s="276">
        <v>1.5</v>
      </c>
      <c r="H79" s="197">
        <f>-G79*F79*1</f>
        <v>-3</v>
      </c>
    </row>
    <row r="80" spans="2:8" s="71" customFormat="1" ht="20.100000000000001" customHeight="1" x14ac:dyDescent="0.25">
      <c r="B80" s="371"/>
      <c r="C80" s="372"/>
      <c r="D80" s="70" t="s">
        <v>65</v>
      </c>
      <c r="E80" s="277" t="s">
        <v>14</v>
      </c>
      <c r="F80" s="303">
        <v>2</v>
      </c>
      <c r="G80" s="276">
        <v>0.4</v>
      </c>
      <c r="H80" s="197">
        <f>-2*G80*F80</f>
        <v>-1.6</v>
      </c>
    </row>
    <row r="81" spans="2:8" s="71" customFormat="1" ht="20.100000000000001" customHeight="1" x14ac:dyDescent="0.25">
      <c r="B81" s="371"/>
      <c r="C81" s="372"/>
      <c r="D81" s="70" t="s">
        <v>66</v>
      </c>
      <c r="E81" s="277" t="s">
        <v>14</v>
      </c>
      <c r="F81" s="303">
        <f>7.17+4.92+7.17+4.92</f>
        <v>24.18</v>
      </c>
      <c r="G81" s="303">
        <v>1.5</v>
      </c>
      <c r="H81" s="197">
        <f>G81*F81</f>
        <v>36.269999999999996</v>
      </c>
    </row>
    <row r="82" spans="2:8" s="71" customFormat="1" ht="20.100000000000001" customHeight="1" x14ac:dyDescent="0.25">
      <c r="B82" s="371"/>
      <c r="C82" s="372"/>
      <c r="D82" s="70" t="s">
        <v>51</v>
      </c>
      <c r="E82" s="277" t="s">
        <v>14</v>
      </c>
      <c r="F82" s="303">
        <v>0.8</v>
      </c>
      <c r="G82" s="276">
        <v>1.5</v>
      </c>
      <c r="H82" s="197">
        <f>-G82*F82*1</f>
        <v>-1.2000000000000002</v>
      </c>
    </row>
    <row r="83" spans="2:8" s="71" customFormat="1" ht="20.100000000000001" customHeight="1" x14ac:dyDescent="0.25">
      <c r="B83" s="371"/>
      <c r="C83" s="372"/>
      <c r="D83" s="70" t="s">
        <v>67</v>
      </c>
      <c r="E83" s="277" t="s">
        <v>14</v>
      </c>
      <c r="F83" s="303">
        <v>0.6</v>
      </c>
      <c r="G83" s="276">
        <v>1.5</v>
      </c>
      <c r="H83" s="197">
        <f>-G83*F83</f>
        <v>-0.89999999999999991</v>
      </c>
    </row>
    <row r="84" spans="2:8" s="71" customFormat="1" ht="20.100000000000001" customHeight="1" x14ac:dyDescent="0.25">
      <c r="B84" s="371"/>
      <c r="C84" s="372"/>
      <c r="D84" s="70" t="s">
        <v>68</v>
      </c>
      <c r="E84" s="277" t="s">
        <v>14</v>
      </c>
      <c r="F84" s="303">
        <v>2.5</v>
      </c>
      <c r="G84" s="303">
        <v>0.4</v>
      </c>
      <c r="H84" s="197">
        <f>G84*F84</f>
        <v>1</v>
      </c>
    </row>
    <row r="85" spans="2:8" s="71" customFormat="1" ht="20.100000000000001" customHeight="1" x14ac:dyDescent="0.25">
      <c r="B85" s="371"/>
      <c r="C85" s="372"/>
      <c r="D85" s="70" t="s">
        <v>69</v>
      </c>
      <c r="E85" s="277" t="s">
        <v>14</v>
      </c>
      <c r="F85" s="276">
        <f>1.11+5.22+7.43</f>
        <v>13.76</v>
      </c>
      <c r="G85" s="276">
        <v>1.5</v>
      </c>
      <c r="H85" s="197">
        <f>G85*F85</f>
        <v>20.64</v>
      </c>
    </row>
    <row r="86" spans="2:8" s="71" customFormat="1" ht="20.100000000000001" customHeight="1" x14ac:dyDescent="0.25">
      <c r="B86" s="371"/>
      <c r="C86" s="372"/>
      <c r="D86" s="70" t="s">
        <v>51</v>
      </c>
      <c r="E86" s="277" t="s">
        <v>14</v>
      </c>
      <c r="F86" s="276">
        <v>0.8</v>
      </c>
      <c r="G86" s="276">
        <v>1.5</v>
      </c>
      <c r="H86" s="197">
        <f>-G86*F86</f>
        <v>-1.2000000000000002</v>
      </c>
    </row>
    <row r="87" spans="2:8" s="71" customFormat="1" ht="20.100000000000001" customHeight="1" x14ac:dyDescent="0.25">
      <c r="B87" s="371"/>
      <c r="C87" s="372"/>
      <c r="D87" s="70" t="s">
        <v>70</v>
      </c>
      <c r="E87" s="277" t="s">
        <v>14</v>
      </c>
      <c r="F87" s="276">
        <v>2.5</v>
      </c>
      <c r="G87" s="276">
        <v>0.4</v>
      </c>
      <c r="H87" s="197">
        <f>-2*G87*F87</f>
        <v>-2</v>
      </c>
    </row>
    <row r="88" spans="2:8" s="71" customFormat="1" ht="20.100000000000001" customHeight="1" x14ac:dyDescent="0.25">
      <c r="B88" s="371"/>
      <c r="C88" s="372"/>
      <c r="D88" s="70" t="s">
        <v>71</v>
      </c>
      <c r="E88" s="277" t="s">
        <v>14</v>
      </c>
      <c r="F88" s="276">
        <f>2.15+2.15</f>
        <v>4.3</v>
      </c>
      <c r="G88" s="276">
        <v>1.5</v>
      </c>
      <c r="H88" s="197">
        <f>G88*F88</f>
        <v>6.4499999999999993</v>
      </c>
    </row>
    <row r="89" spans="2:8" s="71" customFormat="1" ht="20.100000000000001" customHeight="1" x14ac:dyDescent="0.25">
      <c r="B89" s="371"/>
      <c r="C89" s="372"/>
      <c r="D89" s="70" t="s">
        <v>72</v>
      </c>
      <c r="E89" s="277" t="s">
        <v>14</v>
      </c>
      <c r="F89" s="276">
        <v>0.7</v>
      </c>
      <c r="G89" s="276">
        <v>1.5</v>
      </c>
      <c r="H89" s="197">
        <f>-2*G89*F89</f>
        <v>-2.0999999999999996</v>
      </c>
    </row>
    <row r="90" spans="2:8" s="71" customFormat="1" ht="20.100000000000001" customHeight="1" x14ac:dyDescent="0.25">
      <c r="B90" s="371"/>
      <c r="C90" s="372"/>
      <c r="D90" s="70" t="s">
        <v>73</v>
      </c>
      <c r="E90" s="277" t="s">
        <v>14</v>
      </c>
      <c r="F90" s="276">
        <f>7.43+7.43+5.01+5.01</f>
        <v>24.879999999999995</v>
      </c>
      <c r="G90" s="276">
        <v>1.5</v>
      </c>
      <c r="H90" s="197">
        <f>G90*F90</f>
        <v>37.319999999999993</v>
      </c>
    </row>
    <row r="91" spans="2:8" s="71" customFormat="1" ht="20.100000000000001" customHeight="1" x14ac:dyDescent="0.25">
      <c r="B91" s="371"/>
      <c r="C91" s="372"/>
      <c r="D91" s="70" t="s">
        <v>51</v>
      </c>
      <c r="E91" s="277" t="s">
        <v>14</v>
      </c>
      <c r="F91" s="276">
        <v>0.8</v>
      </c>
      <c r="G91" s="276">
        <v>1.5</v>
      </c>
      <c r="H91" s="197">
        <f>G91*F91*-1</f>
        <v>-1.2000000000000002</v>
      </c>
    </row>
    <row r="92" spans="2:8" s="71" customFormat="1" ht="20.100000000000001" customHeight="1" x14ac:dyDescent="0.25">
      <c r="B92" s="371"/>
      <c r="C92" s="372"/>
      <c r="D92" s="70" t="s">
        <v>70</v>
      </c>
      <c r="E92" s="277" t="s">
        <v>14</v>
      </c>
      <c r="F92" s="276">
        <v>2.5</v>
      </c>
      <c r="G92" s="276">
        <v>0.4</v>
      </c>
      <c r="H92" s="197">
        <f>-2*F92*G92</f>
        <v>-2</v>
      </c>
    </row>
    <row r="93" spans="2:8" s="71" customFormat="1" ht="20.100000000000001" customHeight="1" x14ac:dyDescent="0.25">
      <c r="B93" s="371"/>
      <c r="C93" s="372"/>
      <c r="D93" s="70" t="s">
        <v>74</v>
      </c>
      <c r="E93" s="277" t="s">
        <v>14</v>
      </c>
      <c r="F93" s="276">
        <f>7.65+7.65</f>
        <v>15.3</v>
      </c>
      <c r="G93" s="276">
        <v>1.5</v>
      </c>
      <c r="H93" s="197">
        <f>G93*F93</f>
        <v>22.950000000000003</v>
      </c>
    </row>
    <row r="94" spans="2:8" s="71" customFormat="1" ht="20.100000000000001" customHeight="1" x14ac:dyDescent="0.25">
      <c r="B94" s="371"/>
      <c r="C94" s="372"/>
      <c r="D94" s="70" t="s">
        <v>51</v>
      </c>
      <c r="E94" s="277" t="s">
        <v>14</v>
      </c>
      <c r="F94" s="276">
        <v>0.8</v>
      </c>
      <c r="G94" s="276">
        <v>1.5</v>
      </c>
      <c r="H94" s="197">
        <f>G94*F94*-1</f>
        <v>-1.2000000000000002</v>
      </c>
    </row>
    <row r="95" spans="2:8" s="71" customFormat="1" ht="20.100000000000001" customHeight="1" x14ac:dyDescent="0.25">
      <c r="B95" s="371"/>
      <c r="C95" s="372"/>
      <c r="D95" s="70" t="s">
        <v>70</v>
      </c>
      <c r="E95" s="277" t="s">
        <v>14</v>
      </c>
      <c r="F95" s="276">
        <v>2.5</v>
      </c>
      <c r="G95" s="276">
        <v>0.4</v>
      </c>
      <c r="H95" s="197">
        <f>-2*F95*G95</f>
        <v>-2</v>
      </c>
    </row>
    <row r="96" spans="2:8" s="71" customFormat="1" ht="20.100000000000001" customHeight="1" x14ac:dyDescent="0.25">
      <c r="B96" s="371"/>
      <c r="C96" s="372"/>
      <c r="D96" s="70" t="s">
        <v>75</v>
      </c>
      <c r="E96" s="277" t="s">
        <v>14</v>
      </c>
      <c r="F96" s="276">
        <f>7.51+7.51+4.97+4.97</f>
        <v>24.959999999999997</v>
      </c>
      <c r="G96" s="276">
        <v>1.5</v>
      </c>
      <c r="H96" s="197">
        <f>G96*F96</f>
        <v>37.44</v>
      </c>
    </row>
    <row r="97" spans="2:8" s="71" customFormat="1" ht="20.100000000000001" customHeight="1" x14ac:dyDescent="0.25">
      <c r="B97" s="371"/>
      <c r="C97" s="372"/>
      <c r="D97" s="70" t="s">
        <v>51</v>
      </c>
      <c r="E97" s="277" t="s">
        <v>14</v>
      </c>
      <c r="F97" s="276">
        <v>0.8</v>
      </c>
      <c r="G97" s="276">
        <v>1.5</v>
      </c>
      <c r="H97" s="197">
        <f>G97*F97*-1</f>
        <v>-1.2000000000000002</v>
      </c>
    </row>
    <row r="98" spans="2:8" s="71" customFormat="1" ht="20.100000000000001" customHeight="1" x14ac:dyDescent="0.25">
      <c r="B98" s="371"/>
      <c r="C98" s="372"/>
      <c r="D98" s="70" t="s">
        <v>70</v>
      </c>
      <c r="E98" s="277" t="s">
        <v>14</v>
      </c>
      <c r="F98" s="276">
        <v>2.5</v>
      </c>
      <c r="G98" s="276">
        <v>0.4</v>
      </c>
      <c r="H98" s="197">
        <f>-2*F98*G98</f>
        <v>-2</v>
      </c>
    </row>
    <row r="99" spans="2:8" s="71" customFormat="1" ht="20.100000000000001" customHeight="1" x14ac:dyDescent="0.25">
      <c r="B99" s="371"/>
      <c r="C99" s="372"/>
      <c r="D99" s="70" t="s">
        <v>76</v>
      </c>
      <c r="E99" s="277" t="s">
        <v>14</v>
      </c>
      <c r="F99" s="276">
        <f>1.41+7.72+5.22</f>
        <v>14.349999999999998</v>
      </c>
      <c r="G99" s="276">
        <v>1.5</v>
      </c>
      <c r="H99" s="197">
        <f>G99*F99</f>
        <v>21.524999999999999</v>
      </c>
    </row>
    <row r="100" spans="2:8" s="71" customFormat="1" ht="20.100000000000001" customHeight="1" x14ac:dyDescent="0.25">
      <c r="B100" s="371"/>
      <c r="C100" s="372"/>
      <c r="D100" s="70" t="s">
        <v>51</v>
      </c>
      <c r="E100" s="277" t="s">
        <v>14</v>
      </c>
      <c r="F100" s="276">
        <v>0.8</v>
      </c>
      <c r="G100" s="276">
        <v>1.5</v>
      </c>
      <c r="H100" s="197">
        <f>G100*F100*-1</f>
        <v>-1.2000000000000002</v>
      </c>
    </row>
    <row r="101" spans="2:8" s="71" customFormat="1" ht="20.100000000000001" customHeight="1" x14ac:dyDescent="0.25">
      <c r="B101" s="371"/>
      <c r="C101" s="372"/>
      <c r="D101" s="70" t="s">
        <v>70</v>
      </c>
      <c r="E101" s="277" t="s">
        <v>14</v>
      </c>
      <c r="F101" s="276">
        <v>2.5</v>
      </c>
      <c r="G101" s="276">
        <v>0.4</v>
      </c>
      <c r="H101" s="197">
        <f>-2*F101*G101</f>
        <v>-2</v>
      </c>
    </row>
    <row r="102" spans="2:8" s="71" customFormat="1" ht="20.100000000000001" customHeight="1" x14ac:dyDescent="0.25">
      <c r="B102" s="371"/>
      <c r="C102" s="372"/>
      <c r="D102" s="70" t="s">
        <v>77</v>
      </c>
      <c r="E102" s="277" t="s">
        <v>14</v>
      </c>
      <c r="F102" s="276">
        <f>5.98+5.93+5.98+5.93</f>
        <v>23.82</v>
      </c>
      <c r="G102" s="276">
        <v>1.5</v>
      </c>
      <c r="H102" s="197">
        <f>G102*F102</f>
        <v>35.730000000000004</v>
      </c>
    </row>
    <row r="103" spans="2:8" s="71" customFormat="1" ht="20.100000000000001" customHeight="1" x14ac:dyDescent="0.25">
      <c r="B103" s="371"/>
      <c r="C103" s="372"/>
      <c r="D103" s="70" t="s">
        <v>51</v>
      </c>
      <c r="E103" s="277" t="s">
        <v>14</v>
      </c>
      <c r="F103" s="276">
        <v>0.8</v>
      </c>
      <c r="G103" s="276">
        <v>0.4</v>
      </c>
      <c r="H103" s="197">
        <f>G103*F103*-1</f>
        <v>-0.32000000000000006</v>
      </c>
    </row>
    <row r="104" spans="2:8" s="71" customFormat="1" ht="20.100000000000001" customHeight="1" x14ac:dyDescent="0.25">
      <c r="B104" s="371"/>
      <c r="C104" s="372"/>
      <c r="D104" s="70" t="s">
        <v>65</v>
      </c>
      <c r="E104" s="277" t="s">
        <v>14</v>
      </c>
      <c r="F104" s="276">
        <v>2</v>
      </c>
      <c r="G104" s="276">
        <v>1.5</v>
      </c>
      <c r="H104" s="197">
        <f>-2*G104*F104</f>
        <v>-6</v>
      </c>
    </row>
    <row r="105" spans="2:8" s="71" customFormat="1" ht="20.100000000000001" customHeight="1" x14ac:dyDescent="0.25">
      <c r="B105" s="371"/>
      <c r="C105" s="372"/>
      <c r="D105" s="70" t="s">
        <v>78</v>
      </c>
      <c r="E105" s="277" t="s">
        <v>14</v>
      </c>
      <c r="F105" s="276">
        <f>6.13+6.13</f>
        <v>12.26</v>
      </c>
      <c r="G105" s="276">
        <v>1.5</v>
      </c>
      <c r="H105" s="197">
        <f>G105*F105</f>
        <v>18.39</v>
      </c>
    </row>
    <row r="106" spans="2:8" s="71" customFormat="1" ht="20.100000000000001" customHeight="1" x14ac:dyDescent="0.25">
      <c r="B106" s="371"/>
      <c r="C106" s="372"/>
      <c r="D106" s="70" t="s">
        <v>51</v>
      </c>
      <c r="E106" s="277" t="s">
        <v>14</v>
      </c>
      <c r="F106" s="276">
        <v>0.8</v>
      </c>
      <c r="G106" s="276">
        <v>1.5</v>
      </c>
      <c r="H106" s="197">
        <f>G106*F106*-1</f>
        <v>-1.2000000000000002</v>
      </c>
    </row>
    <row r="107" spans="2:8" s="71" customFormat="1" ht="20.100000000000001" customHeight="1" x14ac:dyDescent="0.25">
      <c r="B107" s="371"/>
      <c r="C107" s="372"/>
      <c r="D107" s="70" t="s">
        <v>65</v>
      </c>
      <c r="E107" s="277" t="s">
        <v>14</v>
      </c>
      <c r="F107" s="276">
        <v>2.1</v>
      </c>
      <c r="G107" s="276">
        <v>0.4</v>
      </c>
      <c r="H107" s="197">
        <f>-2*G107*F107</f>
        <v>-1.6800000000000002</v>
      </c>
    </row>
    <row r="108" spans="2:8" s="71" customFormat="1" ht="20.100000000000001" customHeight="1" x14ac:dyDescent="0.25">
      <c r="B108" s="371"/>
      <c r="C108" s="372"/>
      <c r="D108" s="70" t="s">
        <v>79</v>
      </c>
      <c r="E108" s="277" t="s">
        <v>14</v>
      </c>
      <c r="F108" s="276">
        <f>0.85+0.85+5.26+5.26+1.35+1.35</f>
        <v>14.919999999999998</v>
      </c>
      <c r="G108" s="276">
        <v>1.5</v>
      </c>
      <c r="H108" s="197">
        <f>G108*F108</f>
        <v>22.379999999999995</v>
      </c>
    </row>
    <row r="109" spans="2:8" s="71" customFormat="1" ht="20.100000000000001" customHeight="1" x14ac:dyDescent="0.25">
      <c r="B109" s="371"/>
      <c r="C109" s="372"/>
      <c r="D109" s="70" t="s">
        <v>72</v>
      </c>
      <c r="E109" s="277" t="s">
        <v>14</v>
      </c>
      <c r="F109" s="276">
        <v>0.7</v>
      </c>
      <c r="G109" s="276">
        <v>1.5</v>
      </c>
      <c r="H109" s="197">
        <f>-2*G109*F109</f>
        <v>-2.0999999999999996</v>
      </c>
    </row>
    <row r="110" spans="2:8" s="71" customFormat="1" ht="20.100000000000001" customHeight="1" x14ac:dyDescent="0.25">
      <c r="B110" s="371"/>
      <c r="C110" s="372"/>
      <c r="D110" s="70" t="s">
        <v>80</v>
      </c>
      <c r="E110" s="277" t="s">
        <v>14</v>
      </c>
      <c r="F110" s="276">
        <f>5.9+6.02+5.9+6.02</f>
        <v>23.84</v>
      </c>
      <c r="G110" s="276">
        <v>1.5</v>
      </c>
      <c r="H110" s="197">
        <f>G110*F110</f>
        <v>35.76</v>
      </c>
    </row>
    <row r="111" spans="2:8" s="71" customFormat="1" ht="20.100000000000001" customHeight="1" x14ac:dyDescent="0.25">
      <c r="B111" s="371"/>
      <c r="C111" s="372"/>
      <c r="D111" s="70" t="s">
        <v>51</v>
      </c>
      <c r="E111" s="277" t="s">
        <v>14</v>
      </c>
      <c r="F111" s="276">
        <v>0.8</v>
      </c>
      <c r="G111" s="276">
        <v>1.5</v>
      </c>
      <c r="H111" s="197">
        <f>G111*F111*-1</f>
        <v>-1.2000000000000002</v>
      </c>
    </row>
    <row r="112" spans="2:8" s="71" customFormat="1" ht="20.100000000000001" customHeight="1" x14ac:dyDescent="0.25">
      <c r="B112" s="371"/>
      <c r="C112" s="372"/>
      <c r="D112" s="70" t="s">
        <v>65</v>
      </c>
      <c r="E112" s="277" t="s">
        <v>14</v>
      </c>
      <c r="F112" s="276">
        <v>2</v>
      </c>
      <c r="G112" s="276">
        <v>0.4</v>
      </c>
      <c r="H112" s="197">
        <f>-2*G112*F112</f>
        <v>-1.6</v>
      </c>
    </row>
    <row r="113" spans="2:8" s="71" customFormat="1" ht="20.100000000000001" customHeight="1" x14ac:dyDescent="0.25">
      <c r="B113" s="371"/>
      <c r="C113" s="372"/>
      <c r="D113" s="70" t="s">
        <v>81</v>
      </c>
      <c r="E113" s="277" t="s">
        <v>14</v>
      </c>
      <c r="F113" s="276">
        <f>6.06+6.06+6.33</f>
        <v>18.45</v>
      </c>
      <c r="G113" s="276">
        <v>1.5</v>
      </c>
      <c r="H113" s="197">
        <f>G113*F113</f>
        <v>27.674999999999997</v>
      </c>
    </row>
    <row r="114" spans="2:8" s="71" customFormat="1" ht="20.100000000000001" customHeight="1" x14ac:dyDescent="0.25">
      <c r="B114" s="371"/>
      <c r="C114" s="372"/>
      <c r="D114" s="70" t="s">
        <v>51</v>
      </c>
      <c r="E114" s="277" t="s">
        <v>14</v>
      </c>
      <c r="F114" s="276">
        <v>0.8</v>
      </c>
      <c r="G114" s="276">
        <v>1.5</v>
      </c>
      <c r="H114" s="197">
        <f>G114*F114*-1</f>
        <v>-1.2000000000000002</v>
      </c>
    </row>
    <row r="115" spans="2:8" s="71" customFormat="1" ht="20.100000000000001" customHeight="1" x14ac:dyDescent="0.25">
      <c r="B115" s="371"/>
      <c r="C115" s="372"/>
      <c r="D115" s="70" t="s">
        <v>65</v>
      </c>
      <c r="E115" s="277" t="s">
        <v>14</v>
      </c>
      <c r="F115" s="276">
        <v>2</v>
      </c>
      <c r="G115" s="276">
        <v>0.4</v>
      </c>
      <c r="H115" s="197">
        <f>-2*G115*F115</f>
        <v>-1.6</v>
      </c>
    </row>
    <row r="116" spans="2:8" s="71" customFormat="1" ht="20.100000000000001" customHeight="1" x14ac:dyDescent="0.25">
      <c r="B116" s="371"/>
      <c r="C116" s="372"/>
      <c r="D116" s="70" t="s">
        <v>82</v>
      </c>
      <c r="E116" s="277" t="s">
        <v>14</v>
      </c>
      <c r="F116" s="276">
        <v>10.15</v>
      </c>
      <c r="G116" s="276">
        <v>3.1</v>
      </c>
      <c r="H116" s="197">
        <f>G116*F116</f>
        <v>31.465000000000003</v>
      </c>
    </row>
    <row r="117" spans="2:8" s="71" customFormat="1" ht="20.100000000000001" customHeight="1" x14ac:dyDescent="0.25">
      <c r="B117" s="371"/>
      <c r="C117" s="372"/>
      <c r="D117" s="70" t="s">
        <v>83</v>
      </c>
      <c r="E117" s="277" t="s">
        <v>14</v>
      </c>
      <c r="F117" s="276">
        <v>4.5</v>
      </c>
      <c r="G117" s="276">
        <v>6.94</v>
      </c>
      <c r="H117" s="197">
        <f>G117*F117</f>
        <v>31.23</v>
      </c>
    </row>
    <row r="118" spans="2:8" s="71" customFormat="1" ht="20.100000000000001" customHeight="1" x14ac:dyDescent="0.25">
      <c r="B118" s="371"/>
      <c r="C118" s="372"/>
      <c r="D118" s="70" t="s">
        <v>84</v>
      </c>
      <c r="E118" s="277" t="s">
        <v>14</v>
      </c>
      <c r="F118" s="276">
        <v>4.37</v>
      </c>
      <c r="G118" s="276">
        <v>3.66</v>
      </c>
      <c r="H118" s="197">
        <f t="shared" ref="H118:H128" si="0">G118*F118</f>
        <v>15.994200000000001</v>
      </c>
    </row>
    <row r="119" spans="2:8" s="71" customFormat="1" ht="20.100000000000001" customHeight="1" x14ac:dyDescent="0.25">
      <c r="B119" s="371"/>
      <c r="C119" s="372"/>
      <c r="D119" s="70" t="s">
        <v>85</v>
      </c>
      <c r="E119" s="277" t="s">
        <v>14</v>
      </c>
      <c r="F119" s="276">
        <v>2.98</v>
      </c>
      <c r="G119" s="276">
        <v>6.2</v>
      </c>
      <c r="H119" s="197">
        <f t="shared" si="0"/>
        <v>18.475999999999999</v>
      </c>
    </row>
    <row r="120" spans="2:8" s="71" customFormat="1" ht="20.100000000000001" customHeight="1" x14ac:dyDescent="0.25">
      <c r="B120" s="371"/>
      <c r="C120" s="372"/>
      <c r="D120" s="70" t="s">
        <v>86</v>
      </c>
      <c r="E120" s="277" t="s">
        <v>14</v>
      </c>
      <c r="F120" s="276">
        <v>4.41</v>
      </c>
      <c r="G120" s="276">
        <v>4.2699999999999996</v>
      </c>
      <c r="H120" s="197">
        <f t="shared" si="0"/>
        <v>18.8307</v>
      </c>
    </row>
    <row r="121" spans="2:8" s="71" customFormat="1" ht="20.100000000000001" customHeight="1" x14ac:dyDescent="0.25">
      <c r="B121" s="371"/>
      <c r="C121" s="372"/>
      <c r="D121" s="70" t="s">
        <v>87</v>
      </c>
      <c r="E121" s="277" t="s">
        <v>14</v>
      </c>
      <c r="F121" s="276">
        <v>1.45</v>
      </c>
      <c r="G121" s="276">
        <v>1.8</v>
      </c>
      <c r="H121" s="197">
        <f t="shared" si="0"/>
        <v>2.61</v>
      </c>
    </row>
    <row r="122" spans="2:8" s="71" customFormat="1" ht="20.100000000000001" customHeight="1" x14ac:dyDescent="0.25">
      <c r="B122" s="371"/>
      <c r="C122" s="372"/>
      <c r="D122" s="70" t="s">
        <v>88</v>
      </c>
      <c r="E122" s="277" t="s">
        <v>14</v>
      </c>
      <c r="F122" s="276">
        <v>1.45</v>
      </c>
      <c r="G122" s="276">
        <v>1.8</v>
      </c>
      <c r="H122" s="197">
        <f t="shared" si="0"/>
        <v>2.61</v>
      </c>
    </row>
    <row r="123" spans="2:8" s="71" customFormat="1" ht="20.100000000000001" customHeight="1" x14ac:dyDescent="0.25">
      <c r="B123" s="371"/>
      <c r="C123" s="372"/>
      <c r="D123" s="70" t="s">
        <v>89</v>
      </c>
      <c r="E123" s="277" t="s">
        <v>14</v>
      </c>
      <c r="F123" s="276">
        <v>5.54</v>
      </c>
      <c r="G123" s="276">
        <v>4</v>
      </c>
      <c r="H123" s="197">
        <f t="shared" si="0"/>
        <v>22.16</v>
      </c>
    </row>
    <row r="124" spans="2:8" s="71" customFormat="1" ht="20.100000000000001" customHeight="1" x14ac:dyDescent="0.25">
      <c r="B124" s="371"/>
      <c r="C124" s="372"/>
      <c r="D124" s="70" t="s">
        <v>90</v>
      </c>
      <c r="E124" s="277" t="s">
        <v>14</v>
      </c>
      <c r="F124" s="276">
        <v>1.8</v>
      </c>
      <c r="G124" s="276">
        <v>2.48</v>
      </c>
      <c r="H124" s="197">
        <f t="shared" si="0"/>
        <v>4.4640000000000004</v>
      </c>
    </row>
    <row r="125" spans="2:8" s="71" customFormat="1" ht="20.100000000000001" customHeight="1" x14ac:dyDescent="0.25">
      <c r="B125" s="371"/>
      <c r="C125" s="372"/>
      <c r="D125" s="70" t="s">
        <v>91</v>
      </c>
      <c r="E125" s="277" t="s">
        <v>14</v>
      </c>
      <c r="F125" s="276">
        <v>2.29</v>
      </c>
      <c r="G125" s="276">
        <v>2.48</v>
      </c>
      <c r="H125" s="197">
        <f t="shared" si="0"/>
        <v>5.6791999999999998</v>
      </c>
    </row>
    <row r="126" spans="2:8" s="71" customFormat="1" ht="20.100000000000001" customHeight="1" x14ac:dyDescent="0.25">
      <c r="B126" s="371"/>
      <c r="C126" s="372"/>
      <c r="D126" s="70" t="s">
        <v>92</v>
      </c>
      <c r="E126" s="277" t="s">
        <v>14</v>
      </c>
      <c r="F126" s="276">
        <v>6.55</v>
      </c>
      <c r="G126" s="276">
        <v>4</v>
      </c>
      <c r="H126" s="197">
        <f>G126*F126+(1.5*1)</f>
        <v>27.7</v>
      </c>
    </row>
    <row r="127" spans="2:8" s="71" customFormat="1" ht="20.100000000000001" customHeight="1" x14ac:dyDescent="0.25">
      <c r="B127" s="371"/>
      <c r="C127" s="372"/>
      <c r="D127" s="70" t="s">
        <v>93</v>
      </c>
      <c r="E127" s="277" t="s">
        <v>14</v>
      </c>
      <c r="F127" s="276">
        <v>5.4</v>
      </c>
      <c r="G127" s="276">
        <v>4</v>
      </c>
      <c r="H127" s="197">
        <f t="shared" si="0"/>
        <v>21.6</v>
      </c>
    </row>
    <row r="128" spans="2:8" s="71" customFormat="1" ht="20.100000000000001" customHeight="1" x14ac:dyDescent="0.25">
      <c r="B128" s="371"/>
      <c r="C128" s="372"/>
      <c r="D128" s="70" t="s">
        <v>94</v>
      </c>
      <c r="E128" s="277" t="s">
        <v>14</v>
      </c>
      <c r="F128" s="276">
        <v>2.29</v>
      </c>
      <c r="G128" s="276">
        <v>2.48</v>
      </c>
      <c r="H128" s="197">
        <f t="shared" si="0"/>
        <v>5.6791999999999998</v>
      </c>
    </row>
    <row r="129" spans="2:8" s="221" customFormat="1" ht="20.100000000000001" customHeight="1" x14ac:dyDescent="0.25">
      <c r="B129" s="371"/>
      <c r="C129" s="372"/>
      <c r="D129" s="229" t="s">
        <v>95</v>
      </c>
      <c r="E129" s="222"/>
      <c r="F129" s="393">
        <v>22.62</v>
      </c>
      <c r="G129" s="394"/>
      <c r="H129" s="197">
        <f>F129</f>
        <v>22.62</v>
      </c>
    </row>
    <row r="130" spans="2:8" s="71" customFormat="1" ht="20.100000000000001" customHeight="1" x14ac:dyDescent="0.25">
      <c r="B130" s="371"/>
      <c r="C130" s="372"/>
      <c r="D130" s="229" t="s">
        <v>96</v>
      </c>
      <c r="E130" s="222"/>
      <c r="F130" s="393">
        <v>11.75</v>
      </c>
      <c r="G130" s="394"/>
      <c r="H130" s="197">
        <f>F130</f>
        <v>11.75</v>
      </c>
    </row>
    <row r="131" spans="2:8" s="71" customFormat="1" ht="20.100000000000001" customHeight="1" x14ac:dyDescent="0.25">
      <c r="B131" s="373"/>
      <c r="C131" s="374"/>
      <c r="D131" s="229" t="s">
        <v>97</v>
      </c>
      <c r="E131" s="222"/>
      <c r="F131" s="393">
        <v>13.32</v>
      </c>
      <c r="G131" s="394"/>
      <c r="H131" s="197">
        <f>F131</f>
        <v>13.32</v>
      </c>
    </row>
    <row r="132" spans="2:8" s="71" customFormat="1" ht="20.100000000000001" customHeight="1" x14ac:dyDescent="0.25">
      <c r="B132" s="198" t="s">
        <v>98</v>
      </c>
      <c r="C132" s="207">
        <v>20109</v>
      </c>
      <c r="D132" s="77" t="s">
        <v>99</v>
      </c>
      <c r="E132" s="76" t="s">
        <v>14</v>
      </c>
      <c r="F132" s="298" t="s">
        <v>15</v>
      </c>
      <c r="G132" s="298" t="s">
        <v>100</v>
      </c>
      <c r="H132" s="196">
        <f>SUM(H133:H144)</f>
        <v>339.98309999999992</v>
      </c>
    </row>
    <row r="133" spans="2:8" s="71" customFormat="1" ht="20.100000000000001" customHeight="1" x14ac:dyDescent="0.25">
      <c r="B133" s="369"/>
      <c r="C133" s="370"/>
      <c r="D133" s="70" t="s">
        <v>101</v>
      </c>
      <c r="E133" s="277" t="s">
        <v>14</v>
      </c>
      <c r="F133" s="28">
        <v>14.98</v>
      </c>
      <c r="G133" s="276">
        <f>5.26+1.6</f>
        <v>6.8599999999999994</v>
      </c>
      <c r="H133" s="197">
        <f>G133*F133</f>
        <v>102.7628</v>
      </c>
    </row>
    <row r="134" spans="2:8" s="71" customFormat="1" ht="20.100000000000001" customHeight="1" x14ac:dyDescent="0.25">
      <c r="B134" s="371"/>
      <c r="C134" s="372"/>
      <c r="D134" s="70" t="s">
        <v>102</v>
      </c>
      <c r="E134" s="277" t="s">
        <v>14</v>
      </c>
      <c r="F134" s="276">
        <v>3.8</v>
      </c>
      <c r="G134" s="276">
        <v>0.62</v>
      </c>
      <c r="H134" s="197">
        <f t="shared" ref="H134:H144" si="1">G134*F134</f>
        <v>2.3559999999999999</v>
      </c>
    </row>
    <row r="135" spans="2:8" s="71" customFormat="1" ht="20.100000000000001" customHeight="1" x14ac:dyDescent="0.25">
      <c r="B135" s="371"/>
      <c r="C135" s="372"/>
      <c r="D135" s="70" t="s">
        <v>103</v>
      </c>
      <c r="E135" s="277" t="s">
        <v>14</v>
      </c>
      <c r="F135" s="276">
        <v>8.69</v>
      </c>
      <c r="G135" s="276">
        <v>1.49</v>
      </c>
      <c r="H135" s="197">
        <f>G135*F135+ (0.49*4.58)</f>
        <v>15.192299999999999</v>
      </c>
    </row>
    <row r="136" spans="2:8" s="71" customFormat="1" ht="20.100000000000001" customHeight="1" x14ac:dyDescent="0.25">
      <c r="B136" s="371"/>
      <c r="C136" s="372"/>
      <c r="D136" s="70" t="s">
        <v>104</v>
      </c>
      <c r="E136" s="277" t="s">
        <v>14</v>
      </c>
      <c r="F136" s="276">
        <v>1</v>
      </c>
      <c r="G136" s="276">
        <v>19.059999999999999</v>
      </c>
      <c r="H136" s="197">
        <f t="shared" si="1"/>
        <v>19.059999999999999</v>
      </c>
    </row>
    <row r="137" spans="2:8" s="71" customFormat="1" ht="20.100000000000001" customHeight="1" x14ac:dyDescent="0.25">
      <c r="B137" s="371"/>
      <c r="C137" s="372"/>
      <c r="D137" s="70" t="s">
        <v>105</v>
      </c>
      <c r="E137" s="277" t="s">
        <v>14</v>
      </c>
      <c r="F137" s="276">
        <v>7.3</v>
      </c>
      <c r="G137" s="276">
        <v>14.64</v>
      </c>
      <c r="H137" s="197">
        <f t="shared" si="1"/>
        <v>106.872</v>
      </c>
    </row>
    <row r="138" spans="2:8" s="71" customFormat="1" ht="20.100000000000001" customHeight="1" x14ac:dyDescent="0.25">
      <c r="B138" s="371"/>
      <c r="C138" s="372"/>
      <c r="D138" s="70" t="s">
        <v>106</v>
      </c>
      <c r="E138" s="277" t="s">
        <v>14</v>
      </c>
      <c r="F138" s="276">
        <v>33.61</v>
      </c>
      <c r="G138" s="276">
        <v>0.8</v>
      </c>
      <c r="H138" s="197">
        <f t="shared" si="1"/>
        <v>26.888000000000002</v>
      </c>
    </row>
    <row r="139" spans="2:8" s="71" customFormat="1" ht="20.100000000000001" customHeight="1" x14ac:dyDescent="0.25">
      <c r="B139" s="371"/>
      <c r="C139" s="372"/>
      <c r="D139" s="70" t="s">
        <v>107</v>
      </c>
      <c r="E139" s="277" t="s">
        <v>14</v>
      </c>
      <c r="F139" s="276">
        <v>24.89</v>
      </c>
      <c r="G139" s="276">
        <v>0.8</v>
      </c>
      <c r="H139" s="197">
        <f t="shared" si="1"/>
        <v>19.912000000000003</v>
      </c>
    </row>
    <row r="140" spans="2:8" s="71" customFormat="1" ht="20.100000000000001" customHeight="1" x14ac:dyDescent="0.25">
      <c r="B140" s="371"/>
      <c r="C140" s="372"/>
      <c r="D140" s="70" t="s">
        <v>108</v>
      </c>
      <c r="E140" s="277" t="s">
        <v>14</v>
      </c>
      <c r="F140" s="276">
        <f>11.26+0.6</f>
        <v>11.86</v>
      </c>
      <c r="G140" s="276">
        <v>0.8</v>
      </c>
      <c r="H140" s="197">
        <f t="shared" si="1"/>
        <v>9.4879999999999995</v>
      </c>
    </row>
    <row r="141" spans="2:8" s="71" customFormat="1" ht="20.100000000000001" customHeight="1" x14ac:dyDescent="0.25">
      <c r="B141" s="371"/>
      <c r="C141" s="372"/>
      <c r="D141" s="70" t="s">
        <v>109</v>
      </c>
      <c r="E141" s="277" t="s">
        <v>14</v>
      </c>
      <c r="F141" s="276">
        <v>6.45</v>
      </c>
      <c r="G141" s="276">
        <v>0.8</v>
      </c>
      <c r="H141" s="197">
        <f>G141*F141+(0.77*0.6*2)</f>
        <v>6.0839999999999996</v>
      </c>
    </row>
    <row r="142" spans="2:8" s="71" customFormat="1" ht="20.100000000000001" customHeight="1" x14ac:dyDescent="0.25">
      <c r="B142" s="371"/>
      <c r="C142" s="372"/>
      <c r="D142" s="70" t="s">
        <v>110</v>
      </c>
      <c r="E142" s="277" t="s">
        <v>14</v>
      </c>
      <c r="F142" s="276">
        <v>17.04</v>
      </c>
      <c r="G142" s="276">
        <v>0.8</v>
      </c>
      <c r="H142" s="197">
        <f t="shared" si="1"/>
        <v>13.632</v>
      </c>
    </row>
    <row r="143" spans="2:8" s="71" customFormat="1" ht="20.100000000000001" customHeight="1" x14ac:dyDescent="0.25">
      <c r="B143" s="371"/>
      <c r="C143" s="372"/>
      <c r="D143" s="70" t="s">
        <v>111</v>
      </c>
      <c r="E143" s="277" t="s">
        <v>14</v>
      </c>
      <c r="F143" s="276">
        <v>5.48</v>
      </c>
      <c r="G143" s="276">
        <v>0.8</v>
      </c>
      <c r="H143" s="197">
        <f t="shared" si="1"/>
        <v>4.3840000000000003</v>
      </c>
    </row>
    <row r="144" spans="2:8" s="71" customFormat="1" ht="20.100000000000001" customHeight="1" x14ac:dyDescent="0.25">
      <c r="B144" s="373"/>
      <c r="C144" s="374"/>
      <c r="D144" s="70" t="s">
        <v>112</v>
      </c>
      <c r="E144" s="277" t="s">
        <v>14</v>
      </c>
      <c r="F144" s="276">
        <v>16.690000000000001</v>
      </c>
      <c r="G144" s="276">
        <v>0.8</v>
      </c>
      <c r="H144" s="197">
        <f t="shared" si="1"/>
        <v>13.352000000000002</v>
      </c>
    </row>
    <row r="145" spans="2:8" s="71" customFormat="1" ht="20.100000000000001" customHeight="1" x14ac:dyDescent="0.25">
      <c r="B145" s="198" t="s">
        <v>113</v>
      </c>
      <c r="C145" s="108">
        <v>20115</v>
      </c>
      <c r="D145" s="77" t="s">
        <v>114</v>
      </c>
      <c r="E145" s="76" t="s">
        <v>14</v>
      </c>
      <c r="F145" s="298" t="s">
        <v>15</v>
      </c>
      <c r="G145" s="298" t="s">
        <v>115</v>
      </c>
      <c r="H145" s="199">
        <f>SUM(H146:H161)</f>
        <v>96.816699999999997</v>
      </c>
    </row>
    <row r="146" spans="2:8" s="71" customFormat="1" ht="20.100000000000001" customHeight="1" x14ac:dyDescent="0.25">
      <c r="B146" s="358"/>
      <c r="C146" s="164"/>
      <c r="D146" s="70" t="s">
        <v>116</v>
      </c>
      <c r="E146" s="277" t="s">
        <v>14</v>
      </c>
      <c r="F146" s="276">
        <f>3.8+4+3.8</f>
        <v>11.6</v>
      </c>
      <c r="G146" s="276">
        <v>1.65</v>
      </c>
      <c r="H146" s="197">
        <f>G146*F146</f>
        <v>19.139999999999997</v>
      </c>
    </row>
    <row r="147" spans="2:8" s="71" customFormat="1" ht="20.100000000000001" customHeight="1" x14ac:dyDescent="0.25">
      <c r="B147" s="200"/>
      <c r="C147" s="163"/>
      <c r="D147" s="70" t="s">
        <v>20</v>
      </c>
      <c r="E147" s="277" t="s">
        <v>14</v>
      </c>
      <c r="F147" s="276">
        <v>0.8</v>
      </c>
      <c r="G147" s="276">
        <v>2.1</v>
      </c>
      <c r="H147" s="197">
        <f>G147*F147*-1</f>
        <v>-1.6800000000000002</v>
      </c>
    </row>
    <row r="148" spans="2:8" s="71" customFormat="1" ht="20.100000000000001" customHeight="1" x14ac:dyDescent="0.25">
      <c r="B148" s="200"/>
      <c r="C148" s="163"/>
      <c r="D148" s="70" t="s">
        <v>117</v>
      </c>
      <c r="E148" s="277" t="s">
        <v>14</v>
      </c>
      <c r="F148" s="276">
        <f>5.94+6+6+5.94</f>
        <v>23.880000000000003</v>
      </c>
      <c r="G148" s="276">
        <v>1.65</v>
      </c>
      <c r="H148" s="197">
        <f>G148*F148</f>
        <v>39.402000000000001</v>
      </c>
    </row>
    <row r="149" spans="2:8" s="71" customFormat="1" ht="20.100000000000001" customHeight="1" x14ac:dyDescent="0.25">
      <c r="B149" s="200"/>
      <c r="C149" s="163"/>
      <c r="D149" s="70" t="s">
        <v>30</v>
      </c>
      <c r="E149" s="277" t="s">
        <v>14</v>
      </c>
      <c r="F149" s="276">
        <v>0.8</v>
      </c>
      <c r="G149" s="276">
        <v>1.65</v>
      </c>
      <c r="H149" s="197">
        <f>G149*F149*-3</f>
        <v>-3.96</v>
      </c>
    </row>
    <row r="150" spans="2:8" s="71" customFormat="1" ht="20.100000000000001" customHeight="1" x14ac:dyDescent="0.25">
      <c r="B150" s="200"/>
      <c r="C150" s="163"/>
      <c r="D150" s="70" t="s">
        <v>118</v>
      </c>
      <c r="E150" s="277" t="s">
        <v>14</v>
      </c>
      <c r="F150" s="276">
        <v>1.55</v>
      </c>
      <c r="G150" s="276">
        <v>0.75</v>
      </c>
      <c r="H150" s="197">
        <f>G150*F150*-1</f>
        <v>-1.1625000000000001</v>
      </c>
    </row>
    <row r="151" spans="2:8" s="71" customFormat="1" ht="20.100000000000001" customHeight="1" x14ac:dyDescent="0.25">
      <c r="B151" s="200"/>
      <c r="C151" s="163"/>
      <c r="D151" s="70" t="s">
        <v>119</v>
      </c>
      <c r="E151" s="277" t="s">
        <v>14</v>
      </c>
      <c r="F151" s="276">
        <v>1.5</v>
      </c>
      <c r="G151" s="276">
        <v>1</v>
      </c>
      <c r="H151" s="197">
        <f>G151*F151*-3</f>
        <v>-4.5</v>
      </c>
    </row>
    <row r="152" spans="2:8" s="71" customFormat="1" ht="20.100000000000001" customHeight="1" x14ac:dyDescent="0.25">
      <c r="B152" s="200"/>
      <c r="C152" s="163"/>
      <c r="D152" s="70" t="s">
        <v>120</v>
      </c>
      <c r="E152" s="277" t="s">
        <v>14</v>
      </c>
      <c r="F152" s="276">
        <f>2.86+2.06+2.86+2.06</f>
        <v>9.84</v>
      </c>
      <c r="G152" s="276">
        <f>(3.55+2.8)/2 - 1</f>
        <v>2.1749999999999998</v>
      </c>
      <c r="H152" s="197">
        <f>G152*F152</f>
        <v>21.401999999999997</v>
      </c>
    </row>
    <row r="153" spans="2:8" s="71" customFormat="1" ht="20.100000000000001" customHeight="1" x14ac:dyDescent="0.25">
      <c r="B153" s="203"/>
      <c r="C153" s="165"/>
      <c r="D153" s="70" t="s">
        <v>20</v>
      </c>
      <c r="E153" s="277" t="s">
        <v>14</v>
      </c>
      <c r="F153" s="276">
        <v>0.8</v>
      </c>
      <c r="G153" s="276">
        <v>2.1</v>
      </c>
      <c r="H153" s="197">
        <f>G153*F153*-1</f>
        <v>-1.6800000000000002</v>
      </c>
    </row>
    <row r="154" spans="2:8" s="71" customFormat="1" ht="20.100000000000001" customHeight="1" x14ac:dyDescent="0.25">
      <c r="B154" s="200"/>
      <c r="C154" s="163"/>
      <c r="D154" s="70" t="s">
        <v>121</v>
      </c>
      <c r="E154" s="277" t="s">
        <v>14</v>
      </c>
      <c r="F154" s="276">
        <f>1.4+1.8+1.4+1.8</f>
        <v>6.3999999999999995</v>
      </c>
      <c r="G154" s="276">
        <v>1.68</v>
      </c>
      <c r="H154" s="197">
        <f>G154*F154</f>
        <v>10.751999999999999</v>
      </c>
    </row>
    <row r="155" spans="2:8" s="71" customFormat="1" ht="20.100000000000001" customHeight="1" x14ac:dyDescent="0.25">
      <c r="B155" s="200"/>
      <c r="C155" s="163"/>
      <c r="D155" s="70" t="s">
        <v>23</v>
      </c>
      <c r="E155" s="277" t="s">
        <v>14</v>
      </c>
      <c r="F155" s="276">
        <v>0.8</v>
      </c>
      <c r="G155" s="276">
        <v>1.68</v>
      </c>
      <c r="H155" s="197">
        <f>G155*F155*-1</f>
        <v>-1.3440000000000001</v>
      </c>
    </row>
    <row r="156" spans="2:8" s="71" customFormat="1" ht="20.100000000000001" customHeight="1" x14ac:dyDescent="0.25">
      <c r="B156" s="200"/>
      <c r="C156" s="163"/>
      <c r="D156" s="70" t="s">
        <v>122</v>
      </c>
      <c r="E156" s="277" t="s">
        <v>14</v>
      </c>
      <c r="F156" s="276">
        <v>0.8</v>
      </c>
      <c r="G156" s="276">
        <v>0.47</v>
      </c>
      <c r="H156" s="197">
        <f>G156*F156*-1</f>
        <v>-0.376</v>
      </c>
    </row>
    <row r="157" spans="2:8" s="71" customFormat="1" ht="20.100000000000001" customHeight="1" x14ac:dyDescent="0.25">
      <c r="B157" s="200"/>
      <c r="C157" s="163"/>
      <c r="D157" s="70" t="s">
        <v>123</v>
      </c>
      <c r="E157" s="277" t="s">
        <v>14</v>
      </c>
      <c r="F157" s="276">
        <f>1.47+1.8+1.47+1.8</f>
        <v>6.54</v>
      </c>
      <c r="G157" s="276">
        <v>1.68</v>
      </c>
      <c r="H157" s="197">
        <f>G157*F157</f>
        <v>10.9872</v>
      </c>
    </row>
    <row r="158" spans="2:8" s="71" customFormat="1" ht="20.100000000000001" customHeight="1" x14ac:dyDescent="0.25">
      <c r="B158" s="200"/>
      <c r="C158" s="163"/>
      <c r="D158" s="70" t="s">
        <v>23</v>
      </c>
      <c r="E158" s="277" t="s">
        <v>14</v>
      </c>
      <c r="F158" s="276">
        <v>0.8</v>
      </c>
      <c r="G158" s="276">
        <v>1.68</v>
      </c>
      <c r="H158" s="197">
        <f>G158*F158*-1</f>
        <v>-1.3440000000000001</v>
      </c>
    </row>
    <row r="159" spans="2:8" s="71" customFormat="1" ht="20.100000000000001" customHeight="1" x14ac:dyDescent="0.25">
      <c r="B159" s="200"/>
      <c r="C159" s="163"/>
      <c r="D159" s="70" t="s">
        <v>122</v>
      </c>
      <c r="E159" s="277" t="s">
        <v>14</v>
      </c>
      <c r="F159" s="276">
        <v>0.8</v>
      </c>
      <c r="G159" s="276">
        <v>0.47</v>
      </c>
      <c r="H159" s="197">
        <f>G159*F159*-1</f>
        <v>-0.376</v>
      </c>
    </row>
    <row r="160" spans="2:8" s="71" customFormat="1" ht="20.100000000000001" customHeight="1" x14ac:dyDescent="0.25">
      <c r="B160" s="301"/>
      <c r="C160" s="28"/>
      <c r="D160" s="70" t="s">
        <v>124</v>
      </c>
      <c r="E160" s="277"/>
      <c r="F160" s="276">
        <f>1.8+1.8+2.5+2.5</f>
        <v>8.6</v>
      </c>
      <c r="G160" s="276">
        <v>1.5</v>
      </c>
      <c r="H160" s="197">
        <f>G160*F160</f>
        <v>12.899999999999999</v>
      </c>
    </row>
    <row r="161" spans="2:8" s="71" customFormat="1" ht="20.100000000000001" customHeight="1" x14ac:dyDescent="0.25">
      <c r="B161" s="301"/>
      <c r="C161" s="28"/>
      <c r="D161" s="70" t="s">
        <v>23</v>
      </c>
      <c r="E161" s="277" t="s">
        <v>14</v>
      </c>
      <c r="F161" s="276">
        <v>0.8</v>
      </c>
      <c r="G161" s="276">
        <v>1.68</v>
      </c>
      <c r="H161" s="197">
        <f>G161*F161*-1</f>
        <v>-1.3440000000000001</v>
      </c>
    </row>
    <row r="162" spans="2:8" s="71" customFormat="1" ht="20.100000000000001" customHeight="1" x14ac:dyDescent="0.25">
      <c r="B162" s="198" t="s">
        <v>125</v>
      </c>
      <c r="C162" s="107">
        <v>20111</v>
      </c>
      <c r="D162" s="77" t="s">
        <v>126</v>
      </c>
      <c r="E162" s="76" t="s">
        <v>14</v>
      </c>
      <c r="F162" s="298" t="s">
        <v>15</v>
      </c>
      <c r="G162" s="298" t="s">
        <v>127</v>
      </c>
      <c r="H162" s="196">
        <f>SUM(H163:H166)</f>
        <v>117.03999999999999</v>
      </c>
    </row>
    <row r="163" spans="2:8" s="71" customFormat="1" ht="20.100000000000001" customHeight="1" x14ac:dyDescent="0.25">
      <c r="B163" s="369"/>
      <c r="C163" s="370"/>
      <c r="D163" s="70" t="s">
        <v>117</v>
      </c>
      <c r="E163" s="277" t="s">
        <v>14</v>
      </c>
      <c r="F163" s="276">
        <v>6</v>
      </c>
      <c r="G163" s="276">
        <v>5.99</v>
      </c>
      <c r="H163" s="197">
        <f>G163*F163</f>
        <v>35.94</v>
      </c>
    </row>
    <row r="164" spans="2:8" s="71" customFormat="1" ht="20.100000000000001" customHeight="1" x14ac:dyDescent="0.25">
      <c r="B164" s="371"/>
      <c r="C164" s="372"/>
      <c r="D164" s="70" t="s">
        <v>128</v>
      </c>
      <c r="E164" s="277" t="s">
        <v>14</v>
      </c>
      <c r="F164" s="276">
        <v>6</v>
      </c>
      <c r="G164" s="276">
        <v>9.5299999999999994</v>
      </c>
      <c r="H164" s="197">
        <f>G164*F164</f>
        <v>57.179999999999993</v>
      </c>
    </row>
    <row r="165" spans="2:8" s="71" customFormat="1" ht="20.100000000000001" customHeight="1" x14ac:dyDescent="0.25">
      <c r="B165" s="371"/>
      <c r="C165" s="372"/>
      <c r="D165" s="70" t="s">
        <v>129</v>
      </c>
      <c r="E165" s="277" t="s">
        <v>14</v>
      </c>
      <c r="F165" s="276">
        <v>2.2000000000000002</v>
      </c>
      <c r="G165" s="276">
        <v>4</v>
      </c>
      <c r="H165" s="197">
        <f>G165*F165</f>
        <v>8.8000000000000007</v>
      </c>
    </row>
    <row r="166" spans="2:8" s="71" customFormat="1" ht="20.100000000000001" customHeight="1" x14ac:dyDescent="0.25">
      <c r="B166" s="373"/>
      <c r="C166" s="374"/>
      <c r="D166" s="70" t="s">
        <v>116</v>
      </c>
      <c r="E166" s="277" t="s">
        <v>14</v>
      </c>
      <c r="F166" s="276">
        <v>3.78</v>
      </c>
      <c r="G166" s="276">
        <v>4</v>
      </c>
      <c r="H166" s="197">
        <f>G166*F166</f>
        <v>15.12</v>
      </c>
    </row>
    <row r="167" spans="2:8" s="71" customFormat="1" ht="36.75" customHeight="1" x14ac:dyDescent="0.25">
      <c r="B167" s="198" t="s">
        <v>130</v>
      </c>
      <c r="C167" s="107">
        <v>20147</v>
      </c>
      <c r="D167" s="77" t="s">
        <v>131</v>
      </c>
      <c r="E167" s="76" t="s">
        <v>14</v>
      </c>
      <c r="F167" s="298" t="s">
        <v>15</v>
      </c>
      <c r="G167" s="298" t="s">
        <v>100</v>
      </c>
      <c r="H167" s="199">
        <f>SUM(H168:H174)</f>
        <v>171.53399999999999</v>
      </c>
    </row>
    <row r="168" spans="2:8" s="71" customFormat="1" ht="20.100000000000001" customHeight="1" x14ac:dyDescent="0.25">
      <c r="B168" s="371"/>
      <c r="C168" s="415"/>
      <c r="D168" s="70" t="s">
        <v>117</v>
      </c>
      <c r="E168" s="277" t="s">
        <v>14</v>
      </c>
      <c r="F168" s="276">
        <v>6</v>
      </c>
      <c r="G168" s="276">
        <v>5.99</v>
      </c>
      <c r="H168" s="197">
        <f>G168*F168</f>
        <v>35.94</v>
      </c>
    </row>
    <row r="169" spans="2:8" s="71" customFormat="1" ht="20.100000000000001" customHeight="1" x14ac:dyDescent="0.25">
      <c r="B169" s="371"/>
      <c r="C169" s="415"/>
      <c r="D169" s="70" t="s">
        <v>128</v>
      </c>
      <c r="E169" s="277" t="s">
        <v>14</v>
      </c>
      <c r="F169" s="276">
        <v>6</v>
      </c>
      <c r="G169" s="276">
        <v>9.5299999999999994</v>
      </c>
      <c r="H169" s="197">
        <f>G169*F169</f>
        <v>57.179999999999993</v>
      </c>
    </row>
    <row r="170" spans="2:8" s="71" customFormat="1" ht="20.100000000000001" customHeight="1" x14ac:dyDescent="0.25">
      <c r="B170" s="371"/>
      <c r="C170" s="415"/>
      <c r="D170" s="70" t="s">
        <v>129</v>
      </c>
      <c r="E170" s="277" t="s">
        <v>14</v>
      </c>
      <c r="F170" s="276">
        <v>2.2000000000000002</v>
      </c>
      <c r="G170" s="276">
        <v>4</v>
      </c>
      <c r="H170" s="197">
        <f>G170*F170</f>
        <v>8.8000000000000007</v>
      </c>
    </row>
    <row r="171" spans="2:8" s="71" customFormat="1" ht="20.100000000000001" customHeight="1" x14ac:dyDescent="0.25">
      <c r="B171" s="301"/>
      <c r="C171" s="28"/>
      <c r="D171" s="70" t="s">
        <v>132</v>
      </c>
      <c r="E171" s="277" t="s">
        <v>14</v>
      </c>
      <c r="F171" s="276">
        <v>10.4</v>
      </c>
      <c r="G171" s="276">
        <v>4.68</v>
      </c>
      <c r="H171" s="197">
        <f t="shared" ref="H171:H174" si="2">G171*F171</f>
        <v>48.671999999999997</v>
      </c>
    </row>
    <row r="172" spans="2:8" s="71" customFormat="1" ht="20.100000000000001" customHeight="1" x14ac:dyDescent="0.25">
      <c r="B172" s="301"/>
      <c r="C172" s="28"/>
      <c r="D172" s="70" t="s">
        <v>133</v>
      </c>
      <c r="E172" s="277" t="s">
        <v>14</v>
      </c>
      <c r="F172" s="276">
        <v>3.65</v>
      </c>
      <c r="G172" s="276">
        <v>4</v>
      </c>
      <c r="H172" s="197">
        <f t="shared" si="2"/>
        <v>14.6</v>
      </c>
    </row>
    <row r="173" spans="2:8" s="71" customFormat="1" ht="20.100000000000001" customHeight="1" x14ac:dyDescent="0.25">
      <c r="B173" s="301"/>
      <c r="C173" s="28"/>
      <c r="D173" s="70" t="s">
        <v>134</v>
      </c>
      <c r="E173" s="277" t="s">
        <v>14</v>
      </c>
      <c r="F173" s="276">
        <v>1.4</v>
      </c>
      <c r="G173" s="276">
        <v>1.8</v>
      </c>
      <c r="H173" s="197">
        <f t="shared" si="2"/>
        <v>2.52</v>
      </c>
    </row>
    <row r="174" spans="2:8" s="71" customFormat="1" ht="20.100000000000001" customHeight="1" x14ac:dyDescent="0.25">
      <c r="B174" s="301"/>
      <c r="C174" s="28"/>
      <c r="D174" s="70" t="s">
        <v>135</v>
      </c>
      <c r="E174" s="277" t="s">
        <v>14</v>
      </c>
      <c r="F174" s="276">
        <v>1.4</v>
      </c>
      <c r="G174" s="276">
        <v>2.73</v>
      </c>
      <c r="H174" s="197">
        <f t="shared" si="2"/>
        <v>3.8219999999999996</v>
      </c>
    </row>
    <row r="175" spans="2:8" s="71" customFormat="1" ht="20.100000000000001" customHeight="1" x14ac:dyDescent="0.25">
      <c r="B175" s="198" t="s">
        <v>136</v>
      </c>
      <c r="C175" s="107">
        <v>20106</v>
      </c>
      <c r="D175" s="77" t="s">
        <v>137</v>
      </c>
      <c r="E175" s="304" t="s">
        <v>14</v>
      </c>
      <c r="F175" s="298" t="s">
        <v>15</v>
      </c>
      <c r="G175" s="298" t="s">
        <v>16</v>
      </c>
      <c r="H175" s="199">
        <f>SUM(H176:H186)</f>
        <v>22.76</v>
      </c>
    </row>
    <row r="176" spans="2:8" s="71" customFormat="1" ht="20.100000000000001" customHeight="1" x14ac:dyDescent="0.25">
      <c r="B176" s="369"/>
      <c r="C176" s="370"/>
      <c r="D176" s="70" t="s">
        <v>138</v>
      </c>
      <c r="E176" s="277" t="s">
        <v>14</v>
      </c>
      <c r="F176" s="276">
        <v>0.8</v>
      </c>
      <c r="G176" s="276">
        <v>2.1</v>
      </c>
      <c r="H176" s="197">
        <f t="shared" ref="H176:H183" si="3">G176*F176</f>
        <v>1.6800000000000002</v>
      </c>
    </row>
    <row r="177" spans="2:8" s="71" customFormat="1" ht="20.100000000000001" customHeight="1" x14ac:dyDescent="0.25">
      <c r="B177" s="371"/>
      <c r="C177" s="372"/>
      <c r="D177" s="70" t="s">
        <v>139</v>
      </c>
      <c r="E177" s="277" t="s">
        <v>14</v>
      </c>
      <c r="F177" s="276">
        <v>0.7</v>
      </c>
      <c r="G177" s="276">
        <v>2.1</v>
      </c>
      <c r="H177" s="197">
        <f t="shared" si="3"/>
        <v>1.47</v>
      </c>
    </row>
    <row r="178" spans="2:8" s="71" customFormat="1" ht="20.100000000000001" customHeight="1" x14ac:dyDescent="0.25">
      <c r="B178" s="371"/>
      <c r="C178" s="372"/>
      <c r="D178" s="70" t="s">
        <v>140</v>
      </c>
      <c r="E178" s="277" t="s">
        <v>14</v>
      </c>
      <c r="F178" s="276">
        <v>0.7</v>
      </c>
      <c r="G178" s="276">
        <v>2.1</v>
      </c>
      <c r="H178" s="197">
        <f t="shared" si="3"/>
        <v>1.47</v>
      </c>
    </row>
    <row r="179" spans="2:8" s="71" customFormat="1" ht="20.100000000000001" customHeight="1" x14ac:dyDescent="0.25">
      <c r="B179" s="371"/>
      <c r="C179" s="372"/>
      <c r="D179" s="70" t="s">
        <v>141</v>
      </c>
      <c r="E179" s="277" t="s">
        <v>14</v>
      </c>
      <c r="F179" s="276">
        <v>0.8</v>
      </c>
      <c r="G179" s="276">
        <v>2.1</v>
      </c>
      <c r="H179" s="197">
        <f t="shared" si="3"/>
        <v>1.6800000000000002</v>
      </c>
    </row>
    <row r="180" spans="2:8" s="71" customFormat="1" ht="20.100000000000001" customHeight="1" x14ac:dyDescent="0.25">
      <c r="B180" s="371"/>
      <c r="C180" s="372"/>
      <c r="D180" s="70" t="s">
        <v>142</v>
      </c>
      <c r="E180" s="277" t="s">
        <v>14</v>
      </c>
      <c r="F180" s="276">
        <v>0.8</v>
      </c>
      <c r="G180" s="276">
        <v>2.1</v>
      </c>
      <c r="H180" s="197">
        <f t="shared" si="3"/>
        <v>1.6800000000000002</v>
      </c>
    </row>
    <row r="181" spans="2:8" s="71" customFormat="1" ht="20.100000000000001" customHeight="1" x14ac:dyDescent="0.25">
      <c r="B181" s="371"/>
      <c r="C181" s="372"/>
      <c r="D181" s="70" t="s">
        <v>143</v>
      </c>
      <c r="E181" s="277" t="s">
        <v>14</v>
      </c>
      <c r="F181" s="276">
        <v>0.7</v>
      </c>
      <c r="G181" s="276">
        <v>2.1</v>
      </c>
      <c r="H181" s="197">
        <f t="shared" si="3"/>
        <v>1.47</v>
      </c>
    </row>
    <row r="182" spans="2:8" s="71" customFormat="1" ht="20.100000000000001" customHeight="1" x14ac:dyDescent="0.25">
      <c r="B182" s="371"/>
      <c r="C182" s="372"/>
      <c r="D182" s="70" t="s">
        <v>144</v>
      </c>
      <c r="E182" s="277" t="s">
        <v>14</v>
      </c>
      <c r="F182" s="276">
        <v>0.7</v>
      </c>
      <c r="G182" s="276">
        <v>2.1</v>
      </c>
      <c r="H182" s="197">
        <f t="shared" si="3"/>
        <v>1.47</v>
      </c>
    </row>
    <row r="183" spans="2:8" s="71" customFormat="1" ht="20.100000000000001" customHeight="1" x14ac:dyDescent="0.25">
      <c r="B183" s="371"/>
      <c r="C183" s="372"/>
      <c r="D183" s="70" t="s">
        <v>145</v>
      </c>
      <c r="E183" s="277" t="s">
        <v>14</v>
      </c>
      <c r="F183" s="276">
        <v>2</v>
      </c>
      <c r="G183" s="276">
        <v>2.15</v>
      </c>
      <c r="H183" s="197">
        <f t="shared" si="3"/>
        <v>4.3</v>
      </c>
    </row>
    <row r="184" spans="2:8" s="71" customFormat="1" ht="20.100000000000001" customHeight="1" x14ac:dyDescent="0.25">
      <c r="B184" s="371"/>
      <c r="C184" s="372"/>
      <c r="D184" s="70" t="s">
        <v>146</v>
      </c>
      <c r="E184" s="277" t="s">
        <v>14</v>
      </c>
      <c r="F184" s="276">
        <v>2</v>
      </c>
      <c r="G184" s="276">
        <v>1</v>
      </c>
      <c r="H184" s="197">
        <f>G184*F184*2</f>
        <v>4</v>
      </c>
    </row>
    <row r="185" spans="2:8" s="71" customFormat="1" ht="20.100000000000001" customHeight="1" x14ac:dyDescent="0.25">
      <c r="B185" s="371"/>
      <c r="C185" s="372"/>
      <c r="D185" s="70" t="s">
        <v>147</v>
      </c>
      <c r="E185" s="277" t="s">
        <v>14</v>
      </c>
      <c r="F185" s="276">
        <v>1.5</v>
      </c>
      <c r="G185" s="276">
        <v>1.1000000000000001</v>
      </c>
      <c r="H185" s="197">
        <f>G185*F185</f>
        <v>1.6500000000000001</v>
      </c>
    </row>
    <row r="186" spans="2:8" s="71" customFormat="1" ht="20.100000000000001" customHeight="1" x14ac:dyDescent="0.25">
      <c r="B186" s="373"/>
      <c r="C186" s="374"/>
      <c r="D186" s="70" t="s">
        <v>148</v>
      </c>
      <c r="E186" s="277" t="s">
        <v>14</v>
      </c>
      <c r="F186" s="276">
        <v>0.9</v>
      </c>
      <c r="G186" s="276">
        <v>2.1</v>
      </c>
      <c r="H186" s="197">
        <f>G186*F186</f>
        <v>1.8900000000000001</v>
      </c>
    </row>
    <row r="187" spans="2:8" s="71" customFormat="1" ht="20.100000000000001" customHeight="1" x14ac:dyDescent="0.25">
      <c r="B187" s="198" t="s">
        <v>149</v>
      </c>
      <c r="C187" s="108">
        <v>20151</v>
      </c>
      <c r="D187" s="77" t="s">
        <v>150</v>
      </c>
      <c r="E187" s="76" t="s">
        <v>14</v>
      </c>
      <c r="F187" s="298" t="s">
        <v>15</v>
      </c>
      <c r="G187" s="298" t="s">
        <v>16</v>
      </c>
      <c r="H187" s="199">
        <f>SUM(H188:H189)</f>
        <v>7.5600000000000005</v>
      </c>
    </row>
    <row r="188" spans="2:8" s="71" customFormat="1" ht="20.100000000000001" customHeight="1" x14ac:dyDescent="0.25">
      <c r="B188" s="369"/>
      <c r="C188" s="370"/>
      <c r="D188" s="70" t="s">
        <v>151</v>
      </c>
      <c r="E188" s="277" t="s">
        <v>14</v>
      </c>
      <c r="F188" s="276">
        <v>1.2</v>
      </c>
      <c r="G188" s="276">
        <v>1.8</v>
      </c>
      <c r="H188" s="197">
        <f>G188*F188+(3*0.3*1.8)</f>
        <v>3.7800000000000002</v>
      </c>
    </row>
    <row r="189" spans="2:8" s="71" customFormat="1" ht="20.100000000000001" customHeight="1" x14ac:dyDescent="0.25">
      <c r="B189" s="373"/>
      <c r="C189" s="374"/>
      <c r="D189" s="70" t="s">
        <v>152</v>
      </c>
      <c r="E189" s="277" t="s">
        <v>14</v>
      </c>
      <c r="F189" s="276">
        <v>1.2</v>
      </c>
      <c r="G189" s="276">
        <v>1.8</v>
      </c>
      <c r="H189" s="197">
        <f>G189*F189+(3*0.3*1.8)</f>
        <v>3.7800000000000002</v>
      </c>
    </row>
    <row r="190" spans="2:8" s="71" customFormat="1" ht="20.100000000000001" customHeight="1" x14ac:dyDescent="0.25">
      <c r="B190" s="211" t="s">
        <v>153</v>
      </c>
      <c r="C190" s="212">
        <v>20118</v>
      </c>
      <c r="D190" s="77" t="s">
        <v>154</v>
      </c>
      <c r="E190" s="76" t="s">
        <v>155</v>
      </c>
      <c r="F190" s="298" t="s">
        <v>156</v>
      </c>
      <c r="G190" s="298" t="s">
        <v>157</v>
      </c>
      <c r="H190" s="199">
        <f>SUM(H191:H194)</f>
        <v>10.711499999999999</v>
      </c>
    </row>
    <row r="191" spans="2:8" s="71" customFormat="1" ht="20.100000000000001" customHeight="1" x14ac:dyDescent="0.25">
      <c r="B191" s="369"/>
      <c r="C191" s="370"/>
      <c r="D191" s="70" t="s">
        <v>158</v>
      </c>
      <c r="E191" s="277" t="s">
        <v>155</v>
      </c>
      <c r="F191" s="276">
        <f>2.1*2.1</f>
        <v>4.41</v>
      </c>
      <c r="G191" s="276">
        <v>0.15</v>
      </c>
      <c r="H191" s="197">
        <f>G191*F191</f>
        <v>0.66149999999999998</v>
      </c>
    </row>
    <row r="192" spans="2:8" s="71" customFormat="1" ht="20.100000000000001" customHeight="1" x14ac:dyDescent="0.25">
      <c r="B192" s="371"/>
      <c r="C192" s="372"/>
      <c r="D192" s="70" t="s">
        <v>159</v>
      </c>
      <c r="E192" s="277" t="s">
        <v>155</v>
      </c>
      <c r="F192" s="276">
        <f>4*3</f>
        <v>12</v>
      </c>
      <c r="G192" s="276">
        <v>0.15</v>
      </c>
      <c r="H192" s="197">
        <f>G192*F192</f>
        <v>1.7999999999999998</v>
      </c>
    </row>
    <row r="193" spans="2:8" s="71" customFormat="1" ht="20.100000000000001" customHeight="1" x14ac:dyDescent="0.25">
      <c r="B193" s="371"/>
      <c r="C193" s="372"/>
      <c r="D193" s="70" t="s">
        <v>160</v>
      </c>
      <c r="E193" s="277" t="s">
        <v>14</v>
      </c>
      <c r="F193" s="303">
        <v>7.85</v>
      </c>
      <c r="G193" s="276">
        <v>1</v>
      </c>
      <c r="H193" s="197">
        <f>G193*F193</f>
        <v>7.85</v>
      </c>
    </row>
    <row r="194" spans="2:8" s="71" customFormat="1" ht="20.100000000000001" customHeight="1" x14ac:dyDescent="0.25">
      <c r="B194" s="373"/>
      <c r="C194" s="374"/>
      <c r="D194" s="70" t="s">
        <v>161</v>
      </c>
      <c r="E194" s="277" t="s">
        <v>14</v>
      </c>
      <c r="F194" s="384">
        <f>(0.4*0.4)+(0.4*0.6)</f>
        <v>0.4</v>
      </c>
      <c r="G194" s="385"/>
      <c r="H194" s="197">
        <f>F194</f>
        <v>0.4</v>
      </c>
    </row>
    <row r="195" spans="2:8" s="71" customFormat="1" ht="20.100000000000001" customHeight="1" x14ac:dyDescent="0.25">
      <c r="B195" s="232" t="s">
        <v>162</v>
      </c>
      <c r="C195" s="207">
        <v>20167</v>
      </c>
      <c r="D195" s="77" t="s">
        <v>163</v>
      </c>
      <c r="E195" s="76" t="s">
        <v>164</v>
      </c>
      <c r="F195" s="416" t="s">
        <v>165</v>
      </c>
      <c r="G195" s="416"/>
      <c r="H195" s="199">
        <f>SUM(H196:H220)</f>
        <v>66</v>
      </c>
    </row>
    <row r="196" spans="2:8" s="71" customFormat="1" ht="20.100000000000001" customHeight="1" x14ac:dyDescent="0.25">
      <c r="B196" s="369"/>
      <c r="C196" s="370"/>
      <c r="D196" s="214" t="s">
        <v>166</v>
      </c>
      <c r="E196" s="277" t="s">
        <v>164</v>
      </c>
      <c r="F196" s="395">
        <v>6</v>
      </c>
      <c r="G196" s="406"/>
      <c r="H196" s="197">
        <f>F196</f>
        <v>6</v>
      </c>
    </row>
    <row r="197" spans="2:8" s="71" customFormat="1" ht="20.100000000000001" customHeight="1" x14ac:dyDescent="0.25">
      <c r="B197" s="371"/>
      <c r="C197" s="372"/>
      <c r="D197" s="214" t="s">
        <v>133</v>
      </c>
      <c r="E197" s="277" t="s">
        <v>164</v>
      </c>
      <c r="F197" s="395">
        <v>1</v>
      </c>
      <c r="G197" s="406"/>
      <c r="H197" s="197">
        <f t="shared" ref="H197:H220" si="4">F197</f>
        <v>1</v>
      </c>
    </row>
    <row r="198" spans="2:8" s="71" customFormat="1" ht="20.100000000000001" customHeight="1" x14ac:dyDescent="0.25">
      <c r="B198" s="371"/>
      <c r="C198" s="372"/>
      <c r="D198" s="214" t="s">
        <v>167</v>
      </c>
      <c r="E198" s="277" t="s">
        <v>164</v>
      </c>
      <c r="F198" s="395">
        <v>1</v>
      </c>
      <c r="G198" s="406"/>
      <c r="H198" s="197">
        <f t="shared" si="4"/>
        <v>1</v>
      </c>
    </row>
    <row r="199" spans="2:8" s="71" customFormat="1" ht="20.100000000000001" customHeight="1" x14ac:dyDescent="0.25">
      <c r="B199" s="371"/>
      <c r="C199" s="372"/>
      <c r="D199" s="214" t="s">
        <v>168</v>
      </c>
      <c r="E199" s="277" t="s">
        <v>164</v>
      </c>
      <c r="F199" s="395">
        <v>12</v>
      </c>
      <c r="G199" s="406"/>
      <c r="H199" s="197">
        <f t="shared" si="4"/>
        <v>12</v>
      </c>
    </row>
    <row r="200" spans="2:8" s="71" customFormat="1" ht="20.100000000000001" customHeight="1" x14ac:dyDescent="0.25">
      <c r="B200" s="371"/>
      <c r="C200" s="372"/>
      <c r="D200" s="214" t="s">
        <v>169</v>
      </c>
      <c r="E200" s="277" t="s">
        <v>164</v>
      </c>
      <c r="F200" s="395">
        <v>1</v>
      </c>
      <c r="G200" s="406"/>
      <c r="H200" s="197">
        <f t="shared" si="4"/>
        <v>1</v>
      </c>
    </row>
    <row r="201" spans="2:8" s="71" customFormat="1" ht="20.100000000000001" customHeight="1" x14ac:dyDescent="0.25">
      <c r="B201" s="371"/>
      <c r="C201" s="372"/>
      <c r="D201" s="214" t="s">
        <v>170</v>
      </c>
      <c r="E201" s="277" t="s">
        <v>164</v>
      </c>
      <c r="F201" s="395">
        <v>1</v>
      </c>
      <c r="G201" s="406"/>
      <c r="H201" s="197">
        <f t="shared" si="4"/>
        <v>1</v>
      </c>
    </row>
    <row r="202" spans="2:8" s="71" customFormat="1" ht="20.100000000000001" customHeight="1" x14ac:dyDescent="0.25">
      <c r="B202" s="371"/>
      <c r="C202" s="372"/>
      <c r="D202" s="214" t="s">
        <v>121</v>
      </c>
      <c r="E202" s="277" t="s">
        <v>164</v>
      </c>
      <c r="F202" s="395">
        <v>1</v>
      </c>
      <c r="G202" s="406"/>
      <c r="H202" s="197">
        <f t="shared" si="4"/>
        <v>1</v>
      </c>
    </row>
    <row r="203" spans="2:8" s="71" customFormat="1" ht="20.100000000000001" customHeight="1" x14ac:dyDescent="0.25">
      <c r="B203" s="371"/>
      <c r="C203" s="372"/>
      <c r="D203" s="214" t="s">
        <v>123</v>
      </c>
      <c r="E203" s="277" t="s">
        <v>164</v>
      </c>
      <c r="F203" s="395">
        <v>1</v>
      </c>
      <c r="G203" s="406"/>
      <c r="H203" s="197">
        <f t="shared" si="4"/>
        <v>1</v>
      </c>
    </row>
    <row r="204" spans="2:8" s="71" customFormat="1" ht="20.100000000000001" customHeight="1" x14ac:dyDescent="0.25">
      <c r="B204" s="371"/>
      <c r="C204" s="372"/>
      <c r="D204" s="214" t="s">
        <v>171</v>
      </c>
      <c r="E204" s="277" t="s">
        <v>164</v>
      </c>
      <c r="F204" s="395">
        <v>1</v>
      </c>
      <c r="G204" s="406"/>
      <c r="H204" s="197">
        <f t="shared" si="4"/>
        <v>1</v>
      </c>
    </row>
    <row r="205" spans="2:8" s="71" customFormat="1" ht="20.100000000000001" customHeight="1" x14ac:dyDescent="0.25">
      <c r="B205" s="371"/>
      <c r="C205" s="372"/>
      <c r="D205" s="214" t="s">
        <v>172</v>
      </c>
      <c r="E205" s="277" t="s">
        <v>164</v>
      </c>
      <c r="F205" s="395">
        <v>1</v>
      </c>
      <c r="G205" s="406"/>
      <c r="H205" s="197">
        <f t="shared" si="4"/>
        <v>1</v>
      </c>
    </row>
    <row r="206" spans="2:8" s="71" customFormat="1" ht="20.100000000000001" customHeight="1" x14ac:dyDescent="0.25">
      <c r="B206" s="371"/>
      <c r="C206" s="372"/>
      <c r="D206" s="214" t="s">
        <v>124</v>
      </c>
      <c r="E206" s="277" t="s">
        <v>164</v>
      </c>
      <c r="F206" s="395">
        <v>1</v>
      </c>
      <c r="G206" s="406"/>
      <c r="H206" s="197">
        <f t="shared" si="4"/>
        <v>1</v>
      </c>
    </row>
    <row r="207" spans="2:8" s="71" customFormat="1" ht="20.100000000000001" customHeight="1" x14ac:dyDescent="0.25">
      <c r="B207" s="371"/>
      <c r="C207" s="372"/>
      <c r="D207" s="214" t="s">
        <v>173</v>
      </c>
      <c r="E207" s="277" t="s">
        <v>164</v>
      </c>
      <c r="F207" s="395">
        <v>1</v>
      </c>
      <c r="G207" s="406"/>
      <c r="H207" s="197">
        <f t="shared" si="4"/>
        <v>1</v>
      </c>
    </row>
    <row r="208" spans="2:8" s="71" customFormat="1" ht="20.100000000000001" customHeight="1" x14ac:dyDescent="0.25">
      <c r="B208" s="371"/>
      <c r="C208" s="372"/>
      <c r="D208" s="214" t="s">
        <v>174</v>
      </c>
      <c r="E208" s="277" t="s">
        <v>164</v>
      </c>
      <c r="F208" s="395">
        <v>1</v>
      </c>
      <c r="G208" s="406"/>
      <c r="H208" s="197">
        <f t="shared" si="4"/>
        <v>1</v>
      </c>
    </row>
    <row r="209" spans="2:8" s="71" customFormat="1" ht="20.100000000000001" customHeight="1" x14ac:dyDescent="0.25">
      <c r="B209" s="371"/>
      <c r="C209" s="372"/>
      <c r="D209" s="206" t="s">
        <v>175</v>
      </c>
      <c r="E209" s="277" t="s">
        <v>164</v>
      </c>
      <c r="F209" s="395">
        <v>3</v>
      </c>
      <c r="G209" s="406"/>
      <c r="H209" s="197">
        <f t="shared" si="4"/>
        <v>3</v>
      </c>
    </row>
    <row r="210" spans="2:8" s="71" customFormat="1" ht="20.100000000000001" customHeight="1" x14ac:dyDescent="0.25">
      <c r="B210" s="371"/>
      <c r="C210" s="372"/>
      <c r="D210" s="206" t="s">
        <v>176</v>
      </c>
      <c r="E210" s="277" t="s">
        <v>164</v>
      </c>
      <c r="F210" s="395">
        <v>4</v>
      </c>
      <c r="G210" s="406"/>
      <c r="H210" s="197">
        <f t="shared" si="4"/>
        <v>4</v>
      </c>
    </row>
    <row r="211" spans="2:8" s="71" customFormat="1" ht="20.100000000000001" customHeight="1" x14ac:dyDescent="0.25">
      <c r="B211" s="371"/>
      <c r="C211" s="372"/>
      <c r="D211" s="206" t="s">
        <v>177</v>
      </c>
      <c r="E211" s="277" t="s">
        <v>164</v>
      </c>
      <c r="F211" s="395">
        <v>1</v>
      </c>
      <c r="G211" s="406"/>
      <c r="H211" s="197">
        <f t="shared" si="4"/>
        <v>1</v>
      </c>
    </row>
    <row r="212" spans="2:8" s="71" customFormat="1" ht="20.100000000000001" customHeight="1" x14ac:dyDescent="0.25">
      <c r="B212" s="371"/>
      <c r="C212" s="372"/>
      <c r="D212" s="206" t="s">
        <v>151</v>
      </c>
      <c r="E212" s="277" t="s">
        <v>164</v>
      </c>
      <c r="F212" s="395">
        <v>1</v>
      </c>
      <c r="G212" s="406"/>
      <c r="H212" s="197">
        <f t="shared" si="4"/>
        <v>1</v>
      </c>
    </row>
    <row r="213" spans="2:8" s="71" customFormat="1" ht="20.100000000000001" customHeight="1" x14ac:dyDescent="0.25">
      <c r="B213" s="371"/>
      <c r="C213" s="372"/>
      <c r="D213" s="206" t="s">
        <v>178</v>
      </c>
      <c r="E213" s="277" t="s">
        <v>164</v>
      </c>
      <c r="F213" s="395">
        <v>4</v>
      </c>
      <c r="G213" s="406"/>
      <c r="H213" s="197">
        <f t="shared" si="4"/>
        <v>4</v>
      </c>
    </row>
    <row r="214" spans="2:8" s="71" customFormat="1" ht="20.100000000000001" customHeight="1" x14ac:dyDescent="0.25">
      <c r="B214" s="371"/>
      <c r="C214" s="372"/>
      <c r="D214" s="206" t="s">
        <v>179</v>
      </c>
      <c r="E214" s="277" t="s">
        <v>164</v>
      </c>
      <c r="F214" s="395">
        <v>4</v>
      </c>
      <c r="G214" s="406"/>
      <c r="H214" s="197">
        <f t="shared" si="4"/>
        <v>4</v>
      </c>
    </row>
    <row r="215" spans="2:8" s="71" customFormat="1" ht="20.100000000000001" customHeight="1" x14ac:dyDescent="0.25">
      <c r="B215" s="371"/>
      <c r="C215" s="372"/>
      <c r="D215" s="206" t="s">
        <v>180</v>
      </c>
      <c r="E215" s="277" t="s">
        <v>164</v>
      </c>
      <c r="F215" s="395">
        <v>4</v>
      </c>
      <c r="G215" s="406"/>
      <c r="H215" s="197">
        <f t="shared" si="4"/>
        <v>4</v>
      </c>
    </row>
    <row r="216" spans="2:8" s="71" customFormat="1" ht="20.100000000000001" customHeight="1" x14ac:dyDescent="0.25">
      <c r="B216" s="371"/>
      <c r="C216" s="372"/>
      <c r="D216" s="206" t="s">
        <v>181</v>
      </c>
      <c r="E216" s="277" t="s">
        <v>164</v>
      </c>
      <c r="F216" s="395">
        <v>4</v>
      </c>
      <c r="G216" s="406"/>
      <c r="H216" s="197">
        <f t="shared" si="4"/>
        <v>4</v>
      </c>
    </row>
    <row r="217" spans="2:8" s="71" customFormat="1" ht="20.100000000000001" customHeight="1" x14ac:dyDescent="0.25">
      <c r="B217" s="371"/>
      <c r="C217" s="372"/>
      <c r="D217" s="206" t="s">
        <v>128</v>
      </c>
      <c r="E217" s="277" t="s">
        <v>164</v>
      </c>
      <c r="F217" s="395">
        <v>6</v>
      </c>
      <c r="G217" s="406"/>
      <c r="H217" s="197">
        <f t="shared" si="4"/>
        <v>6</v>
      </c>
    </row>
    <row r="218" spans="2:8" s="71" customFormat="1" ht="20.100000000000001" customHeight="1" x14ac:dyDescent="0.25">
      <c r="B218" s="371"/>
      <c r="C218" s="372"/>
      <c r="D218" s="206" t="s">
        <v>117</v>
      </c>
      <c r="E218" s="277" t="s">
        <v>164</v>
      </c>
      <c r="F218" s="395">
        <v>4</v>
      </c>
      <c r="G218" s="406"/>
      <c r="H218" s="197">
        <f t="shared" si="4"/>
        <v>4</v>
      </c>
    </row>
    <row r="219" spans="2:8" s="71" customFormat="1" ht="20.100000000000001" customHeight="1" x14ac:dyDescent="0.25">
      <c r="B219" s="371"/>
      <c r="C219" s="372"/>
      <c r="D219" s="206" t="s">
        <v>129</v>
      </c>
      <c r="E219" s="277" t="s">
        <v>164</v>
      </c>
      <c r="F219" s="395">
        <v>1</v>
      </c>
      <c r="G219" s="406"/>
      <c r="H219" s="197">
        <f t="shared" si="4"/>
        <v>1</v>
      </c>
    </row>
    <row r="220" spans="2:8" s="71" customFormat="1" ht="20.100000000000001" customHeight="1" x14ac:dyDescent="0.25">
      <c r="B220" s="373"/>
      <c r="C220" s="374"/>
      <c r="D220" s="206" t="s">
        <v>182</v>
      </c>
      <c r="E220" s="277" t="s">
        <v>164</v>
      </c>
      <c r="F220" s="395">
        <v>1</v>
      </c>
      <c r="G220" s="406"/>
      <c r="H220" s="197">
        <f t="shared" si="4"/>
        <v>1</v>
      </c>
    </row>
    <row r="221" spans="2:8" s="71" customFormat="1" ht="20.100000000000001" customHeight="1" x14ac:dyDescent="0.25">
      <c r="B221" s="198" t="s">
        <v>183</v>
      </c>
      <c r="C221" s="108">
        <v>20168</v>
      </c>
      <c r="D221" s="77" t="s">
        <v>184</v>
      </c>
      <c r="E221" s="76" t="s">
        <v>164</v>
      </c>
      <c r="F221" s="416" t="s">
        <v>165</v>
      </c>
      <c r="G221" s="416"/>
      <c r="H221" s="199">
        <f>SUM(H222:H232)</f>
        <v>14</v>
      </c>
    </row>
    <row r="222" spans="2:8" s="71" customFormat="1" ht="20.100000000000001" customHeight="1" x14ac:dyDescent="0.25">
      <c r="B222" s="369"/>
      <c r="C222" s="370"/>
      <c r="D222" s="206" t="s">
        <v>120</v>
      </c>
      <c r="E222" s="277" t="s">
        <v>164</v>
      </c>
      <c r="F222" s="395">
        <v>1</v>
      </c>
      <c r="G222" s="406"/>
      <c r="H222" s="213">
        <f>F222</f>
        <v>1</v>
      </c>
    </row>
    <row r="223" spans="2:8" s="71" customFormat="1" ht="20.100000000000001" customHeight="1" x14ac:dyDescent="0.25">
      <c r="B223" s="371"/>
      <c r="C223" s="372"/>
      <c r="D223" s="206" t="s">
        <v>185</v>
      </c>
      <c r="E223" s="277" t="s">
        <v>164</v>
      </c>
      <c r="F223" s="395">
        <v>1</v>
      </c>
      <c r="G223" s="406"/>
      <c r="H223" s="213">
        <f t="shared" ref="H223:H246" si="5">F223</f>
        <v>1</v>
      </c>
    </row>
    <row r="224" spans="2:8" s="71" customFormat="1" ht="20.100000000000001" customHeight="1" x14ac:dyDescent="0.25">
      <c r="B224" s="371"/>
      <c r="C224" s="372"/>
      <c r="D224" s="206" t="s">
        <v>178</v>
      </c>
      <c r="E224" s="277" t="s">
        <v>164</v>
      </c>
      <c r="F224" s="395">
        <v>1</v>
      </c>
      <c r="G224" s="406"/>
      <c r="H224" s="213">
        <f t="shared" si="5"/>
        <v>1</v>
      </c>
    </row>
    <row r="225" spans="2:8" s="71" customFormat="1" ht="20.100000000000001" customHeight="1" x14ac:dyDescent="0.25">
      <c r="B225" s="371"/>
      <c r="C225" s="372"/>
      <c r="D225" s="206" t="s">
        <v>151</v>
      </c>
      <c r="E225" s="277" t="s">
        <v>164</v>
      </c>
      <c r="F225" s="395">
        <v>1</v>
      </c>
      <c r="G225" s="406"/>
      <c r="H225" s="213">
        <f t="shared" si="5"/>
        <v>1</v>
      </c>
    </row>
    <row r="226" spans="2:8" s="71" customFormat="1" ht="20.100000000000001" customHeight="1" x14ac:dyDescent="0.25">
      <c r="B226" s="371"/>
      <c r="C226" s="372"/>
      <c r="D226" s="206" t="s">
        <v>152</v>
      </c>
      <c r="E226" s="277" t="s">
        <v>164</v>
      </c>
      <c r="F226" s="395">
        <v>1</v>
      </c>
      <c r="G226" s="406"/>
      <c r="H226" s="213">
        <f t="shared" si="5"/>
        <v>1</v>
      </c>
    </row>
    <row r="227" spans="2:8" s="71" customFormat="1" ht="20.100000000000001" customHeight="1" x14ac:dyDescent="0.25">
      <c r="B227" s="371"/>
      <c r="C227" s="372"/>
      <c r="D227" s="206" t="s">
        <v>186</v>
      </c>
      <c r="E227" s="277" t="s">
        <v>164</v>
      </c>
      <c r="F227" s="395">
        <v>1</v>
      </c>
      <c r="G227" s="406"/>
      <c r="H227" s="213">
        <f t="shared" si="5"/>
        <v>1</v>
      </c>
    </row>
    <row r="228" spans="2:8" s="71" customFormat="1" ht="20.100000000000001" customHeight="1" x14ac:dyDescent="0.25">
      <c r="B228" s="371"/>
      <c r="C228" s="372"/>
      <c r="D228" s="206" t="s">
        <v>123</v>
      </c>
      <c r="E228" s="277" t="s">
        <v>164</v>
      </c>
      <c r="F228" s="395">
        <v>1</v>
      </c>
      <c r="G228" s="406"/>
      <c r="H228" s="213">
        <f t="shared" si="5"/>
        <v>1</v>
      </c>
    </row>
    <row r="229" spans="2:8" s="71" customFormat="1" ht="20.100000000000001" customHeight="1" x14ac:dyDescent="0.25">
      <c r="B229" s="371"/>
      <c r="C229" s="372"/>
      <c r="D229" s="206" t="s">
        <v>171</v>
      </c>
      <c r="E229" s="277" t="s">
        <v>164</v>
      </c>
      <c r="F229" s="395">
        <v>1</v>
      </c>
      <c r="G229" s="406"/>
      <c r="H229" s="213">
        <f t="shared" si="5"/>
        <v>1</v>
      </c>
    </row>
    <row r="230" spans="2:8" s="71" customFormat="1" ht="20.100000000000001" customHeight="1" x14ac:dyDescent="0.25">
      <c r="B230" s="371"/>
      <c r="C230" s="372"/>
      <c r="D230" s="206" t="s">
        <v>135</v>
      </c>
      <c r="E230" s="277" t="s">
        <v>164</v>
      </c>
      <c r="F230" s="395">
        <v>1</v>
      </c>
      <c r="G230" s="406"/>
      <c r="H230" s="213">
        <f t="shared" si="5"/>
        <v>1</v>
      </c>
    </row>
    <row r="231" spans="2:8" s="71" customFormat="1" ht="20.100000000000001" customHeight="1" x14ac:dyDescent="0.25">
      <c r="B231" s="371"/>
      <c r="C231" s="372"/>
      <c r="D231" s="206" t="s">
        <v>133</v>
      </c>
      <c r="E231" s="277" t="s">
        <v>164</v>
      </c>
      <c r="F231" s="395">
        <v>1</v>
      </c>
      <c r="G231" s="406"/>
      <c r="H231" s="213">
        <f t="shared" si="5"/>
        <v>1</v>
      </c>
    </row>
    <row r="232" spans="2:8" s="71" customFormat="1" ht="20.100000000000001" customHeight="1" x14ac:dyDescent="0.25">
      <c r="B232" s="373"/>
      <c r="C232" s="374"/>
      <c r="D232" s="206" t="s">
        <v>187</v>
      </c>
      <c r="E232" s="277" t="s">
        <v>164</v>
      </c>
      <c r="F232" s="395">
        <v>4</v>
      </c>
      <c r="G232" s="406"/>
      <c r="H232" s="213">
        <f t="shared" si="5"/>
        <v>4</v>
      </c>
    </row>
    <row r="233" spans="2:8" s="71" customFormat="1" ht="42.75" customHeight="1" x14ac:dyDescent="0.25">
      <c r="B233" s="198" t="s">
        <v>188</v>
      </c>
      <c r="C233" s="108">
        <v>20140</v>
      </c>
      <c r="D233" s="77" t="s">
        <v>189</v>
      </c>
      <c r="E233" s="76" t="s">
        <v>164</v>
      </c>
      <c r="F233" s="416" t="s">
        <v>165</v>
      </c>
      <c r="G233" s="416"/>
      <c r="H233" s="199">
        <f>SUM(H234:H247)</f>
        <v>39</v>
      </c>
    </row>
    <row r="234" spans="2:8" s="71" customFormat="1" ht="20.25" customHeight="1" x14ac:dyDescent="0.25">
      <c r="B234" s="369"/>
      <c r="C234" s="370"/>
      <c r="D234" s="206" t="s">
        <v>190</v>
      </c>
      <c r="E234" s="277" t="s">
        <v>164</v>
      </c>
      <c r="F234" s="395">
        <v>2</v>
      </c>
      <c r="G234" s="406"/>
      <c r="H234" s="213">
        <f t="shared" si="5"/>
        <v>2</v>
      </c>
    </row>
    <row r="235" spans="2:8" s="71" customFormat="1" ht="20.25" customHeight="1" x14ac:dyDescent="0.25">
      <c r="B235" s="371"/>
      <c r="C235" s="372"/>
      <c r="D235" s="206" t="s">
        <v>191</v>
      </c>
      <c r="E235" s="277" t="s">
        <v>164</v>
      </c>
      <c r="F235" s="395">
        <v>2</v>
      </c>
      <c r="G235" s="406"/>
      <c r="H235" s="213">
        <f t="shared" si="5"/>
        <v>2</v>
      </c>
    </row>
    <row r="236" spans="2:8" s="71" customFormat="1" ht="20.25" customHeight="1" x14ac:dyDescent="0.25">
      <c r="B236" s="371"/>
      <c r="C236" s="372"/>
      <c r="D236" s="206" t="s">
        <v>192</v>
      </c>
      <c r="E236" s="277" t="s">
        <v>164</v>
      </c>
      <c r="F236" s="395">
        <v>2</v>
      </c>
      <c r="G236" s="406"/>
      <c r="H236" s="213">
        <f t="shared" si="5"/>
        <v>2</v>
      </c>
    </row>
    <row r="237" spans="2:8" s="71" customFormat="1" ht="20.25" customHeight="1" x14ac:dyDescent="0.25">
      <c r="B237" s="371"/>
      <c r="C237" s="372"/>
      <c r="D237" s="206" t="s">
        <v>151</v>
      </c>
      <c r="E237" s="277" t="s">
        <v>164</v>
      </c>
      <c r="F237" s="395">
        <v>6</v>
      </c>
      <c r="G237" s="406"/>
      <c r="H237" s="213">
        <f t="shared" si="5"/>
        <v>6</v>
      </c>
    </row>
    <row r="238" spans="2:8" s="71" customFormat="1" ht="20.25" customHeight="1" x14ac:dyDescent="0.25">
      <c r="B238" s="371"/>
      <c r="C238" s="372"/>
      <c r="D238" s="206" t="s">
        <v>177</v>
      </c>
      <c r="E238" s="277" t="s">
        <v>164</v>
      </c>
      <c r="F238" s="395">
        <v>6</v>
      </c>
      <c r="G238" s="406"/>
      <c r="H238" s="213">
        <f t="shared" si="5"/>
        <v>6</v>
      </c>
    </row>
    <row r="239" spans="2:8" s="71" customFormat="1" ht="20.25" customHeight="1" x14ac:dyDescent="0.25">
      <c r="B239" s="371"/>
      <c r="C239" s="372"/>
      <c r="D239" s="206" t="s">
        <v>123</v>
      </c>
      <c r="E239" s="277" t="s">
        <v>164</v>
      </c>
      <c r="F239" s="395">
        <v>2</v>
      </c>
      <c r="G239" s="406"/>
      <c r="H239" s="213">
        <f t="shared" si="5"/>
        <v>2</v>
      </c>
    </row>
    <row r="240" spans="2:8" s="71" customFormat="1" ht="20.25" customHeight="1" x14ac:dyDescent="0.25">
      <c r="B240" s="371"/>
      <c r="C240" s="372"/>
      <c r="D240" s="206" t="s">
        <v>121</v>
      </c>
      <c r="E240" s="277" t="s">
        <v>164</v>
      </c>
      <c r="F240" s="395">
        <v>2</v>
      </c>
      <c r="G240" s="406"/>
      <c r="H240" s="213">
        <f t="shared" si="5"/>
        <v>2</v>
      </c>
    </row>
    <row r="241" spans="2:8" s="71" customFormat="1" ht="20.25" customHeight="1" x14ac:dyDescent="0.25">
      <c r="B241" s="371"/>
      <c r="C241" s="372"/>
      <c r="D241" s="206" t="s">
        <v>193</v>
      </c>
      <c r="E241" s="277" t="s">
        <v>164</v>
      </c>
      <c r="F241" s="395">
        <v>2</v>
      </c>
      <c r="G241" s="406"/>
      <c r="H241" s="213">
        <f t="shared" si="5"/>
        <v>2</v>
      </c>
    </row>
    <row r="242" spans="2:8" s="71" customFormat="1" ht="20.25" customHeight="1" x14ac:dyDescent="0.25">
      <c r="B242" s="371"/>
      <c r="C242" s="372"/>
      <c r="D242" s="206" t="s">
        <v>124</v>
      </c>
      <c r="E242" s="277" t="s">
        <v>164</v>
      </c>
      <c r="F242" s="395">
        <v>2</v>
      </c>
      <c r="G242" s="406"/>
      <c r="H242" s="213">
        <f t="shared" si="5"/>
        <v>2</v>
      </c>
    </row>
    <row r="243" spans="2:8" s="71" customFormat="1" ht="20.25" customHeight="1" x14ac:dyDescent="0.25">
      <c r="B243" s="371"/>
      <c r="C243" s="372"/>
      <c r="D243" s="206" t="s">
        <v>173</v>
      </c>
      <c r="E243" s="277" t="s">
        <v>164</v>
      </c>
      <c r="F243" s="395">
        <v>2</v>
      </c>
      <c r="G243" s="406"/>
      <c r="H243" s="213">
        <f t="shared" si="5"/>
        <v>2</v>
      </c>
    </row>
    <row r="244" spans="2:8" s="71" customFormat="1" ht="20.25" customHeight="1" x14ac:dyDescent="0.25">
      <c r="B244" s="371"/>
      <c r="C244" s="372"/>
      <c r="D244" s="206" t="s">
        <v>194</v>
      </c>
      <c r="E244" s="277" t="s">
        <v>164</v>
      </c>
      <c r="F244" s="395">
        <v>2</v>
      </c>
      <c r="G244" s="406"/>
      <c r="H244" s="213">
        <f t="shared" si="5"/>
        <v>2</v>
      </c>
    </row>
    <row r="245" spans="2:8" s="71" customFormat="1" ht="20.100000000000001" customHeight="1" x14ac:dyDescent="0.25">
      <c r="B245" s="371"/>
      <c r="C245" s="372"/>
      <c r="D245" s="206" t="s">
        <v>182</v>
      </c>
      <c r="E245" s="277" t="s">
        <v>164</v>
      </c>
      <c r="F245" s="395">
        <v>4</v>
      </c>
      <c r="G245" s="406"/>
      <c r="H245" s="213">
        <f t="shared" si="5"/>
        <v>4</v>
      </c>
    </row>
    <row r="246" spans="2:8" s="71" customFormat="1" ht="20.100000000000001" customHeight="1" x14ac:dyDescent="0.25">
      <c r="B246" s="371"/>
      <c r="C246" s="372"/>
      <c r="D246" s="206" t="s">
        <v>117</v>
      </c>
      <c r="E246" s="277" t="s">
        <v>164</v>
      </c>
      <c r="F246" s="395">
        <v>4</v>
      </c>
      <c r="G246" s="406"/>
      <c r="H246" s="213">
        <f t="shared" si="5"/>
        <v>4</v>
      </c>
    </row>
    <row r="247" spans="2:8" s="71" customFormat="1" ht="20.100000000000001" customHeight="1" x14ac:dyDescent="0.25">
      <c r="B247" s="373"/>
      <c r="C247" s="374"/>
      <c r="D247" s="70" t="s">
        <v>195</v>
      </c>
      <c r="E247" s="277" t="s">
        <v>164</v>
      </c>
      <c r="F247" s="417">
        <v>1</v>
      </c>
      <c r="G247" s="417"/>
      <c r="H247" s="197">
        <f>F247</f>
        <v>1</v>
      </c>
    </row>
    <row r="248" spans="2:8" s="71" customFormat="1" ht="31.5" x14ac:dyDescent="0.25">
      <c r="B248" s="198" t="s">
        <v>196</v>
      </c>
      <c r="C248" s="108">
        <v>20102</v>
      </c>
      <c r="D248" s="77" t="s">
        <v>197</v>
      </c>
      <c r="E248" s="76" t="s">
        <v>14</v>
      </c>
      <c r="F248" s="298" t="s">
        <v>15</v>
      </c>
      <c r="G248" s="298" t="s">
        <v>100</v>
      </c>
      <c r="H248" s="199">
        <f>SUM(H249:H251)</f>
        <v>114.76219999999998</v>
      </c>
    </row>
    <row r="249" spans="2:8" s="71" customFormat="1" ht="20.100000000000001" customHeight="1" x14ac:dyDescent="0.25">
      <c r="B249" s="369"/>
      <c r="C249" s="370"/>
      <c r="D249" s="70" t="s">
        <v>198</v>
      </c>
      <c r="E249" s="277" t="s">
        <v>14</v>
      </c>
      <c r="F249" s="303">
        <v>4.08</v>
      </c>
      <c r="G249" s="303">
        <v>5.28</v>
      </c>
      <c r="H249" s="197">
        <f>G249*F249</f>
        <v>21.542400000000001</v>
      </c>
    </row>
    <row r="250" spans="2:8" s="71" customFormat="1" ht="20.100000000000001" customHeight="1" x14ac:dyDescent="0.25">
      <c r="B250" s="371"/>
      <c r="C250" s="372"/>
      <c r="D250" s="70" t="s">
        <v>199</v>
      </c>
      <c r="E250" s="277" t="s">
        <v>14</v>
      </c>
      <c r="F250" s="303">
        <v>16.489999999999998</v>
      </c>
      <c r="G250" s="303">
        <v>5.0199999999999996</v>
      </c>
      <c r="H250" s="197">
        <f>G250*F250</f>
        <v>82.77979999999998</v>
      </c>
    </row>
    <row r="251" spans="2:8" s="71" customFormat="1" ht="20.100000000000001" customHeight="1" x14ac:dyDescent="0.25">
      <c r="B251" s="373"/>
      <c r="C251" s="374"/>
      <c r="D251" s="70" t="s">
        <v>200</v>
      </c>
      <c r="E251" s="277" t="s">
        <v>14</v>
      </c>
      <c r="F251" s="303">
        <v>2</v>
      </c>
      <c r="G251" s="303">
        <v>5.22</v>
      </c>
      <c r="H251" s="197">
        <f>G251*F251</f>
        <v>10.44</v>
      </c>
    </row>
    <row r="252" spans="2:8" s="71" customFormat="1" ht="31.5" x14ac:dyDescent="0.25">
      <c r="B252" s="198" t="s">
        <v>201</v>
      </c>
      <c r="C252" s="108">
        <v>21301</v>
      </c>
      <c r="D252" s="77" t="s">
        <v>202</v>
      </c>
      <c r="E252" s="76" t="s">
        <v>14</v>
      </c>
      <c r="F252" s="298" t="s">
        <v>15</v>
      </c>
      <c r="G252" s="298" t="s">
        <v>100</v>
      </c>
      <c r="H252" s="199">
        <f>H253</f>
        <v>3</v>
      </c>
    </row>
    <row r="253" spans="2:8" s="71" customFormat="1" ht="20.100000000000001" customHeight="1" x14ac:dyDescent="0.25">
      <c r="B253" s="361"/>
      <c r="C253" s="362"/>
      <c r="D253" s="70" t="s">
        <v>203</v>
      </c>
      <c r="E253" s="277" t="s">
        <v>14</v>
      </c>
      <c r="F253" s="303">
        <v>2</v>
      </c>
      <c r="G253" s="303">
        <v>1.5</v>
      </c>
      <c r="H253" s="197">
        <f>G253*F253</f>
        <v>3</v>
      </c>
    </row>
    <row r="254" spans="2:8" s="71" customFormat="1" ht="20.100000000000001" customHeight="1" x14ac:dyDescent="0.25">
      <c r="B254" s="198" t="s">
        <v>204</v>
      </c>
      <c r="C254" s="108" t="s">
        <v>205</v>
      </c>
      <c r="D254" s="77" t="s">
        <v>206</v>
      </c>
      <c r="E254" s="76" t="s">
        <v>164</v>
      </c>
      <c r="F254" s="397" t="s">
        <v>165</v>
      </c>
      <c r="G254" s="398"/>
      <c r="H254" s="199">
        <f>SUM(H255:H255)</f>
        <v>1</v>
      </c>
    </row>
    <row r="255" spans="2:8" s="71" customFormat="1" ht="20.100000000000001" customHeight="1" x14ac:dyDescent="0.25">
      <c r="B255" s="361"/>
      <c r="C255" s="362"/>
      <c r="D255" s="206" t="s">
        <v>207</v>
      </c>
      <c r="E255" s="277" t="s">
        <v>164</v>
      </c>
      <c r="F255" s="395">
        <v>1</v>
      </c>
      <c r="G255" s="396"/>
      <c r="H255" s="197">
        <f>F255</f>
        <v>1</v>
      </c>
    </row>
    <row r="256" spans="2:8" s="71" customFormat="1" ht="20.100000000000001" customHeight="1" x14ac:dyDescent="0.25">
      <c r="B256" s="198" t="s">
        <v>208</v>
      </c>
      <c r="C256" s="108">
        <v>20202</v>
      </c>
      <c r="D256" s="77" t="s">
        <v>209</v>
      </c>
      <c r="E256" s="76" t="s">
        <v>14</v>
      </c>
      <c r="F256" s="298" t="s">
        <v>15</v>
      </c>
      <c r="G256" s="298" t="s">
        <v>100</v>
      </c>
      <c r="H256" s="199">
        <f>SUM(H257:H259)</f>
        <v>28.324000000000002</v>
      </c>
    </row>
    <row r="257" spans="2:8" s="71" customFormat="1" ht="20.100000000000001" customHeight="1" x14ac:dyDescent="0.25">
      <c r="B257" s="361"/>
      <c r="C257" s="362"/>
      <c r="D257" s="206" t="s">
        <v>210</v>
      </c>
      <c r="E257" s="277" t="s">
        <v>14</v>
      </c>
      <c r="F257" s="303">
        <v>15.56</v>
      </c>
      <c r="G257" s="303">
        <v>2.15</v>
      </c>
      <c r="H257" s="197">
        <f>G257*F257</f>
        <v>33.454000000000001</v>
      </c>
    </row>
    <row r="258" spans="2:8" s="71" customFormat="1" ht="20.100000000000001" customHeight="1" x14ac:dyDescent="0.25">
      <c r="B258" s="361"/>
      <c r="C258" s="362"/>
      <c r="D258" s="206" t="s">
        <v>211</v>
      </c>
      <c r="E258" s="277" t="s">
        <v>14</v>
      </c>
      <c r="F258" s="303">
        <v>1.7</v>
      </c>
      <c r="G258" s="276">
        <v>1.8</v>
      </c>
      <c r="H258" s="197">
        <f>G258*F258*-1</f>
        <v>-3.06</v>
      </c>
    </row>
    <row r="259" spans="2:8" s="71" customFormat="1" ht="20.100000000000001" customHeight="1" x14ac:dyDescent="0.25">
      <c r="B259" s="361"/>
      <c r="C259" s="362"/>
      <c r="D259" s="206" t="s">
        <v>212</v>
      </c>
      <c r="E259" s="277" t="s">
        <v>14</v>
      </c>
      <c r="F259" s="303">
        <v>1.1499999999999999</v>
      </c>
      <c r="G259" s="276">
        <v>1.8</v>
      </c>
      <c r="H259" s="197">
        <f>G259*F259*-1</f>
        <v>-2.0699999999999998</v>
      </c>
    </row>
    <row r="260" spans="2:8" s="71" customFormat="1" ht="20.100000000000001" customHeight="1" x14ac:dyDescent="0.25">
      <c r="B260" s="409" t="s">
        <v>213</v>
      </c>
      <c r="C260" s="391"/>
      <c r="D260" s="391"/>
      <c r="E260" s="391"/>
      <c r="F260" s="391"/>
      <c r="G260" s="391"/>
      <c r="H260" s="410"/>
    </row>
    <row r="261" spans="2:8" s="71" customFormat="1" ht="20.100000000000001" customHeight="1" x14ac:dyDescent="0.25">
      <c r="B261" s="319">
        <v>2</v>
      </c>
      <c r="C261" s="115">
        <v>30000</v>
      </c>
      <c r="D261" s="390" t="s">
        <v>214</v>
      </c>
      <c r="E261" s="391"/>
      <c r="F261" s="391"/>
      <c r="G261" s="392"/>
      <c r="H261" s="201" t="s">
        <v>11</v>
      </c>
    </row>
    <row r="262" spans="2:8" s="71" customFormat="1" ht="20.100000000000001" customHeight="1" x14ac:dyDescent="0.25">
      <c r="B262" s="198" t="s">
        <v>215</v>
      </c>
      <c r="C262" s="108">
        <v>30105</v>
      </c>
      <c r="D262" s="77" t="s">
        <v>216</v>
      </c>
      <c r="E262" s="76" t="s">
        <v>14</v>
      </c>
      <c r="F262" s="298" t="s">
        <v>156</v>
      </c>
      <c r="G262" s="298" t="s">
        <v>157</v>
      </c>
      <c r="H262" s="196">
        <f>SUM(H263:H272)</f>
        <v>115.35502940000001</v>
      </c>
    </row>
    <row r="263" spans="2:8" s="71" customFormat="1" ht="20.100000000000001" customHeight="1" x14ac:dyDescent="0.25">
      <c r="B263" s="200"/>
      <c r="C263" s="163"/>
      <c r="D263" s="70" t="s">
        <v>13</v>
      </c>
      <c r="E263" s="277" t="s">
        <v>14</v>
      </c>
      <c r="F263" s="303">
        <f>H10</f>
        <v>1021.0722999999998</v>
      </c>
      <c r="G263" s="303">
        <v>0.05</v>
      </c>
      <c r="H263" s="197">
        <f>(G263*F263)+(G263*F263*0.3)</f>
        <v>66.369699499999996</v>
      </c>
    </row>
    <row r="264" spans="2:8" s="71" customFormat="1" ht="20.100000000000001" customHeight="1" x14ac:dyDescent="0.25">
      <c r="B264" s="200"/>
      <c r="C264" s="163"/>
      <c r="D264" s="70" t="s">
        <v>99</v>
      </c>
      <c r="E264" s="277" t="s">
        <v>14</v>
      </c>
      <c r="F264" s="303">
        <f>H132</f>
        <v>339.98309999999992</v>
      </c>
      <c r="G264" s="303">
        <v>0.05</v>
      </c>
      <c r="H264" s="197">
        <f t="shared" ref="H264:H272" si="6">(G264*F264)+(G264*F264*0.3)</f>
        <v>22.098901499999997</v>
      </c>
    </row>
    <row r="265" spans="2:8" s="71" customFormat="1" ht="20.100000000000001" customHeight="1" x14ac:dyDescent="0.25">
      <c r="B265" s="200"/>
      <c r="C265" s="163"/>
      <c r="D265" s="70" t="s">
        <v>114</v>
      </c>
      <c r="E265" s="277" t="s">
        <v>14</v>
      </c>
      <c r="F265" s="303">
        <f>H145</f>
        <v>96.816699999999997</v>
      </c>
      <c r="G265" s="303">
        <v>0.02</v>
      </c>
      <c r="H265" s="197">
        <f t="shared" si="6"/>
        <v>2.5172341999999999</v>
      </c>
    </row>
    <row r="266" spans="2:8" s="71" customFormat="1" ht="20.100000000000001" customHeight="1" x14ac:dyDescent="0.25">
      <c r="B266" s="200"/>
      <c r="C266" s="163"/>
      <c r="D266" s="70" t="s">
        <v>126</v>
      </c>
      <c r="E266" s="277" t="s">
        <v>14</v>
      </c>
      <c r="F266" s="303">
        <f>H162</f>
        <v>117.03999999999999</v>
      </c>
      <c r="G266" s="303">
        <v>0.02</v>
      </c>
      <c r="H266" s="197">
        <f t="shared" si="6"/>
        <v>3.0430399999999995</v>
      </c>
    </row>
    <row r="267" spans="2:8" s="71" customFormat="1" ht="20.100000000000001" customHeight="1" x14ac:dyDescent="0.25">
      <c r="B267" s="200"/>
      <c r="C267" s="163"/>
      <c r="D267" s="70" t="s">
        <v>131</v>
      </c>
      <c r="E267" s="277" t="s">
        <v>14</v>
      </c>
      <c r="F267" s="303">
        <f>H167</f>
        <v>171.53399999999999</v>
      </c>
      <c r="G267" s="303">
        <v>0.02</v>
      </c>
      <c r="H267" s="197">
        <f t="shared" si="6"/>
        <v>4.4598839999999997</v>
      </c>
    </row>
    <row r="268" spans="2:8" s="71" customFormat="1" ht="20.100000000000001" customHeight="1" x14ac:dyDescent="0.25">
      <c r="B268" s="200"/>
      <c r="C268" s="163"/>
      <c r="D268" s="70" t="s">
        <v>137</v>
      </c>
      <c r="E268" s="277" t="s">
        <v>14</v>
      </c>
      <c r="F268" s="303">
        <f>H175</f>
        <v>22.76</v>
      </c>
      <c r="G268" s="303">
        <v>0.02</v>
      </c>
      <c r="H268" s="197">
        <f t="shared" si="6"/>
        <v>0.59176000000000006</v>
      </c>
    </row>
    <row r="269" spans="2:8" s="71" customFormat="1" ht="20.100000000000001" customHeight="1" x14ac:dyDescent="0.25">
      <c r="B269" s="200"/>
      <c r="C269" s="163"/>
      <c r="D269" s="70" t="s">
        <v>150</v>
      </c>
      <c r="E269" s="277" t="s">
        <v>14</v>
      </c>
      <c r="F269" s="303">
        <f>H187</f>
        <v>7.5600000000000005</v>
      </c>
      <c r="G269" s="303">
        <v>0.03</v>
      </c>
      <c r="H269" s="197">
        <f t="shared" si="6"/>
        <v>0.29483999999999999</v>
      </c>
    </row>
    <row r="270" spans="2:8" s="71" customFormat="1" ht="20.100000000000001" customHeight="1" x14ac:dyDescent="0.25">
      <c r="B270" s="200"/>
      <c r="C270" s="163"/>
      <c r="D270" s="70" t="s">
        <v>154</v>
      </c>
      <c r="E270" s="277" t="s">
        <v>155</v>
      </c>
      <c r="F270" s="303">
        <f>H190</f>
        <v>10.711499999999999</v>
      </c>
      <c r="G270" s="303">
        <v>0.14000000000000001</v>
      </c>
      <c r="H270" s="197">
        <f t="shared" si="6"/>
        <v>1.9494930000000001</v>
      </c>
    </row>
    <row r="271" spans="2:8" s="71" customFormat="1" ht="19.5" customHeight="1" x14ac:dyDescent="0.25">
      <c r="B271" s="200"/>
      <c r="C271" s="163"/>
      <c r="D271" s="70" t="s">
        <v>197</v>
      </c>
      <c r="E271" s="277" t="s">
        <v>14</v>
      </c>
      <c r="F271" s="303">
        <f>H248</f>
        <v>114.76219999999998</v>
      </c>
      <c r="G271" s="303">
        <v>0.02</v>
      </c>
      <c r="H271" s="197">
        <f t="shared" si="6"/>
        <v>2.9838171999999998</v>
      </c>
    </row>
    <row r="272" spans="2:8" s="71" customFormat="1" ht="19.5" customHeight="1" x14ac:dyDescent="0.25">
      <c r="B272" s="200"/>
      <c r="C272" s="163"/>
      <c r="D272" s="70" t="s">
        <v>209</v>
      </c>
      <c r="E272" s="277" t="s">
        <v>14</v>
      </c>
      <c r="F272" s="303">
        <f>H256</f>
        <v>28.324000000000002</v>
      </c>
      <c r="G272" s="303">
        <v>0.3</v>
      </c>
      <c r="H272" s="197">
        <f t="shared" si="6"/>
        <v>11.04636</v>
      </c>
    </row>
    <row r="273" spans="2:8" s="71" customFormat="1" ht="19.5" customHeight="1" x14ac:dyDescent="0.25">
      <c r="B273" s="200"/>
      <c r="C273" s="163"/>
      <c r="D273" s="70"/>
      <c r="E273" s="277"/>
      <c r="F273" s="303"/>
      <c r="G273" s="303"/>
      <c r="H273" s="197"/>
    </row>
    <row r="274" spans="2:8" s="71" customFormat="1" ht="20.100000000000001" customHeight="1" x14ac:dyDescent="0.25">
      <c r="B274" s="379" t="s">
        <v>217</v>
      </c>
      <c r="C274" s="380"/>
      <c r="D274" s="381"/>
      <c r="E274" s="381"/>
      <c r="F274" s="381"/>
      <c r="G274" s="381"/>
      <c r="H274" s="382"/>
    </row>
    <row r="275" spans="2:8" s="71" customFormat="1" ht="20.100000000000001" customHeight="1" x14ac:dyDescent="0.25">
      <c r="B275" s="319">
        <v>3</v>
      </c>
      <c r="C275" s="115">
        <v>40000</v>
      </c>
      <c r="D275" s="390" t="s">
        <v>218</v>
      </c>
      <c r="E275" s="391"/>
      <c r="F275" s="391"/>
      <c r="G275" s="392"/>
      <c r="H275" s="201" t="s">
        <v>11</v>
      </c>
    </row>
    <row r="276" spans="2:8" s="71" customFormat="1" ht="20.100000000000001" customHeight="1" x14ac:dyDescent="0.25">
      <c r="B276" s="198" t="s">
        <v>219</v>
      </c>
      <c r="C276" s="108">
        <v>40103</v>
      </c>
      <c r="D276" s="78" t="s">
        <v>220</v>
      </c>
      <c r="E276" s="216" t="s">
        <v>155</v>
      </c>
      <c r="F276" s="298" t="s">
        <v>156</v>
      </c>
      <c r="G276" s="298" t="s">
        <v>16</v>
      </c>
      <c r="H276" s="199">
        <f>H277</f>
        <v>0.186</v>
      </c>
    </row>
    <row r="277" spans="2:8" s="71" customFormat="1" ht="20.100000000000001" customHeight="1" x14ac:dyDescent="0.25">
      <c r="B277" s="200"/>
      <c r="C277" s="163"/>
      <c r="D277" s="70" t="s">
        <v>221</v>
      </c>
      <c r="E277" s="72" t="s">
        <v>155</v>
      </c>
      <c r="F277" s="303">
        <v>3.1E-2</v>
      </c>
      <c r="G277" s="303">
        <v>2</v>
      </c>
      <c r="H277" s="197">
        <f>G277*F277*3</f>
        <v>0.186</v>
      </c>
    </row>
    <row r="278" spans="2:8" s="71" customFormat="1" ht="20.100000000000001" customHeight="1" x14ac:dyDescent="0.25">
      <c r="B278" s="198" t="s">
        <v>222</v>
      </c>
      <c r="C278" s="108">
        <v>41002</v>
      </c>
      <c r="D278" s="78" t="s">
        <v>223</v>
      </c>
      <c r="E278" s="304" t="s">
        <v>155</v>
      </c>
      <c r="F278" s="416" t="s">
        <v>156</v>
      </c>
      <c r="G278" s="416"/>
      <c r="H278" s="199">
        <f>H279</f>
        <v>0.09</v>
      </c>
    </row>
    <row r="279" spans="2:8" s="71" customFormat="1" ht="20.100000000000001" customHeight="1" x14ac:dyDescent="0.25">
      <c r="B279" s="200"/>
      <c r="C279" s="163"/>
      <c r="D279" s="70" t="s">
        <v>221</v>
      </c>
      <c r="E279" s="72" t="s">
        <v>155</v>
      </c>
      <c r="F279" s="384">
        <v>0.03</v>
      </c>
      <c r="G279" s="385"/>
      <c r="H279" s="197">
        <f>F279*3</f>
        <v>0.09</v>
      </c>
    </row>
    <row r="280" spans="2:8" s="71" customFormat="1" ht="20.100000000000001" customHeight="1" x14ac:dyDescent="0.25">
      <c r="B280" s="200"/>
      <c r="C280" s="163"/>
      <c r="D280" s="70"/>
      <c r="E280" s="72"/>
      <c r="F280" s="305"/>
      <c r="G280" s="306"/>
      <c r="H280" s="197"/>
    </row>
    <row r="281" spans="2:8" s="71" customFormat="1" ht="20.100000000000001" customHeight="1" x14ac:dyDescent="0.25">
      <c r="B281" s="379" t="s">
        <v>224</v>
      </c>
      <c r="C281" s="380"/>
      <c r="D281" s="381"/>
      <c r="E281" s="381"/>
      <c r="F281" s="381"/>
      <c r="G281" s="381"/>
      <c r="H281" s="382"/>
    </row>
    <row r="282" spans="2:8" s="71" customFormat="1" ht="20.100000000000001" customHeight="1" x14ac:dyDescent="0.25">
      <c r="B282" s="319">
        <v>4</v>
      </c>
      <c r="C282" s="115">
        <v>50000</v>
      </c>
      <c r="D282" s="380" t="s">
        <v>225</v>
      </c>
      <c r="E282" s="380"/>
      <c r="F282" s="380"/>
      <c r="G282" s="380"/>
      <c r="H282" s="450"/>
    </row>
    <row r="283" spans="2:8" s="71" customFormat="1" ht="20.100000000000001" customHeight="1" x14ac:dyDescent="0.25">
      <c r="B283" s="388"/>
      <c r="C283" s="389"/>
      <c r="D283" s="390" t="s">
        <v>226</v>
      </c>
      <c r="E283" s="391"/>
      <c r="F283" s="391"/>
      <c r="G283" s="392"/>
      <c r="H283" s="201" t="s">
        <v>227</v>
      </c>
    </row>
    <row r="284" spans="2:8" s="71" customFormat="1" ht="20.100000000000001" customHeight="1" x14ac:dyDescent="0.25">
      <c r="B284" s="198" t="s">
        <v>228</v>
      </c>
      <c r="C284" s="108">
        <v>50901</v>
      </c>
      <c r="D284" s="78" t="s">
        <v>229</v>
      </c>
      <c r="E284" s="216" t="s">
        <v>155</v>
      </c>
      <c r="F284" s="298" t="s">
        <v>156</v>
      </c>
      <c r="G284" s="298" t="s">
        <v>16</v>
      </c>
      <c r="H284" s="199">
        <f>SUM(H286)</f>
        <v>1.5</v>
      </c>
    </row>
    <row r="285" spans="2:8" s="71" customFormat="1" ht="20.100000000000001" customHeight="1" x14ac:dyDescent="0.25">
      <c r="B285" s="363"/>
      <c r="C285" s="364"/>
      <c r="D285" s="235" t="s">
        <v>230</v>
      </c>
      <c r="E285" s="236" t="s">
        <v>155</v>
      </c>
      <c r="F285" s="233" t="s">
        <v>156</v>
      </c>
      <c r="G285" s="233" t="s">
        <v>16</v>
      </c>
      <c r="H285" s="237">
        <f>H286</f>
        <v>1.5</v>
      </c>
    </row>
    <row r="286" spans="2:8" s="71" customFormat="1" ht="20.100000000000001" customHeight="1" x14ac:dyDescent="0.25">
      <c r="B286" s="367"/>
      <c r="C286" s="368"/>
      <c r="D286" s="79" t="s">
        <v>231</v>
      </c>
      <c r="E286" s="234" t="s">
        <v>155</v>
      </c>
      <c r="F286" s="328">
        <f>0.5*0.5</f>
        <v>0.25</v>
      </c>
      <c r="G286" s="297">
        <v>2</v>
      </c>
      <c r="H286" s="220">
        <f>3*G286*F286</f>
        <v>1.5</v>
      </c>
    </row>
    <row r="287" spans="2:8" s="71" customFormat="1" ht="20.100000000000001" customHeight="1" x14ac:dyDescent="0.25">
      <c r="B287" s="198" t="s">
        <v>232</v>
      </c>
      <c r="C287" s="108">
        <v>51024</v>
      </c>
      <c r="D287" s="78" t="s">
        <v>233</v>
      </c>
      <c r="E287" s="304" t="s">
        <v>155</v>
      </c>
      <c r="F287" s="298" t="s">
        <v>234</v>
      </c>
      <c r="G287" s="298" t="s">
        <v>157</v>
      </c>
      <c r="H287" s="219">
        <f>H289</f>
        <v>0.375</v>
      </c>
    </row>
    <row r="288" spans="2:8" s="71" customFormat="1" ht="20.100000000000001" customHeight="1" x14ac:dyDescent="0.25">
      <c r="B288" s="361"/>
      <c r="C288" s="362"/>
      <c r="D288" s="235" t="s">
        <v>230</v>
      </c>
      <c r="E288" s="236" t="s">
        <v>155</v>
      </c>
      <c r="F288" s="233" t="s">
        <v>156</v>
      </c>
      <c r="G288" s="233" t="s">
        <v>157</v>
      </c>
      <c r="H288" s="237">
        <f>H289</f>
        <v>0.375</v>
      </c>
    </row>
    <row r="289" spans="2:8" s="71" customFormat="1" ht="20.100000000000001" customHeight="1" x14ac:dyDescent="0.25">
      <c r="B289" s="361"/>
      <c r="C289" s="362"/>
      <c r="D289" s="238" t="s">
        <v>235</v>
      </c>
      <c r="E289" s="72" t="s">
        <v>155</v>
      </c>
      <c r="F289" s="276">
        <f>0.5*0.5</f>
        <v>0.25</v>
      </c>
      <c r="G289" s="239">
        <v>0.5</v>
      </c>
      <c r="H289" s="240">
        <f>3*G289*F289</f>
        <v>0.375</v>
      </c>
    </row>
    <row r="290" spans="2:8" s="71" customFormat="1" ht="20.100000000000001" customHeight="1" x14ac:dyDescent="0.25">
      <c r="B290" s="198" t="s">
        <v>236</v>
      </c>
      <c r="C290" s="108">
        <v>52004</v>
      </c>
      <c r="D290" s="78" t="s">
        <v>237</v>
      </c>
      <c r="E290" s="304" t="s">
        <v>238</v>
      </c>
      <c r="F290" s="298" t="s">
        <v>15</v>
      </c>
      <c r="G290" s="298" t="s">
        <v>239</v>
      </c>
      <c r="H290" s="199">
        <f>H292</f>
        <v>1.8000000000000003</v>
      </c>
    </row>
    <row r="291" spans="2:8" s="71" customFormat="1" ht="20.100000000000001" customHeight="1" x14ac:dyDescent="0.25">
      <c r="B291" s="361"/>
      <c r="C291" s="362"/>
      <c r="D291" s="235" t="s">
        <v>230</v>
      </c>
      <c r="E291" s="236" t="s">
        <v>238</v>
      </c>
      <c r="F291" s="233" t="s">
        <v>15</v>
      </c>
      <c r="G291" s="233" t="s">
        <v>239</v>
      </c>
      <c r="H291" s="237">
        <f>H292</f>
        <v>1.8000000000000003</v>
      </c>
    </row>
    <row r="292" spans="2:8" s="71" customFormat="1" ht="20.100000000000001" customHeight="1" x14ac:dyDescent="0.25">
      <c r="B292" s="361"/>
      <c r="C292" s="362"/>
      <c r="D292" s="238" t="s">
        <v>235</v>
      </c>
      <c r="E292" s="72" t="s">
        <v>238</v>
      </c>
      <c r="F292" s="303">
        <f>1.5</f>
        <v>1.5</v>
      </c>
      <c r="G292" s="303">
        <v>0.4</v>
      </c>
      <c r="H292" s="202">
        <f>G292*F292*3</f>
        <v>1.8000000000000003</v>
      </c>
    </row>
    <row r="293" spans="2:8" s="71" customFormat="1" ht="20.100000000000001" customHeight="1" x14ac:dyDescent="0.25">
      <c r="B293" s="198" t="s">
        <v>240</v>
      </c>
      <c r="C293" s="108">
        <v>51032</v>
      </c>
      <c r="D293" s="78" t="s">
        <v>241</v>
      </c>
      <c r="E293" s="304" t="s">
        <v>155</v>
      </c>
      <c r="F293" s="298" t="s">
        <v>156</v>
      </c>
      <c r="G293" s="298" t="s">
        <v>16</v>
      </c>
      <c r="H293" s="199">
        <f>H295</f>
        <v>1.5</v>
      </c>
    </row>
    <row r="294" spans="2:8" s="71" customFormat="1" ht="20.100000000000001" customHeight="1" x14ac:dyDescent="0.25">
      <c r="B294" s="361"/>
      <c r="C294" s="362"/>
      <c r="D294" s="235" t="s">
        <v>230</v>
      </c>
      <c r="E294" s="236" t="s">
        <v>155</v>
      </c>
      <c r="F294" s="233" t="s">
        <v>156</v>
      </c>
      <c r="G294" s="233" t="s">
        <v>16</v>
      </c>
      <c r="H294" s="237">
        <f>H295</f>
        <v>1.5</v>
      </c>
    </row>
    <row r="295" spans="2:8" s="71" customFormat="1" ht="20.100000000000001" customHeight="1" x14ac:dyDescent="0.25">
      <c r="B295" s="361"/>
      <c r="C295" s="362"/>
      <c r="D295" s="238" t="s">
        <v>235</v>
      </c>
      <c r="E295" s="72" t="s">
        <v>155</v>
      </c>
      <c r="F295" s="205">
        <f>0.5*0.5</f>
        <v>0.25</v>
      </c>
      <c r="G295" s="303">
        <v>2</v>
      </c>
      <c r="H295" s="202">
        <f>3*G295*F295</f>
        <v>1.5</v>
      </c>
    </row>
    <row r="296" spans="2:8" s="71" customFormat="1" ht="20.100000000000001" customHeight="1" x14ac:dyDescent="0.25">
      <c r="B296" s="388"/>
      <c r="C296" s="389"/>
      <c r="D296" s="390" t="s">
        <v>242</v>
      </c>
      <c r="E296" s="391"/>
      <c r="F296" s="391"/>
      <c r="G296" s="392"/>
      <c r="H296" s="201" t="s">
        <v>227</v>
      </c>
    </row>
    <row r="297" spans="2:8" s="71" customFormat="1" ht="20.100000000000001" customHeight="1" x14ac:dyDescent="0.25">
      <c r="B297" s="198" t="s">
        <v>243</v>
      </c>
      <c r="C297" s="108">
        <v>51009</v>
      </c>
      <c r="D297" s="78" t="s">
        <v>244</v>
      </c>
      <c r="E297" s="304" t="s">
        <v>14</v>
      </c>
      <c r="F297" s="416" t="s">
        <v>156</v>
      </c>
      <c r="G297" s="416"/>
      <c r="H297" s="199">
        <f>H299</f>
        <v>4.8000000000000007</v>
      </c>
    </row>
    <row r="298" spans="2:8" s="71" customFormat="1" ht="20.100000000000001" customHeight="1" x14ac:dyDescent="0.25">
      <c r="B298" s="459"/>
      <c r="C298" s="460"/>
      <c r="D298" s="235" t="s">
        <v>230</v>
      </c>
      <c r="E298" s="236" t="s">
        <v>14</v>
      </c>
      <c r="F298" s="461" t="s">
        <v>156</v>
      </c>
      <c r="G298" s="462"/>
      <c r="H298" s="241">
        <f>H299</f>
        <v>4.8000000000000007</v>
      </c>
    </row>
    <row r="299" spans="2:8" s="71" customFormat="1" ht="20.100000000000001" customHeight="1" x14ac:dyDescent="0.25">
      <c r="B299" s="459"/>
      <c r="C299" s="460"/>
      <c r="D299" s="79" t="s">
        <v>231</v>
      </c>
      <c r="E299" s="72" t="s">
        <v>14</v>
      </c>
      <c r="F299" s="458">
        <f>0.4*4</f>
        <v>1.6</v>
      </c>
      <c r="G299" s="458"/>
      <c r="H299" s="220">
        <f>F299*3</f>
        <v>4.8000000000000007</v>
      </c>
    </row>
    <row r="300" spans="2:8" s="71" customFormat="1" ht="20.100000000000001" customHeight="1" x14ac:dyDescent="0.25">
      <c r="B300" s="198" t="s">
        <v>245</v>
      </c>
      <c r="C300" s="108">
        <v>52004</v>
      </c>
      <c r="D300" s="78" t="s">
        <v>237</v>
      </c>
      <c r="E300" s="304" t="s">
        <v>238</v>
      </c>
      <c r="F300" s="298" t="s">
        <v>15</v>
      </c>
      <c r="G300" s="298" t="s">
        <v>239</v>
      </c>
      <c r="H300" s="199">
        <f>H302</f>
        <v>15.264000000000003</v>
      </c>
    </row>
    <row r="301" spans="2:8" s="71" customFormat="1" ht="20.100000000000001" customHeight="1" x14ac:dyDescent="0.25">
      <c r="B301" s="361"/>
      <c r="C301" s="362"/>
      <c r="D301" s="235" t="s">
        <v>230</v>
      </c>
      <c r="E301" s="236" t="s">
        <v>238</v>
      </c>
      <c r="F301" s="242" t="s">
        <v>15</v>
      </c>
      <c r="G301" s="242" t="s">
        <v>239</v>
      </c>
      <c r="H301" s="237">
        <f>H302</f>
        <v>15.264000000000003</v>
      </c>
    </row>
    <row r="302" spans="2:8" s="71" customFormat="1" ht="20.100000000000001" customHeight="1" x14ac:dyDescent="0.25">
      <c r="B302" s="361"/>
      <c r="C302" s="362"/>
      <c r="D302" s="79" t="s">
        <v>231</v>
      </c>
      <c r="E302" s="72" t="s">
        <v>238</v>
      </c>
      <c r="F302" s="303">
        <f>(4*1.5)+(8*1.34)*3</f>
        <v>38.160000000000004</v>
      </c>
      <c r="G302" s="303">
        <v>0.4</v>
      </c>
      <c r="H302" s="202">
        <f>G302*F302</f>
        <v>15.264000000000003</v>
      </c>
    </row>
    <row r="303" spans="2:8" s="71" customFormat="1" ht="20.100000000000001" customHeight="1" x14ac:dyDescent="0.25">
      <c r="B303" s="198" t="s">
        <v>246</v>
      </c>
      <c r="C303" s="108">
        <v>51032</v>
      </c>
      <c r="D303" s="78" t="s">
        <v>241</v>
      </c>
      <c r="E303" s="304" t="s">
        <v>155</v>
      </c>
      <c r="F303" s="298" t="s">
        <v>156</v>
      </c>
      <c r="G303" s="298" t="s">
        <v>16</v>
      </c>
      <c r="H303" s="199">
        <f>H305</f>
        <v>0.19200000000000006</v>
      </c>
    </row>
    <row r="304" spans="2:8" s="71" customFormat="1" ht="20.100000000000001" customHeight="1" x14ac:dyDescent="0.25">
      <c r="B304" s="361"/>
      <c r="C304" s="362"/>
      <c r="D304" s="235" t="s">
        <v>230</v>
      </c>
      <c r="E304" s="236" t="s">
        <v>155</v>
      </c>
      <c r="F304" s="242" t="s">
        <v>156</v>
      </c>
      <c r="G304" s="242" t="s">
        <v>16</v>
      </c>
      <c r="H304" s="237">
        <f>H305</f>
        <v>0.19200000000000006</v>
      </c>
    </row>
    <row r="305" spans="2:8" s="71" customFormat="1" ht="20.100000000000001" customHeight="1" x14ac:dyDescent="0.25">
      <c r="B305" s="361"/>
      <c r="C305" s="362"/>
      <c r="D305" s="79" t="s">
        <v>231</v>
      </c>
      <c r="E305" s="72" t="s">
        <v>155</v>
      </c>
      <c r="F305" s="303">
        <f>0.4*0.4</f>
        <v>0.16000000000000003</v>
      </c>
      <c r="G305" s="303">
        <v>0.4</v>
      </c>
      <c r="H305" s="202">
        <f>3*G305*F305</f>
        <v>0.19200000000000006</v>
      </c>
    </row>
    <row r="306" spans="2:8" s="71" customFormat="1" ht="20.100000000000001" customHeight="1" x14ac:dyDescent="0.25">
      <c r="B306" s="307"/>
      <c r="C306" s="320"/>
      <c r="D306" s="290"/>
      <c r="E306" s="341"/>
      <c r="F306" s="342"/>
      <c r="G306" s="342"/>
      <c r="H306" s="243"/>
    </row>
    <row r="307" spans="2:8" s="71" customFormat="1" ht="20.100000000000001" customHeight="1" x14ac:dyDescent="0.25">
      <c r="B307" s="409" t="s">
        <v>247</v>
      </c>
      <c r="C307" s="391"/>
      <c r="D307" s="391"/>
      <c r="E307" s="391"/>
      <c r="F307" s="391"/>
      <c r="G307" s="391"/>
      <c r="H307" s="410"/>
    </row>
    <row r="308" spans="2:8" s="71" customFormat="1" ht="20.100000000000001" customHeight="1" x14ac:dyDescent="0.25">
      <c r="B308" s="319">
        <v>5</v>
      </c>
      <c r="C308" s="115">
        <v>60000</v>
      </c>
      <c r="D308" s="390" t="s">
        <v>248</v>
      </c>
      <c r="E308" s="391"/>
      <c r="F308" s="391"/>
      <c r="G308" s="392"/>
      <c r="H308" s="201" t="s">
        <v>227</v>
      </c>
    </row>
    <row r="309" spans="2:8" s="71" customFormat="1" ht="20.100000000000001" customHeight="1" x14ac:dyDescent="0.25">
      <c r="B309" s="198" t="s">
        <v>249</v>
      </c>
      <c r="C309" s="108">
        <v>60305</v>
      </c>
      <c r="D309" s="78" t="s">
        <v>250</v>
      </c>
      <c r="E309" s="216" t="s">
        <v>251</v>
      </c>
      <c r="F309" s="298" t="s">
        <v>15</v>
      </c>
      <c r="G309" s="298" t="s">
        <v>239</v>
      </c>
      <c r="H309" s="199">
        <f>SUM(H310:H313)</f>
        <v>30.996000000000002</v>
      </c>
    </row>
    <row r="310" spans="2:8" s="71" customFormat="1" ht="20.100000000000001" customHeight="1" x14ac:dyDescent="0.25">
      <c r="B310" s="200"/>
      <c r="D310" s="79" t="s">
        <v>252</v>
      </c>
      <c r="E310" s="72" t="s">
        <v>251</v>
      </c>
      <c r="F310" s="303">
        <v>10.8</v>
      </c>
      <c r="G310" s="303">
        <v>0.63</v>
      </c>
      <c r="H310" s="202">
        <f t="shared" ref="H310:H313" si="7">G310*F310</f>
        <v>6.8040000000000003</v>
      </c>
    </row>
    <row r="311" spans="2:8" s="71" customFormat="1" ht="20.100000000000001" customHeight="1" x14ac:dyDescent="0.25">
      <c r="B311" s="200"/>
      <c r="D311" s="79" t="s">
        <v>253</v>
      </c>
      <c r="E311" s="72" t="s">
        <v>251</v>
      </c>
      <c r="F311" s="303">
        <v>12.8</v>
      </c>
      <c r="G311" s="303">
        <v>0.63</v>
      </c>
      <c r="H311" s="202">
        <f t="shared" si="7"/>
        <v>8.0640000000000001</v>
      </c>
    </row>
    <row r="312" spans="2:8" s="71" customFormat="1" ht="20.100000000000001" customHeight="1" x14ac:dyDescent="0.25">
      <c r="B312" s="200"/>
      <c r="D312" s="79" t="s">
        <v>254</v>
      </c>
      <c r="E312" s="72" t="s">
        <v>251</v>
      </c>
      <c r="F312" s="303">
        <v>12.8</v>
      </c>
      <c r="G312" s="303">
        <v>0.63</v>
      </c>
      <c r="H312" s="202">
        <f t="shared" si="7"/>
        <v>8.0640000000000001</v>
      </c>
    </row>
    <row r="313" spans="2:8" s="71" customFormat="1" ht="20.100000000000001" customHeight="1" x14ac:dyDescent="0.25">
      <c r="B313" s="200"/>
      <c r="D313" s="79" t="s">
        <v>255</v>
      </c>
      <c r="E313" s="72" t="s">
        <v>251</v>
      </c>
      <c r="F313" s="303">
        <v>12.8</v>
      </c>
      <c r="G313" s="303">
        <v>0.63</v>
      </c>
      <c r="H313" s="202">
        <f t="shared" si="7"/>
        <v>8.0640000000000001</v>
      </c>
    </row>
    <row r="314" spans="2:8" s="71" customFormat="1" ht="20.100000000000001" customHeight="1" x14ac:dyDescent="0.25">
      <c r="B314" s="198" t="s">
        <v>256</v>
      </c>
      <c r="C314" s="107">
        <v>60314</v>
      </c>
      <c r="D314" s="78" t="s">
        <v>257</v>
      </c>
      <c r="E314" s="216" t="s">
        <v>251</v>
      </c>
      <c r="F314" s="298" t="s">
        <v>15</v>
      </c>
      <c r="G314" s="298" t="s">
        <v>239</v>
      </c>
      <c r="H314" s="199">
        <f>SUM(H315:H318)</f>
        <v>8.4480000000000004</v>
      </c>
    </row>
    <row r="315" spans="2:8" s="71" customFormat="1" ht="20.100000000000001" customHeight="1" x14ac:dyDescent="0.25">
      <c r="B315" s="200"/>
      <c r="D315" s="79" t="s">
        <v>252</v>
      </c>
      <c r="E315" s="72" t="s">
        <v>251</v>
      </c>
      <c r="F315" s="303">
        <v>10.8</v>
      </c>
      <c r="G315" s="303">
        <v>0.16</v>
      </c>
      <c r="H315" s="202">
        <f>G315*F315</f>
        <v>1.7280000000000002</v>
      </c>
    </row>
    <row r="316" spans="2:8" s="71" customFormat="1" ht="20.100000000000001" customHeight="1" x14ac:dyDescent="0.25">
      <c r="B316" s="200"/>
      <c r="D316" s="79" t="s">
        <v>253</v>
      </c>
      <c r="E316" s="72" t="s">
        <v>251</v>
      </c>
      <c r="F316" s="205">
        <v>14</v>
      </c>
      <c r="G316" s="303">
        <v>0.16</v>
      </c>
      <c r="H316" s="202">
        <f>G316*F316</f>
        <v>2.2400000000000002</v>
      </c>
    </row>
    <row r="317" spans="2:8" s="71" customFormat="1" ht="20.100000000000001" customHeight="1" x14ac:dyDescent="0.25">
      <c r="B317" s="200"/>
      <c r="D317" s="79" t="s">
        <v>254</v>
      </c>
      <c r="E317" s="72" t="s">
        <v>251</v>
      </c>
      <c r="F317" s="205">
        <v>14</v>
      </c>
      <c r="G317" s="303">
        <v>0.16</v>
      </c>
      <c r="H317" s="202">
        <f>G317*F317</f>
        <v>2.2400000000000002</v>
      </c>
    </row>
    <row r="318" spans="2:8" s="71" customFormat="1" ht="20.100000000000001" customHeight="1" x14ac:dyDescent="0.25">
      <c r="B318" s="200"/>
      <c r="D318" s="79" t="s">
        <v>255</v>
      </c>
      <c r="E318" s="72" t="s">
        <v>251</v>
      </c>
      <c r="F318" s="205">
        <v>14</v>
      </c>
      <c r="G318" s="303">
        <v>0.16</v>
      </c>
      <c r="H318" s="202">
        <f>G318*F318</f>
        <v>2.2400000000000002</v>
      </c>
    </row>
    <row r="319" spans="2:8" s="71" customFormat="1" ht="20.100000000000001" customHeight="1" x14ac:dyDescent="0.25">
      <c r="B319" s="198" t="s">
        <v>258</v>
      </c>
      <c r="C319" s="108">
        <v>60517</v>
      </c>
      <c r="D319" s="78" t="s">
        <v>259</v>
      </c>
      <c r="E319" s="216" t="s">
        <v>155</v>
      </c>
      <c r="F319" s="298" t="s">
        <v>260</v>
      </c>
      <c r="G319" s="298" t="s">
        <v>15</v>
      </c>
      <c r="H319" s="199">
        <f>SUM(H320:H323)</f>
        <v>0.47</v>
      </c>
    </row>
    <row r="320" spans="2:8" s="71" customFormat="1" ht="20.100000000000001" customHeight="1" x14ac:dyDescent="0.25">
      <c r="B320" s="369"/>
      <c r="C320" s="370"/>
      <c r="D320" s="79" t="s">
        <v>252</v>
      </c>
      <c r="E320" s="72" t="s">
        <v>155</v>
      </c>
      <c r="F320" s="303">
        <v>0.04</v>
      </c>
      <c r="G320" s="303">
        <v>5</v>
      </c>
      <c r="H320" s="243">
        <f>G320*F320</f>
        <v>0.2</v>
      </c>
    </row>
    <row r="321" spans="2:8" s="71" customFormat="1" ht="20.100000000000001" customHeight="1" x14ac:dyDescent="0.25">
      <c r="B321" s="371"/>
      <c r="C321" s="372"/>
      <c r="D321" s="79" t="s">
        <v>253</v>
      </c>
      <c r="E321" s="72" t="s">
        <v>155</v>
      </c>
      <c r="F321" s="303">
        <v>0.03</v>
      </c>
      <c r="G321" s="303">
        <v>3</v>
      </c>
      <c r="H321" s="243">
        <f t="shared" ref="H321:H323" si="8">G321*F321</f>
        <v>0.09</v>
      </c>
    </row>
    <row r="322" spans="2:8" s="71" customFormat="1" ht="20.100000000000001" customHeight="1" x14ac:dyDescent="0.25">
      <c r="B322" s="371"/>
      <c r="C322" s="372"/>
      <c r="D322" s="79" t="s">
        <v>254</v>
      </c>
      <c r="E322" s="72" t="s">
        <v>155</v>
      </c>
      <c r="F322" s="303">
        <v>0.03</v>
      </c>
      <c r="G322" s="303">
        <v>3</v>
      </c>
      <c r="H322" s="243">
        <f t="shared" si="8"/>
        <v>0.09</v>
      </c>
    </row>
    <row r="323" spans="2:8" s="71" customFormat="1" ht="20.100000000000001" customHeight="1" x14ac:dyDescent="0.25">
      <c r="B323" s="373"/>
      <c r="C323" s="374"/>
      <c r="D323" s="79" t="s">
        <v>255</v>
      </c>
      <c r="E323" s="72" t="s">
        <v>155</v>
      </c>
      <c r="F323" s="303">
        <v>0.03</v>
      </c>
      <c r="G323" s="303">
        <v>3</v>
      </c>
      <c r="H323" s="243">
        <f t="shared" si="8"/>
        <v>0.09</v>
      </c>
    </row>
    <row r="324" spans="2:8" s="71" customFormat="1" ht="20.100000000000001" customHeight="1" x14ac:dyDescent="0.25">
      <c r="B324" s="198" t="s">
        <v>261</v>
      </c>
      <c r="C324" s="108">
        <v>60801</v>
      </c>
      <c r="D324" s="78" t="s">
        <v>262</v>
      </c>
      <c r="E324" s="216" t="s">
        <v>155</v>
      </c>
      <c r="F324" s="298" t="s">
        <v>260</v>
      </c>
      <c r="G324" s="298" t="s">
        <v>15</v>
      </c>
      <c r="H324" s="199">
        <f>SUM(H325:H328)</f>
        <v>0.47</v>
      </c>
    </row>
    <row r="325" spans="2:8" s="71" customFormat="1" ht="20.100000000000001" customHeight="1" x14ac:dyDescent="0.25">
      <c r="B325" s="200"/>
      <c r="D325" s="79" t="s">
        <v>252</v>
      </c>
      <c r="E325" s="72" t="s">
        <v>155</v>
      </c>
      <c r="F325" s="303">
        <v>0.04</v>
      </c>
      <c r="G325" s="303">
        <v>5</v>
      </c>
      <c r="H325" s="243">
        <f>G325*F325</f>
        <v>0.2</v>
      </c>
    </row>
    <row r="326" spans="2:8" s="71" customFormat="1" ht="20.100000000000001" customHeight="1" x14ac:dyDescent="0.25">
      <c r="B326" s="200"/>
      <c r="D326" s="79" t="s">
        <v>253</v>
      </c>
      <c r="E326" s="72" t="s">
        <v>155</v>
      </c>
      <c r="F326" s="303">
        <v>0.03</v>
      </c>
      <c r="G326" s="303">
        <v>3</v>
      </c>
      <c r="H326" s="243">
        <f t="shared" ref="H326:H328" si="9">G326*F326</f>
        <v>0.09</v>
      </c>
    </row>
    <row r="327" spans="2:8" s="71" customFormat="1" ht="20.100000000000001" customHeight="1" x14ac:dyDescent="0.25">
      <c r="B327" s="200"/>
      <c r="D327" s="79" t="s">
        <v>254</v>
      </c>
      <c r="E327" s="72" t="s">
        <v>155</v>
      </c>
      <c r="F327" s="303">
        <v>0.03</v>
      </c>
      <c r="G327" s="303">
        <v>3</v>
      </c>
      <c r="H327" s="243">
        <f t="shared" si="9"/>
        <v>0.09</v>
      </c>
    </row>
    <row r="328" spans="2:8" s="71" customFormat="1" ht="20.100000000000001" customHeight="1" x14ac:dyDescent="0.25">
      <c r="B328" s="200"/>
      <c r="D328" s="79" t="s">
        <v>255</v>
      </c>
      <c r="E328" s="72" t="s">
        <v>155</v>
      </c>
      <c r="F328" s="303">
        <v>0.03</v>
      </c>
      <c r="G328" s="303">
        <v>3</v>
      </c>
      <c r="H328" s="243">
        <f t="shared" si="9"/>
        <v>0.09</v>
      </c>
    </row>
    <row r="329" spans="2:8" s="71" customFormat="1" ht="20.100000000000001" customHeight="1" x14ac:dyDescent="0.25">
      <c r="B329" s="198" t="s">
        <v>263</v>
      </c>
      <c r="C329" s="108">
        <v>60209</v>
      </c>
      <c r="D329" s="78" t="s">
        <v>264</v>
      </c>
      <c r="E329" s="216" t="s">
        <v>14</v>
      </c>
      <c r="F329" s="397" t="s">
        <v>156</v>
      </c>
      <c r="G329" s="398"/>
      <c r="H329" s="199">
        <f>SUM(H330:H331)</f>
        <v>3.6150000000000002</v>
      </c>
    </row>
    <row r="330" spans="2:8" s="71" customFormat="1" ht="20.100000000000001" customHeight="1" x14ac:dyDescent="0.25">
      <c r="B330" s="369"/>
      <c r="C330" s="370"/>
      <c r="D330" s="79" t="s">
        <v>265</v>
      </c>
      <c r="E330" s="72" t="s">
        <v>14</v>
      </c>
      <c r="F330" s="384">
        <v>1.375</v>
      </c>
      <c r="G330" s="385"/>
      <c r="H330" s="202">
        <f>F330</f>
        <v>1.375</v>
      </c>
    </row>
    <row r="331" spans="2:8" s="71" customFormat="1" ht="20.100000000000001" customHeight="1" x14ac:dyDescent="0.25">
      <c r="B331" s="373"/>
      <c r="C331" s="374"/>
      <c r="D331" s="79" t="s">
        <v>266</v>
      </c>
      <c r="E331" s="72" t="s">
        <v>14</v>
      </c>
      <c r="F331" s="384">
        <v>2.2400000000000002</v>
      </c>
      <c r="G331" s="385"/>
      <c r="H331" s="202">
        <f>F331</f>
        <v>2.2400000000000002</v>
      </c>
    </row>
    <row r="332" spans="2:8" s="71" customFormat="1" ht="20.100000000000001" customHeight="1" x14ac:dyDescent="0.25">
      <c r="B332" s="198" t="s">
        <v>267</v>
      </c>
      <c r="C332" s="108">
        <v>60010</v>
      </c>
      <c r="D332" s="78" t="s">
        <v>268</v>
      </c>
      <c r="E332" s="216" t="s">
        <v>155</v>
      </c>
      <c r="F332" s="298" t="s">
        <v>260</v>
      </c>
      <c r="G332" s="298" t="s">
        <v>269</v>
      </c>
      <c r="H332" s="199">
        <f>SUM(H333:H334)</f>
        <v>0.183</v>
      </c>
    </row>
    <row r="333" spans="2:8" s="71" customFormat="1" ht="20.100000000000001" customHeight="1" x14ac:dyDescent="0.25">
      <c r="B333" s="361"/>
      <c r="C333" s="362"/>
      <c r="D333" s="290" t="s">
        <v>270</v>
      </c>
      <c r="E333" s="72" t="s">
        <v>155</v>
      </c>
      <c r="F333" s="303">
        <f>3.05*0.2</f>
        <v>0.61</v>
      </c>
      <c r="G333" s="303">
        <v>0.15</v>
      </c>
      <c r="H333" s="243">
        <f t="shared" ref="H333:H334" si="10">G333*F333</f>
        <v>9.1499999999999998E-2</v>
      </c>
    </row>
    <row r="334" spans="2:8" s="71" customFormat="1" ht="20.100000000000001" customHeight="1" x14ac:dyDescent="0.25">
      <c r="B334" s="361"/>
      <c r="C334" s="362"/>
      <c r="D334" s="290" t="s">
        <v>271</v>
      </c>
      <c r="E334" s="72" t="s">
        <v>155</v>
      </c>
      <c r="F334" s="303">
        <f>3.05*0.2</f>
        <v>0.61</v>
      </c>
      <c r="G334" s="303">
        <v>0.15</v>
      </c>
      <c r="H334" s="243">
        <f t="shared" si="10"/>
        <v>9.1499999999999998E-2</v>
      </c>
    </row>
    <row r="335" spans="2:8" s="71" customFormat="1" ht="20.100000000000001" customHeight="1" x14ac:dyDescent="0.25">
      <c r="B335" s="307"/>
      <c r="C335" s="320"/>
      <c r="D335" s="290"/>
      <c r="E335" s="341"/>
      <c r="F335" s="342"/>
      <c r="G335" s="342"/>
      <c r="H335" s="243"/>
    </row>
    <row r="336" spans="2:8" s="71" customFormat="1" ht="20.100000000000001" customHeight="1" x14ac:dyDescent="0.25">
      <c r="B336" s="409" t="s">
        <v>272</v>
      </c>
      <c r="C336" s="391"/>
      <c r="D336" s="391"/>
      <c r="E336" s="391"/>
      <c r="F336" s="391"/>
      <c r="G336" s="391"/>
      <c r="H336" s="410"/>
    </row>
    <row r="337" spans="2:8" s="71" customFormat="1" ht="20.100000000000001" customHeight="1" x14ac:dyDescent="0.25">
      <c r="B337" s="319">
        <v>6</v>
      </c>
      <c r="C337" s="115">
        <v>70000</v>
      </c>
      <c r="D337" s="451" t="s">
        <v>273</v>
      </c>
      <c r="E337" s="452"/>
      <c r="F337" s="452"/>
      <c r="G337" s="453"/>
      <c r="H337" s="201" t="s">
        <v>11</v>
      </c>
    </row>
    <row r="338" spans="2:8" s="71" customFormat="1" ht="20.100000000000001" customHeight="1" x14ac:dyDescent="0.25">
      <c r="B338" s="198" t="s">
        <v>274</v>
      </c>
      <c r="C338" s="108" t="s">
        <v>275</v>
      </c>
      <c r="D338" s="78" t="s">
        <v>276</v>
      </c>
      <c r="E338" s="107" t="s">
        <v>277</v>
      </c>
      <c r="F338" s="383" t="s">
        <v>278</v>
      </c>
      <c r="G338" s="383"/>
      <c r="H338" s="199">
        <f>SUM(H339:H363)</f>
        <v>66</v>
      </c>
    </row>
    <row r="339" spans="2:8" s="71" customFormat="1" ht="20.100000000000001" customHeight="1" x14ac:dyDescent="0.25">
      <c r="B339" s="369"/>
      <c r="C339" s="370"/>
      <c r="D339" s="214" t="s">
        <v>166</v>
      </c>
      <c r="E339" s="277" t="s">
        <v>164</v>
      </c>
      <c r="F339" s="395">
        <v>6</v>
      </c>
      <c r="G339" s="406"/>
      <c r="H339" s="197">
        <f>F339</f>
        <v>6</v>
      </c>
    </row>
    <row r="340" spans="2:8" s="71" customFormat="1" ht="20.100000000000001" customHeight="1" x14ac:dyDescent="0.25">
      <c r="B340" s="371"/>
      <c r="C340" s="372"/>
      <c r="D340" s="214" t="s">
        <v>133</v>
      </c>
      <c r="E340" s="277" t="s">
        <v>164</v>
      </c>
      <c r="F340" s="395">
        <v>1</v>
      </c>
      <c r="G340" s="406"/>
      <c r="H340" s="197">
        <f t="shared" ref="H340:H363" si="11">F340</f>
        <v>1</v>
      </c>
    </row>
    <row r="341" spans="2:8" s="71" customFormat="1" ht="20.100000000000001" customHeight="1" x14ac:dyDescent="0.25">
      <c r="B341" s="371"/>
      <c r="C341" s="372"/>
      <c r="D341" s="214" t="s">
        <v>167</v>
      </c>
      <c r="E341" s="277" t="s">
        <v>164</v>
      </c>
      <c r="F341" s="395">
        <v>1</v>
      </c>
      <c r="G341" s="406"/>
      <c r="H341" s="197">
        <f t="shared" si="11"/>
        <v>1</v>
      </c>
    </row>
    <row r="342" spans="2:8" s="71" customFormat="1" ht="20.100000000000001" customHeight="1" x14ac:dyDescent="0.25">
      <c r="B342" s="371"/>
      <c r="C342" s="372"/>
      <c r="D342" s="214" t="s">
        <v>168</v>
      </c>
      <c r="E342" s="277" t="s">
        <v>164</v>
      </c>
      <c r="F342" s="395">
        <v>12</v>
      </c>
      <c r="G342" s="406"/>
      <c r="H342" s="197">
        <f t="shared" si="11"/>
        <v>12</v>
      </c>
    </row>
    <row r="343" spans="2:8" s="71" customFormat="1" ht="20.100000000000001" customHeight="1" x14ac:dyDescent="0.25">
      <c r="B343" s="371"/>
      <c r="C343" s="372"/>
      <c r="D343" s="214" t="s">
        <v>169</v>
      </c>
      <c r="E343" s="277" t="s">
        <v>164</v>
      </c>
      <c r="F343" s="395">
        <v>1</v>
      </c>
      <c r="G343" s="406"/>
      <c r="H343" s="197">
        <f t="shared" si="11"/>
        <v>1</v>
      </c>
    </row>
    <row r="344" spans="2:8" s="71" customFormat="1" ht="20.100000000000001" customHeight="1" x14ac:dyDescent="0.25">
      <c r="B344" s="371"/>
      <c r="C344" s="372"/>
      <c r="D344" s="214" t="s">
        <v>170</v>
      </c>
      <c r="E344" s="277" t="s">
        <v>164</v>
      </c>
      <c r="F344" s="395">
        <v>1</v>
      </c>
      <c r="G344" s="406"/>
      <c r="H344" s="197">
        <f t="shared" si="11"/>
        <v>1</v>
      </c>
    </row>
    <row r="345" spans="2:8" s="71" customFormat="1" ht="20.100000000000001" customHeight="1" x14ac:dyDescent="0.25">
      <c r="B345" s="371"/>
      <c r="C345" s="372"/>
      <c r="D345" s="214" t="s">
        <v>121</v>
      </c>
      <c r="E345" s="277" t="s">
        <v>164</v>
      </c>
      <c r="F345" s="395">
        <v>1</v>
      </c>
      <c r="G345" s="406"/>
      <c r="H345" s="197">
        <f t="shared" si="11"/>
        <v>1</v>
      </c>
    </row>
    <row r="346" spans="2:8" s="71" customFormat="1" ht="20.100000000000001" customHeight="1" x14ac:dyDescent="0.25">
      <c r="B346" s="371"/>
      <c r="C346" s="372"/>
      <c r="D346" s="214" t="s">
        <v>123</v>
      </c>
      <c r="E346" s="277" t="s">
        <v>164</v>
      </c>
      <c r="F346" s="395">
        <v>1</v>
      </c>
      <c r="G346" s="406"/>
      <c r="H346" s="197">
        <f t="shared" si="11"/>
        <v>1</v>
      </c>
    </row>
    <row r="347" spans="2:8" s="71" customFormat="1" ht="20.100000000000001" customHeight="1" x14ac:dyDescent="0.25">
      <c r="B347" s="371"/>
      <c r="C347" s="372"/>
      <c r="D347" s="214" t="s">
        <v>171</v>
      </c>
      <c r="E347" s="277" t="s">
        <v>164</v>
      </c>
      <c r="F347" s="395">
        <v>1</v>
      </c>
      <c r="G347" s="406"/>
      <c r="H347" s="197">
        <f t="shared" si="11"/>
        <v>1</v>
      </c>
    </row>
    <row r="348" spans="2:8" s="71" customFormat="1" ht="20.100000000000001" customHeight="1" x14ac:dyDescent="0.25">
      <c r="B348" s="371"/>
      <c r="C348" s="372"/>
      <c r="D348" s="214" t="s">
        <v>172</v>
      </c>
      <c r="E348" s="277" t="s">
        <v>164</v>
      </c>
      <c r="F348" s="395">
        <v>1</v>
      </c>
      <c r="G348" s="406"/>
      <c r="H348" s="197">
        <f t="shared" si="11"/>
        <v>1</v>
      </c>
    </row>
    <row r="349" spans="2:8" s="71" customFormat="1" ht="20.100000000000001" customHeight="1" x14ac:dyDescent="0.25">
      <c r="B349" s="371"/>
      <c r="C349" s="372"/>
      <c r="D349" s="214" t="s">
        <v>124</v>
      </c>
      <c r="E349" s="277" t="s">
        <v>164</v>
      </c>
      <c r="F349" s="395">
        <v>1</v>
      </c>
      <c r="G349" s="406"/>
      <c r="H349" s="197">
        <f t="shared" si="11"/>
        <v>1</v>
      </c>
    </row>
    <row r="350" spans="2:8" s="71" customFormat="1" ht="20.100000000000001" customHeight="1" x14ac:dyDescent="0.25">
      <c r="B350" s="371"/>
      <c r="C350" s="372"/>
      <c r="D350" s="214" t="s">
        <v>173</v>
      </c>
      <c r="E350" s="277" t="s">
        <v>164</v>
      </c>
      <c r="F350" s="395">
        <v>1</v>
      </c>
      <c r="G350" s="406"/>
      <c r="H350" s="197">
        <f t="shared" si="11"/>
        <v>1</v>
      </c>
    </row>
    <row r="351" spans="2:8" s="71" customFormat="1" ht="20.100000000000001" customHeight="1" x14ac:dyDescent="0.25">
      <c r="B351" s="371"/>
      <c r="C351" s="372"/>
      <c r="D351" s="214" t="s">
        <v>174</v>
      </c>
      <c r="E351" s="277" t="s">
        <v>164</v>
      </c>
      <c r="F351" s="395">
        <v>1</v>
      </c>
      <c r="G351" s="406"/>
      <c r="H351" s="197">
        <f t="shared" si="11"/>
        <v>1</v>
      </c>
    </row>
    <row r="352" spans="2:8" s="71" customFormat="1" ht="20.100000000000001" customHeight="1" x14ac:dyDescent="0.25">
      <c r="B352" s="371"/>
      <c r="C352" s="372"/>
      <c r="D352" s="206" t="s">
        <v>279</v>
      </c>
      <c r="E352" s="277" t="s">
        <v>164</v>
      </c>
      <c r="F352" s="395">
        <v>3</v>
      </c>
      <c r="G352" s="406"/>
      <c r="H352" s="197">
        <f t="shared" si="11"/>
        <v>3</v>
      </c>
    </row>
    <row r="353" spans="1:8" s="71" customFormat="1" ht="20.100000000000001" customHeight="1" x14ac:dyDescent="0.25">
      <c r="B353" s="371"/>
      <c r="C353" s="372"/>
      <c r="D353" s="206" t="s">
        <v>176</v>
      </c>
      <c r="E353" s="277" t="s">
        <v>164</v>
      </c>
      <c r="F353" s="395">
        <v>4</v>
      </c>
      <c r="G353" s="406"/>
      <c r="H353" s="197">
        <f t="shared" si="11"/>
        <v>4</v>
      </c>
    </row>
    <row r="354" spans="1:8" s="71" customFormat="1" ht="20.100000000000001" customHeight="1" x14ac:dyDescent="0.25">
      <c r="B354" s="371"/>
      <c r="C354" s="372"/>
      <c r="D354" s="206" t="s">
        <v>177</v>
      </c>
      <c r="E354" s="277" t="s">
        <v>164</v>
      </c>
      <c r="F354" s="395">
        <v>1</v>
      </c>
      <c r="G354" s="406"/>
      <c r="H354" s="197">
        <f t="shared" si="11"/>
        <v>1</v>
      </c>
    </row>
    <row r="355" spans="1:8" s="71" customFormat="1" ht="20.100000000000001" customHeight="1" x14ac:dyDescent="0.25">
      <c r="B355" s="371"/>
      <c r="C355" s="372"/>
      <c r="D355" s="206" t="s">
        <v>151</v>
      </c>
      <c r="E355" s="277" t="s">
        <v>164</v>
      </c>
      <c r="F355" s="395">
        <v>1</v>
      </c>
      <c r="G355" s="406"/>
      <c r="H355" s="197">
        <f t="shared" si="11"/>
        <v>1</v>
      </c>
    </row>
    <row r="356" spans="1:8" s="71" customFormat="1" ht="20.100000000000001" customHeight="1" x14ac:dyDescent="0.25">
      <c r="B356" s="371"/>
      <c r="C356" s="372"/>
      <c r="D356" s="206" t="s">
        <v>178</v>
      </c>
      <c r="E356" s="277" t="s">
        <v>164</v>
      </c>
      <c r="F356" s="395">
        <v>4</v>
      </c>
      <c r="G356" s="406"/>
      <c r="H356" s="197">
        <f t="shared" si="11"/>
        <v>4</v>
      </c>
    </row>
    <row r="357" spans="1:8" s="71" customFormat="1" ht="20.100000000000001" customHeight="1" x14ac:dyDescent="0.25">
      <c r="B357" s="371"/>
      <c r="C357" s="372"/>
      <c r="D357" s="206" t="s">
        <v>179</v>
      </c>
      <c r="E357" s="277" t="s">
        <v>164</v>
      </c>
      <c r="F357" s="395">
        <v>4</v>
      </c>
      <c r="G357" s="406"/>
      <c r="H357" s="197">
        <f t="shared" si="11"/>
        <v>4</v>
      </c>
    </row>
    <row r="358" spans="1:8" s="71" customFormat="1" ht="20.100000000000001" customHeight="1" x14ac:dyDescent="0.25">
      <c r="B358" s="371"/>
      <c r="C358" s="372"/>
      <c r="D358" s="206" t="s">
        <v>180</v>
      </c>
      <c r="E358" s="277" t="s">
        <v>164</v>
      </c>
      <c r="F358" s="395">
        <v>4</v>
      </c>
      <c r="G358" s="406"/>
      <c r="H358" s="197">
        <f t="shared" si="11"/>
        <v>4</v>
      </c>
    </row>
    <row r="359" spans="1:8" s="71" customFormat="1" ht="20.100000000000001" customHeight="1" x14ac:dyDescent="0.25">
      <c r="B359" s="371"/>
      <c r="C359" s="372"/>
      <c r="D359" s="206" t="s">
        <v>181</v>
      </c>
      <c r="E359" s="277" t="s">
        <v>164</v>
      </c>
      <c r="F359" s="395">
        <v>4</v>
      </c>
      <c r="G359" s="406"/>
      <c r="H359" s="197">
        <f t="shared" si="11"/>
        <v>4</v>
      </c>
    </row>
    <row r="360" spans="1:8" s="71" customFormat="1" ht="20.100000000000001" customHeight="1" x14ac:dyDescent="0.25">
      <c r="B360" s="371"/>
      <c r="C360" s="372"/>
      <c r="D360" s="206" t="s">
        <v>128</v>
      </c>
      <c r="E360" s="277" t="s">
        <v>164</v>
      </c>
      <c r="F360" s="395">
        <v>6</v>
      </c>
      <c r="G360" s="406"/>
      <c r="H360" s="197">
        <f t="shared" si="11"/>
        <v>6</v>
      </c>
    </row>
    <row r="361" spans="1:8" s="71" customFormat="1" ht="20.100000000000001" customHeight="1" x14ac:dyDescent="0.25">
      <c r="B361" s="371"/>
      <c r="C361" s="372"/>
      <c r="D361" s="206" t="s">
        <v>117</v>
      </c>
      <c r="E361" s="277" t="s">
        <v>164</v>
      </c>
      <c r="F361" s="395">
        <v>4</v>
      </c>
      <c r="G361" s="406"/>
      <c r="H361" s="197">
        <f t="shared" si="11"/>
        <v>4</v>
      </c>
    </row>
    <row r="362" spans="1:8" s="71" customFormat="1" ht="20.100000000000001" customHeight="1" x14ac:dyDescent="0.25">
      <c r="B362" s="371"/>
      <c r="C362" s="372"/>
      <c r="D362" s="206" t="s">
        <v>129</v>
      </c>
      <c r="E362" s="277" t="s">
        <v>164</v>
      </c>
      <c r="F362" s="395">
        <v>1</v>
      </c>
      <c r="G362" s="406"/>
      <c r="H362" s="197">
        <f t="shared" si="11"/>
        <v>1</v>
      </c>
    </row>
    <row r="363" spans="1:8" s="71" customFormat="1" ht="20.100000000000001" customHeight="1" x14ac:dyDescent="0.25">
      <c r="B363" s="373"/>
      <c r="C363" s="374"/>
      <c r="D363" s="206" t="s">
        <v>182</v>
      </c>
      <c r="E363" s="277" t="s">
        <v>164</v>
      </c>
      <c r="F363" s="395">
        <v>1</v>
      </c>
      <c r="G363" s="406"/>
      <c r="H363" s="197">
        <f t="shared" si="11"/>
        <v>1</v>
      </c>
    </row>
    <row r="364" spans="1:8" s="102" customFormat="1" ht="20.100000000000001" customHeight="1" x14ac:dyDescent="0.25">
      <c r="A364" s="71"/>
      <c r="B364" s="198" t="s">
        <v>280</v>
      </c>
      <c r="C364" s="108">
        <v>71440</v>
      </c>
      <c r="D364" s="218" t="s">
        <v>281</v>
      </c>
      <c r="E364" s="304" t="s">
        <v>164</v>
      </c>
      <c r="F364" s="383" t="s">
        <v>278</v>
      </c>
      <c r="G364" s="383"/>
      <c r="H364" s="199">
        <f>SUM(H365:H375)</f>
        <v>11</v>
      </c>
    </row>
    <row r="365" spans="1:8" s="71" customFormat="1" ht="20.100000000000001" customHeight="1" x14ac:dyDescent="0.25">
      <c r="B365" s="200"/>
      <c r="C365" s="163"/>
      <c r="D365" s="206" t="s">
        <v>120</v>
      </c>
      <c r="E365" s="277" t="s">
        <v>164</v>
      </c>
      <c r="F365" s="395">
        <v>1</v>
      </c>
      <c r="G365" s="406"/>
      <c r="H365" s="213">
        <f>F365</f>
        <v>1</v>
      </c>
    </row>
    <row r="366" spans="1:8" s="71" customFormat="1" ht="20.100000000000001" customHeight="1" x14ac:dyDescent="0.25">
      <c r="B366" s="200"/>
      <c r="C366" s="163"/>
      <c r="D366" s="206" t="s">
        <v>185</v>
      </c>
      <c r="E366" s="277" t="s">
        <v>164</v>
      </c>
      <c r="F366" s="395">
        <v>1</v>
      </c>
      <c r="G366" s="406"/>
      <c r="H366" s="213">
        <f t="shared" ref="H366:H375" si="12">F366</f>
        <v>1</v>
      </c>
    </row>
    <row r="367" spans="1:8" s="71" customFormat="1" ht="20.100000000000001" customHeight="1" x14ac:dyDescent="0.25">
      <c r="B367" s="200"/>
      <c r="C367" s="163"/>
      <c r="D367" s="206" t="s">
        <v>178</v>
      </c>
      <c r="E367" s="277" t="s">
        <v>164</v>
      </c>
      <c r="F367" s="395">
        <v>1</v>
      </c>
      <c r="G367" s="406"/>
      <c r="H367" s="213">
        <f t="shared" si="12"/>
        <v>1</v>
      </c>
    </row>
    <row r="368" spans="1:8" s="71" customFormat="1" ht="20.100000000000001" customHeight="1" x14ac:dyDescent="0.25">
      <c r="B368" s="200"/>
      <c r="C368" s="163"/>
      <c r="D368" s="206" t="s">
        <v>151</v>
      </c>
      <c r="E368" s="277" t="s">
        <v>164</v>
      </c>
      <c r="F368" s="395">
        <v>1</v>
      </c>
      <c r="G368" s="406"/>
      <c r="H368" s="213">
        <f t="shared" si="12"/>
        <v>1</v>
      </c>
    </row>
    <row r="369" spans="1:8" s="71" customFormat="1" ht="20.100000000000001" customHeight="1" x14ac:dyDescent="0.25">
      <c r="B369" s="200"/>
      <c r="C369" s="163"/>
      <c r="D369" s="206" t="s">
        <v>152</v>
      </c>
      <c r="E369" s="277" t="s">
        <v>164</v>
      </c>
      <c r="F369" s="395">
        <v>1</v>
      </c>
      <c r="G369" s="406"/>
      <c r="H369" s="213">
        <f t="shared" si="12"/>
        <v>1</v>
      </c>
    </row>
    <row r="370" spans="1:8" s="71" customFormat="1" ht="20.100000000000001" customHeight="1" x14ac:dyDescent="0.25">
      <c r="B370" s="200"/>
      <c r="C370" s="163"/>
      <c r="D370" s="206" t="s">
        <v>186</v>
      </c>
      <c r="E370" s="277" t="s">
        <v>164</v>
      </c>
      <c r="F370" s="395">
        <v>1</v>
      </c>
      <c r="G370" s="406"/>
      <c r="H370" s="213">
        <f t="shared" si="12"/>
        <v>1</v>
      </c>
    </row>
    <row r="371" spans="1:8" s="71" customFormat="1" ht="20.100000000000001" customHeight="1" x14ac:dyDescent="0.25">
      <c r="B371" s="200"/>
      <c r="C371" s="163"/>
      <c r="D371" s="206" t="s">
        <v>123</v>
      </c>
      <c r="E371" s="277" t="s">
        <v>164</v>
      </c>
      <c r="F371" s="395">
        <v>1</v>
      </c>
      <c r="G371" s="406"/>
      <c r="H371" s="213">
        <f t="shared" si="12"/>
        <v>1</v>
      </c>
    </row>
    <row r="372" spans="1:8" s="71" customFormat="1" ht="20.100000000000001" customHeight="1" x14ac:dyDescent="0.25">
      <c r="B372" s="200"/>
      <c r="C372" s="163"/>
      <c r="D372" s="206" t="s">
        <v>171</v>
      </c>
      <c r="E372" s="277" t="s">
        <v>164</v>
      </c>
      <c r="F372" s="395">
        <v>1</v>
      </c>
      <c r="G372" s="406"/>
      <c r="H372" s="213">
        <f t="shared" si="12"/>
        <v>1</v>
      </c>
    </row>
    <row r="373" spans="1:8" s="71" customFormat="1" ht="20.100000000000001" customHeight="1" x14ac:dyDescent="0.25">
      <c r="B373" s="200"/>
      <c r="C373" s="163"/>
      <c r="D373" s="206" t="s">
        <v>135</v>
      </c>
      <c r="E373" s="277" t="s">
        <v>164</v>
      </c>
      <c r="F373" s="395">
        <v>1</v>
      </c>
      <c r="G373" s="406"/>
      <c r="H373" s="213">
        <f t="shared" si="12"/>
        <v>1</v>
      </c>
    </row>
    <row r="374" spans="1:8" s="71" customFormat="1" ht="20.100000000000001" customHeight="1" x14ac:dyDescent="0.25">
      <c r="B374" s="200"/>
      <c r="C374" s="163"/>
      <c r="D374" s="206" t="s">
        <v>133</v>
      </c>
      <c r="E374" s="277" t="s">
        <v>164</v>
      </c>
      <c r="F374" s="395">
        <v>1</v>
      </c>
      <c r="G374" s="406"/>
      <c r="H374" s="213">
        <f t="shared" si="12"/>
        <v>1</v>
      </c>
    </row>
    <row r="375" spans="1:8" s="71" customFormat="1" ht="20.100000000000001" customHeight="1" x14ac:dyDescent="0.25">
      <c r="B375" s="200"/>
      <c r="C375" s="163"/>
      <c r="D375" s="206" t="s">
        <v>187</v>
      </c>
      <c r="E375" s="277" t="s">
        <v>164</v>
      </c>
      <c r="F375" s="395">
        <v>1</v>
      </c>
      <c r="G375" s="406"/>
      <c r="H375" s="213">
        <f t="shared" si="12"/>
        <v>1</v>
      </c>
    </row>
    <row r="376" spans="1:8" s="71" customFormat="1" ht="20.100000000000001" customHeight="1" x14ac:dyDescent="0.25">
      <c r="B376" s="198" t="s">
        <v>282</v>
      </c>
      <c r="C376" s="108">
        <v>72570</v>
      </c>
      <c r="D376" s="218" t="s">
        <v>283</v>
      </c>
      <c r="E376" s="304" t="s">
        <v>164</v>
      </c>
      <c r="F376" s="383" t="s">
        <v>278</v>
      </c>
      <c r="G376" s="383"/>
      <c r="H376" s="199">
        <f>H377</f>
        <v>3</v>
      </c>
    </row>
    <row r="377" spans="1:8" s="71" customFormat="1" ht="20.100000000000001" customHeight="1" x14ac:dyDescent="0.25">
      <c r="B377" s="200"/>
      <c r="C377" s="163"/>
      <c r="D377" s="70" t="s">
        <v>187</v>
      </c>
      <c r="E377" s="277" t="s">
        <v>164</v>
      </c>
      <c r="F377" s="384">
        <v>3</v>
      </c>
      <c r="G377" s="385"/>
      <c r="H377" s="197">
        <f>F377</f>
        <v>3</v>
      </c>
    </row>
    <row r="378" spans="1:8" s="71" customFormat="1" ht="20.100000000000001" customHeight="1" x14ac:dyDescent="0.25">
      <c r="B378" s="198" t="s">
        <v>284</v>
      </c>
      <c r="C378" s="108" t="s">
        <v>285</v>
      </c>
      <c r="D378" s="218" t="s">
        <v>286</v>
      </c>
      <c r="E378" s="304" t="s">
        <v>287</v>
      </c>
      <c r="F378" s="383" t="s">
        <v>15</v>
      </c>
      <c r="G378" s="383"/>
      <c r="H378" s="199">
        <f>H379</f>
        <v>750</v>
      </c>
    </row>
    <row r="379" spans="1:8" s="71" customFormat="1" ht="20.100000000000001" customHeight="1" x14ac:dyDescent="0.25">
      <c r="B379" s="200"/>
      <c r="C379" s="163"/>
      <c r="D379" s="70" t="s">
        <v>288</v>
      </c>
      <c r="E379" s="277" t="s">
        <v>287</v>
      </c>
      <c r="F379" s="399">
        <v>750</v>
      </c>
      <c r="G379" s="400"/>
      <c r="H379" s="197">
        <f>F379</f>
        <v>750</v>
      </c>
    </row>
    <row r="380" spans="1:8" s="71" customFormat="1" ht="20.100000000000001" customHeight="1" x14ac:dyDescent="0.25">
      <c r="B380" s="198" t="s">
        <v>289</v>
      </c>
      <c r="C380" s="108" t="s">
        <v>290</v>
      </c>
      <c r="D380" s="218" t="s">
        <v>291</v>
      </c>
      <c r="E380" s="304" t="s">
        <v>287</v>
      </c>
      <c r="F380" s="383" t="s">
        <v>15</v>
      </c>
      <c r="G380" s="383"/>
      <c r="H380" s="199">
        <f>H381</f>
        <v>600</v>
      </c>
    </row>
    <row r="381" spans="1:8" s="71" customFormat="1" ht="20.100000000000001" customHeight="1" x14ac:dyDescent="0.25">
      <c r="B381" s="200"/>
      <c r="C381" s="163"/>
      <c r="D381" s="70" t="s">
        <v>288</v>
      </c>
      <c r="E381" s="277" t="s">
        <v>287</v>
      </c>
      <c r="F381" s="399">
        <v>600</v>
      </c>
      <c r="G381" s="400"/>
      <c r="H381" s="197">
        <f>F381</f>
        <v>600</v>
      </c>
    </row>
    <row r="382" spans="1:8" s="71" customFormat="1" ht="20.100000000000001" customHeight="1" x14ac:dyDescent="0.25">
      <c r="A382" s="102"/>
      <c r="B382" s="198" t="s">
        <v>292</v>
      </c>
      <c r="C382" s="108" t="s">
        <v>293</v>
      </c>
      <c r="D382" s="218" t="s">
        <v>294</v>
      </c>
      <c r="E382" s="304" t="s">
        <v>287</v>
      </c>
      <c r="F382" s="383" t="s">
        <v>15</v>
      </c>
      <c r="G382" s="383"/>
      <c r="H382" s="199">
        <f>H383</f>
        <v>600</v>
      </c>
    </row>
    <row r="383" spans="1:8" s="71" customFormat="1" ht="20.100000000000001" customHeight="1" x14ac:dyDescent="0.25">
      <c r="B383" s="200"/>
      <c r="C383" s="163"/>
      <c r="D383" s="70" t="s">
        <v>288</v>
      </c>
      <c r="E383" s="277" t="s">
        <v>287</v>
      </c>
      <c r="F383" s="399">
        <v>600</v>
      </c>
      <c r="G383" s="400"/>
      <c r="H383" s="197">
        <f>F383</f>
        <v>600</v>
      </c>
    </row>
    <row r="384" spans="1:8" s="71" customFormat="1" ht="20.100000000000001" customHeight="1" x14ac:dyDescent="0.25">
      <c r="B384" s="198" t="s">
        <v>295</v>
      </c>
      <c r="C384" s="108" t="s">
        <v>296</v>
      </c>
      <c r="D384" s="218" t="s">
        <v>297</v>
      </c>
      <c r="E384" s="304" t="s">
        <v>287</v>
      </c>
      <c r="F384" s="383" t="s">
        <v>15</v>
      </c>
      <c r="G384" s="383"/>
      <c r="H384" s="199">
        <f>H385</f>
        <v>600</v>
      </c>
    </row>
    <row r="385" spans="2:8" s="71" customFormat="1" ht="20.100000000000001" customHeight="1" x14ac:dyDescent="0.25">
      <c r="B385" s="200"/>
      <c r="C385" s="163"/>
      <c r="D385" s="70" t="s">
        <v>288</v>
      </c>
      <c r="E385" s="277" t="s">
        <v>287</v>
      </c>
      <c r="F385" s="399">
        <v>600</v>
      </c>
      <c r="G385" s="400"/>
      <c r="H385" s="197">
        <f>F385</f>
        <v>600</v>
      </c>
    </row>
    <row r="386" spans="2:8" s="71" customFormat="1" ht="20.100000000000001" customHeight="1" x14ac:dyDescent="0.25">
      <c r="B386" s="198" t="s">
        <v>298</v>
      </c>
      <c r="C386" s="108">
        <v>71598</v>
      </c>
      <c r="D386" s="80" t="s">
        <v>299</v>
      </c>
      <c r="E386" s="107" t="s">
        <v>164</v>
      </c>
      <c r="F386" s="383" t="s">
        <v>278</v>
      </c>
      <c r="G386" s="383"/>
      <c r="H386" s="199">
        <f>H387</f>
        <v>35</v>
      </c>
    </row>
    <row r="387" spans="2:8" s="71" customFormat="1" ht="20.100000000000001" customHeight="1" x14ac:dyDescent="0.25">
      <c r="B387" s="302"/>
      <c r="C387" s="293"/>
      <c r="D387" s="79" t="s">
        <v>300</v>
      </c>
      <c r="E387" s="72" t="s">
        <v>164</v>
      </c>
      <c r="F387" s="399">
        <v>35</v>
      </c>
      <c r="G387" s="400"/>
      <c r="H387" s="202">
        <f>F387</f>
        <v>35</v>
      </c>
    </row>
    <row r="388" spans="2:8" s="71" customFormat="1" ht="20.100000000000001" customHeight="1" x14ac:dyDescent="0.25">
      <c r="B388" s="302"/>
      <c r="C388" s="293"/>
      <c r="D388" s="79"/>
      <c r="E388" s="72"/>
      <c r="F388" s="326"/>
      <c r="G388" s="327"/>
      <c r="H388" s="202"/>
    </row>
    <row r="389" spans="2:8" s="71" customFormat="1" ht="20.100000000000001" customHeight="1" x14ac:dyDescent="0.25">
      <c r="B389" s="379" t="s">
        <v>301</v>
      </c>
      <c r="C389" s="380"/>
      <c r="D389" s="381"/>
      <c r="E389" s="381"/>
      <c r="F389" s="381"/>
      <c r="G389" s="381"/>
      <c r="H389" s="382"/>
    </row>
    <row r="390" spans="2:8" s="71" customFormat="1" ht="20.100000000000001" customHeight="1" x14ac:dyDescent="0.25">
      <c r="B390" s="319">
        <v>7</v>
      </c>
      <c r="C390" s="115">
        <v>80000</v>
      </c>
      <c r="D390" s="451" t="s">
        <v>302</v>
      </c>
      <c r="E390" s="452"/>
      <c r="F390" s="452"/>
      <c r="G390" s="453"/>
      <c r="H390" s="201" t="s">
        <v>11</v>
      </c>
    </row>
    <row r="391" spans="2:8" s="71" customFormat="1" ht="20.100000000000001" customHeight="1" x14ac:dyDescent="0.25">
      <c r="B391" s="198" t="s">
        <v>303</v>
      </c>
      <c r="C391" s="108">
        <v>81829</v>
      </c>
      <c r="D391" s="77" t="s">
        <v>304</v>
      </c>
      <c r="E391" s="304" t="s">
        <v>14</v>
      </c>
      <c r="F391" s="411" t="s">
        <v>305</v>
      </c>
      <c r="G391" s="412"/>
      <c r="H391" s="196">
        <f>SUM(H392:H397)</f>
        <v>17.40795</v>
      </c>
    </row>
    <row r="392" spans="2:8" s="71" customFormat="1" ht="20.100000000000001" customHeight="1" x14ac:dyDescent="0.25">
      <c r="B392" s="369"/>
      <c r="C392" s="370"/>
      <c r="D392" s="70" t="s">
        <v>306</v>
      </c>
      <c r="E392" s="277" t="s">
        <v>14</v>
      </c>
      <c r="F392" s="384">
        <f>(3.14*(2.3^2))/4</f>
        <v>4.1526499999999995</v>
      </c>
      <c r="G392" s="385"/>
      <c r="H392" s="197">
        <f>F392</f>
        <v>4.1526499999999995</v>
      </c>
    </row>
    <row r="393" spans="2:8" s="71" customFormat="1" ht="20.100000000000001" customHeight="1" x14ac:dyDescent="0.25">
      <c r="B393" s="371"/>
      <c r="C393" s="372"/>
      <c r="D393" s="70" t="s">
        <v>307</v>
      </c>
      <c r="E393" s="277" t="s">
        <v>14</v>
      </c>
      <c r="F393" s="384">
        <f t="shared" ref="F393:F394" si="13">(3.14*(2.3^2))/4</f>
        <v>4.1526499999999995</v>
      </c>
      <c r="G393" s="385"/>
      <c r="H393" s="197">
        <f t="shared" ref="H393:H397" si="14">F393</f>
        <v>4.1526499999999995</v>
      </c>
    </row>
    <row r="394" spans="2:8" s="71" customFormat="1" ht="20.100000000000001" customHeight="1" x14ac:dyDescent="0.25">
      <c r="B394" s="371"/>
      <c r="C394" s="372"/>
      <c r="D394" s="70" t="s">
        <v>308</v>
      </c>
      <c r="E394" s="277" t="s">
        <v>14</v>
      </c>
      <c r="F394" s="384">
        <f t="shared" si="13"/>
        <v>4.1526499999999995</v>
      </c>
      <c r="G394" s="385"/>
      <c r="H394" s="197">
        <f t="shared" si="14"/>
        <v>4.1526499999999995</v>
      </c>
    </row>
    <row r="395" spans="2:8" s="71" customFormat="1" ht="20.100000000000001" customHeight="1" x14ac:dyDescent="0.25">
      <c r="B395" s="371"/>
      <c r="C395" s="372"/>
      <c r="D395" s="70" t="s">
        <v>309</v>
      </c>
      <c r="E395" s="277" t="s">
        <v>14</v>
      </c>
      <c r="F395" s="384">
        <f>1.6*2.4</f>
        <v>3.84</v>
      </c>
      <c r="G395" s="385"/>
      <c r="H395" s="197">
        <f t="shared" si="14"/>
        <v>3.84</v>
      </c>
    </row>
    <row r="396" spans="2:8" s="102" customFormat="1" ht="20.100000000000001" customHeight="1" x14ac:dyDescent="0.25">
      <c r="B396" s="371"/>
      <c r="C396" s="372"/>
      <c r="D396" s="229" t="s">
        <v>310</v>
      </c>
      <c r="E396" s="222" t="s">
        <v>14</v>
      </c>
      <c r="F396" s="413">
        <f>0.55*1.25</f>
        <v>0.6875</v>
      </c>
      <c r="G396" s="414"/>
      <c r="H396" s="230">
        <f t="shared" si="14"/>
        <v>0.6875</v>
      </c>
    </row>
    <row r="397" spans="2:8" s="102" customFormat="1" ht="20.100000000000001" customHeight="1" x14ac:dyDescent="0.25">
      <c r="B397" s="373"/>
      <c r="C397" s="374"/>
      <c r="D397" s="229" t="s">
        <v>311</v>
      </c>
      <c r="E397" s="222" t="s">
        <v>14</v>
      </c>
      <c r="F397" s="413">
        <f>0.65*0.65</f>
        <v>0.42250000000000004</v>
      </c>
      <c r="G397" s="414"/>
      <c r="H397" s="230">
        <f t="shared" si="14"/>
        <v>0.42250000000000004</v>
      </c>
    </row>
    <row r="398" spans="2:8" s="71" customFormat="1" ht="20.100000000000001" customHeight="1" x14ac:dyDescent="0.25">
      <c r="B398" s="198" t="s">
        <v>312</v>
      </c>
      <c r="C398" s="108">
        <v>80693</v>
      </c>
      <c r="D398" s="77" t="s">
        <v>313</v>
      </c>
      <c r="E398" s="304" t="s">
        <v>164</v>
      </c>
      <c r="F398" s="411" t="s">
        <v>165</v>
      </c>
      <c r="G398" s="412"/>
      <c r="H398" s="196">
        <f>H399</f>
        <v>2</v>
      </c>
    </row>
    <row r="399" spans="2:8" s="71" customFormat="1" ht="20.100000000000001" customHeight="1" x14ac:dyDescent="0.25">
      <c r="B399" s="200"/>
      <c r="C399" s="163"/>
      <c r="D399" s="70" t="s">
        <v>182</v>
      </c>
      <c r="E399" s="277" t="s">
        <v>164</v>
      </c>
      <c r="F399" s="384">
        <v>2</v>
      </c>
      <c r="G399" s="385"/>
      <c r="H399" s="197">
        <f>F399</f>
        <v>2</v>
      </c>
    </row>
    <row r="400" spans="2:8" s="71" customFormat="1" ht="20.100000000000001" customHeight="1" x14ac:dyDescent="0.25">
      <c r="B400" s="198" t="s">
        <v>314</v>
      </c>
      <c r="C400" s="108">
        <v>80570</v>
      </c>
      <c r="D400" s="77" t="s">
        <v>315</v>
      </c>
      <c r="E400" s="107" t="s">
        <v>277</v>
      </c>
      <c r="F400" s="383" t="s">
        <v>278</v>
      </c>
      <c r="G400" s="383"/>
      <c r="H400" s="199">
        <f>SUM(H401:H410)</f>
        <v>14</v>
      </c>
    </row>
    <row r="401" spans="2:8" s="71" customFormat="1" ht="20.100000000000001" customHeight="1" x14ac:dyDescent="0.25">
      <c r="B401" s="200"/>
      <c r="C401" s="163"/>
      <c r="D401" s="70" t="s">
        <v>193</v>
      </c>
      <c r="E401" s="277" t="s">
        <v>164</v>
      </c>
      <c r="F401" s="384">
        <v>1</v>
      </c>
      <c r="G401" s="385"/>
      <c r="H401" s="197">
        <f>F401</f>
        <v>1</v>
      </c>
    </row>
    <row r="402" spans="2:8" s="71" customFormat="1" ht="20.100000000000001" customHeight="1" x14ac:dyDescent="0.25">
      <c r="B402" s="200"/>
      <c r="C402" s="163"/>
      <c r="D402" s="70" t="s">
        <v>121</v>
      </c>
      <c r="E402" s="277" t="s">
        <v>164</v>
      </c>
      <c r="F402" s="384">
        <v>1</v>
      </c>
      <c r="G402" s="385"/>
      <c r="H402" s="197">
        <f t="shared" ref="H402:H410" si="15">F402</f>
        <v>1</v>
      </c>
    </row>
    <row r="403" spans="2:8" s="71" customFormat="1" ht="20.100000000000001" customHeight="1" x14ac:dyDescent="0.25">
      <c r="B403" s="200"/>
      <c r="C403" s="163"/>
      <c r="D403" s="70" t="s">
        <v>123</v>
      </c>
      <c r="E403" s="277" t="s">
        <v>164</v>
      </c>
      <c r="F403" s="384">
        <v>1</v>
      </c>
      <c r="G403" s="385"/>
      <c r="H403" s="197">
        <f t="shared" si="15"/>
        <v>1</v>
      </c>
    </row>
    <row r="404" spans="2:8" s="71" customFormat="1" ht="20.100000000000001" customHeight="1" x14ac:dyDescent="0.25">
      <c r="B404" s="200"/>
      <c r="C404" s="163"/>
      <c r="D404" s="70" t="s">
        <v>124</v>
      </c>
      <c r="E404" s="277" t="s">
        <v>164</v>
      </c>
      <c r="F404" s="384">
        <v>1</v>
      </c>
      <c r="G404" s="385"/>
      <c r="H404" s="197">
        <f t="shared" si="15"/>
        <v>1</v>
      </c>
    </row>
    <row r="405" spans="2:8" s="71" customFormat="1" ht="20.100000000000001" customHeight="1" x14ac:dyDescent="0.25">
      <c r="B405" s="200"/>
      <c r="C405" s="163"/>
      <c r="D405" s="70" t="s">
        <v>316</v>
      </c>
      <c r="E405" s="277" t="s">
        <v>164</v>
      </c>
      <c r="F405" s="384">
        <v>1</v>
      </c>
      <c r="G405" s="385"/>
      <c r="H405" s="197">
        <f t="shared" si="15"/>
        <v>1</v>
      </c>
    </row>
    <row r="406" spans="2:8" s="71" customFormat="1" ht="20.100000000000001" customHeight="1" x14ac:dyDescent="0.25">
      <c r="B406" s="200"/>
      <c r="C406" s="163"/>
      <c r="D406" s="70" t="s">
        <v>317</v>
      </c>
      <c r="E406" s="277" t="s">
        <v>164</v>
      </c>
      <c r="F406" s="384">
        <v>1</v>
      </c>
      <c r="G406" s="385"/>
      <c r="H406" s="197">
        <f t="shared" si="15"/>
        <v>1</v>
      </c>
    </row>
    <row r="407" spans="2:8" s="71" customFormat="1" ht="20.100000000000001" customHeight="1" x14ac:dyDescent="0.25">
      <c r="B407" s="200"/>
      <c r="C407" s="163"/>
      <c r="D407" s="70" t="s">
        <v>318</v>
      </c>
      <c r="E407" s="277" t="s">
        <v>164</v>
      </c>
      <c r="F407" s="384">
        <v>1</v>
      </c>
      <c r="G407" s="385"/>
      <c r="H407" s="197">
        <f t="shared" si="15"/>
        <v>1</v>
      </c>
    </row>
    <row r="408" spans="2:8" s="71" customFormat="1" ht="20.100000000000001" customHeight="1" x14ac:dyDescent="0.25">
      <c r="B408" s="200"/>
      <c r="C408" s="163"/>
      <c r="D408" s="70" t="s">
        <v>319</v>
      </c>
      <c r="E408" s="277" t="s">
        <v>164</v>
      </c>
      <c r="F408" s="384">
        <v>1</v>
      </c>
      <c r="G408" s="385"/>
      <c r="H408" s="197">
        <f t="shared" si="15"/>
        <v>1</v>
      </c>
    </row>
    <row r="409" spans="2:8" s="71" customFormat="1" ht="20.100000000000001" customHeight="1" x14ac:dyDescent="0.25">
      <c r="B409" s="200"/>
      <c r="C409" s="163"/>
      <c r="D409" s="70" t="s">
        <v>151</v>
      </c>
      <c r="E409" s="277" t="s">
        <v>164</v>
      </c>
      <c r="F409" s="384">
        <v>3</v>
      </c>
      <c r="G409" s="385"/>
      <c r="H409" s="197">
        <f t="shared" si="15"/>
        <v>3</v>
      </c>
    </row>
    <row r="410" spans="2:8" s="71" customFormat="1" ht="20.100000000000001" customHeight="1" x14ac:dyDescent="0.25">
      <c r="B410" s="200"/>
      <c r="C410" s="163"/>
      <c r="D410" s="70" t="s">
        <v>152</v>
      </c>
      <c r="E410" s="277" t="s">
        <v>164</v>
      </c>
      <c r="F410" s="384">
        <v>3</v>
      </c>
      <c r="G410" s="385"/>
      <c r="H410" s="197">
        <f t="shared" si="15"/>
        <v>3</v>
      </c>
    </row>
    <row r="411" spans="2:8" s="71" customFormat="1" ht="20.100000000000001" customHeight="1" x14ac:dyDescent="0.25">
      <c r="B411" s="198" t="s">
        <v>320</v>
      </c>
      <c r="C411" s="108">
        <v>80656</v>
      </c>
      <c r="D411" s="217" t="s">
        <v>321</v>
      </c>
      <c r="E411" s="107" t="s">
        <v>277</v>
      </c>
      <c r="F411" s="383" t="s">
        <v>278</v>
      </c>
      <c r="G411" s="383"/>
      <c r="H411" s="199">
        <f>SUM(H412:H412)</f>
        <v>2</v>
      </c>
    </row>
    <row r="412" spans="2:8" s="71" customFormat="1" ht="20.100000000000001" customHeight="1" x14ac:dyDescent="0.25">
      <c r="B412" s="200"/>
      <c r="C412" s="163"/>
      <c r="D412" s="70" t="s">
        <v>117</v>
      </c>
      <c r="E412" s="277" t="s">
        <v>164</v>
      </c>
      <c r="F412" s="384">
        <v>2</v>
      </c>
      <c r="G412" s="385"/>
      <c r="H412" s="197">
        <f>F412</f>
        <v>2</v>
      </c>
    </row>
    <row r="413" spans="2:8" s="71" customFormat="1" ht="20.100000000000001" customHeight="1" x14ac:dyDescent="0.25">
      <c r="B413" s="198" t="s">
        <v>322</v>
      </c>
      <c r="C413" s="108">
        <v>80561</v>
      </c>
      <c r="D413" s="217" t="s">
        <v>323</v>
      </c>
      <c r="E413" s="107" t="s">
        <v>277</v>
      </c>
      <c r="F413" s="383" t="s">
        <v>278</v>
      </c>
      <c r="G413" s="383"/>
      <c r="H413" s="199">
        <f>SUM(H414:H421)</f>
        <v>12</v>
      </c>
    </row>
    <row r="414" spans="2:8" s="71" customFormat="1" ht="20.100000000000001" customHeight="1" x14ac:dyDescent="0.25">
      <c r="B414" s="200"/>
      <c r="C414" s="163"/>
      <c r="D414" s="70" t="s">
        <v>193</v>
      </c>
      <c r="E414" s="277" t="s">
        <v>164</v>
      </c>
      <c r="F414" s="384">
        <v>1</v>
      </c>
      <c r="G414" s="385"/>
      <c r="H414" s="197">
        <f>F414</f>
        <v>1</v>
      </c>
    </row>
    <row r="415" spans="2:8" s="71" customFormat="1" ht="20.100000000000001" customHeight="1" x14ac:dyDescent="0.25">
      <c r="B415" s="200"/>
      <c r="C415" s="163"/>
      <c r="D415" s="70" t="s">
        <v>121</v>
      </c>
      <c r="E415" s="277" t="s">
        <v>164</v>
      </c>
      <c r="F415" s="384">
        <v>1</v>
      </c>
      <c r="G415" s="385"/>
      <c r="H415" s="197">
        <f t="shared" ref="H415:H421" si="16">F415</f>
        <v>1</v>
      </c>
    </row>
    <row r="416" spans="2:8" s="71" customFormat="1" ht="20.100000000000001" customHeight="1" x14ac:dyDescent="0.25">
      <c r="B416" s="200"/>
      <c r="C416" s="163"/>
      <c r="D416" s="70" t="s">
        <v>123</v>
      </c>
      <c r="E416" s="277" t="s">
        <v>164</v>
      </c>
      <c r="F416" s="384">
        <v>1</v>
      </c>
      <c r="G416" s="385"/>
      <c r="H416" s="197">
        <f t="shared" si="16"/>
        <v>1</v>
      </c>
    </row>
    <row r="417" spans="2:8" s="71" customFormat="1" ht="20.100000000000001" customHeight="1" x14ac:dyDescent="0.25">
      <c r="B417" s="200"/>
      <c r="C417" s="163"/>
      <c r="D417" s="70" t="s">
        <v>124</v>
      </c>
      <c r="E417" s="277" t="s">
        <v>164</v>
      </c>
      <c r="F417" s="384">
        <v>1</v>
      </c>
      <c r="G417" s="385"/>
      <c r="H417" s="197">
        <f t="shared" si="16"/>
        <v>1</v>
      </c>
    </row>
    <row r="418" spans="2:8" s="71" customFormat="1" ht="20.100000000000001" customHeight="1" x14ac:dyDescent="0.25">
      <c r="B418" s="200"/>
      <c r="C418" s="163"/>
      <c r="D418" s="70" t="s">
        <v>316</v>
      </c>
      <c r="E418" s="277" t="s">
        <v>164</v>
      </c>
      <c r="F418" s="384">
        <v>1</v>
      </c>
      <c r="G418" s="385"/>
      <c r="H418" s="197">
        <f t="shared" si="16"/>
        <v>1</v>
      </c>
    </row>
    <row r="419" spans="2:8" s="71" customFormat="1" ht="20.100000000000001" customHeight="1" x14ac:dyDescent="0.25">
      <c r="B419" s="200"/>
      <c r="C419" s="163"/>
      <c r="D419" s="70" t="s">
        <v>317</v>
      </c>
      <c r="E419" s="277" t="s">
        <v>164</v>
      </c>
      <c r="F419" s="384">
        <v>1</v>
      </c>
      <c r="G419" s="385"/>
      <c r="H419" s="197">
        <f t="shared" si="16"/>
        <v>1</v>
      </c>
    </row>
    <row r="420" spans="2:8" s="71" customFormat="1" ht="20.100000000000001" customHeight="1" x14ac:dyDescent="0.25">
      <c r="B420" s="200"/>
      <c r="C420" s="163"/>
      <c r="D420" s="70" t="s">
        <v>151</v>
      </c>
      <c r="E420" s="277" t="s">
        <v>164</v>
      </c>
      <c r="F420" s="384">
        <v>3</v>
      </c>
      <c r="G420" s="385"/>
      <c r="H420" s="197">
        <f t="shared" si="16"/>
        <v>3</v>
      </c>
    </row>
    <row r="421" spans="2:8" s="71" customFormat="1" ht="20.100000000000001" customHeight="1" x14ac:dyDescent="0.25">
      <c r="B421" s="200"/>
      <c r="C421" s="163"/>
      <c r="D421" s="70" t="s">
        <v>152</v>
      </c>
      <c r="E421" s="277" t="s">
        <v>164</v>
      </c>
      <c r="F421" s="384">
        <v>3</v>
      </c>
      <c r="G421" s="385"/>
      <c r="H421" s="197">
        <f t="shared" si="16"/>
        <v>3</v>
      </c>
    </row>
    <row r="422" spans="2:8" s="71" customFormat="1" ht="20.100000000000001" customHeight="1" x14ac:dyDescent="0.25">
      <c r="B422" s="198" t="s">
        <v>324</v>
      </c>
      <c r="C422" s="108">
        <v>80671</v>
      </c>
      <c r="D422" s="217" t="s">
        <v>325</v>
      </c>
      <c r="E422" s="107" t="s">
        <v>277</v>
      </c>
      <c r="F422" s="383" t="s">
        <v>278</v>
      </c>
      <c r="G422" s="383"/>
      <c r="H422" s="199">
        <f>SUM(H423:H424)</f>
        <v>4</v>
      </c>
    </row>
    <row r="423" spans="2:8" s="71" customFormat="1" ht="20.100000000000001" customHeight="1" x14ac:dyDescent="0.25">
      <c r="B423" s="200"/>
      <c r="C423" s="163"/>
      <c r="D423" s="70" t="s">
        <v>182</v>
      </c>
      <c r="E423" s="277" t="s">
        <v>164</v>
      </c>
      <c r="F423" s="384">
        <v>2</v>
      </c>
      <c r="G423" s="385"/>
      <c r="H423" s="197">
        <f>F423</f>
        <v>2</v>
      </c>
    </row>
    <row r="424" spans="2:8" s="71" customFormat="1" ht="20.100000000000001" customHeight="1" x14ac:dyDescent="0.25">
      <c r="B424" s="200"/>
      <c r="C424" s="163"/>
      <c r="D424" s="70" t="s">
        <v>117</v>
      </c>
      <c r="E424" s="277" t="s">
        <v>164</v>
      </c>
      <c r="F424" s="384">
        <v>2</v>
      </c>
      <c r="G424" s="385"/>
      <c r="H424" s="197">
        <f>F424</f>
        <v>2</v>
      </c>
    </row>
    <row r="425" spans="2:8" s="71" customFormat="1" ht="34.5" customHeight="1" x14ac:dyDescent="0.25">
      <c r="B425" s="198" t="s">
        <v>326</v>
      </c>
      <c r="C425" s="108" t="s">
        <v>327</v>
      </c>
      <c r="D425" s="80" t="s">
        <v>328</v>
      </c>
      <c r="E425" s="107" t="s">
        <v>164</v>
      </c>
      <c r="F425" s="383" t="s">
        <v>278</v>
      </c>
      <c r="G425" s="383"/>
      <c r="H425" s="199">
        <f>H426</f>
        <v>13</v>
      </c>
    </row>
    <row r="426" spans="2:8" s="71" customFormat="1" ht="20.100000000000001" customHeight="1" x14ac:dyDescent="0.25">
      <c r="B426" s="200"/>
      <c r="C426" s="163"/>
      <c r="D426" s="70" t="s">
        <v>329</v>
      </c>
      <c r="E426" s="277" t="s">
        <v>164</v>
      </c>
      <c r="F426" s="384">
        <v>13</v>
      </c>
      <c r="G426" s="385"/>
      <c r="H426" s="197">
        <f>F426</f>
        <v>13</v>
      </c>
    </row>
    <row r="427" spans="2:8" s="71" customFormat="1" ht="20.100000000000001" customHeight="1" x14ac:dyDescent="0.25">
      <c r="B427" s="198" t="s">
        <v>330</v>
      </c>
      <c r="C427" s="108">
        <v>80810</v>
      </c>
      <c r="D427" s="217" t="s">
        <v>331</v>
      </c>
      <c r="E427" s="107" t="s">
        <v>277</v>
      </c>
      <c r="F427" s="383" t="s">
        <v>278</v>
      </c>
      <c r="G427" s="383"/>
      <c r="H427" s="199">
        <f>SUM(H428:H429)</f>
        <v>4</v>
      </c>
    </row>
    <row r="428" spans="2:8" s="71" customFormat="1" ht="20.100000000000001" customHeight="1" x14ac:dyDescent="0.25">
      <c r="B428" s="369"/>
      <c r="C428" s="370"/>
      <c r="D428" s="79" t="s">
        <v>332</v>
      </c>
      <c r="E428" s="72" t="s">
        <v>164</v>
      </c>
      <c r="F428" s="417">
        <v>2</v>
      </c>
      <c r="G428" s="417"/>
      <c r="H428" s="202">
        <f>F428</f>
        <v>2</v>
      </c>
    </row>
    <row r="429" spans="2:8" s="71" customFormat="1" ht="20.100000000000001" customHeight="1" x14ac:dyDescent="0.25">
      <c r="B429" s="373"/>
      <c r="C429" s="374"/>
      <c r="D429" s="206" t="s">
        <v>333</v>
      </c>
      <c r="E429" s="72" t="s">
        <v>164</v>
      </c>
      <c r="F429" s="417">
        <v>2</v>
      </c>
      <c r="G429" s="417"/>
      <c r="H429" s="202">
        <f>F429</f>
        <v>2</v>
      </c>
    </row>
    <row r="430" spans="2:8" s="71" customFormat="1" ht="20.100000000000001" customHeight="1" x14ac:dyDescent="0.25">
      <c r="B430" s="198" t="s">
        <v>334</v>
      </c>
      <c r="C430" s="108">
        <v>82302</v>
      </c>
      <c r="D430" s="217" t="s">
        <v>335</v>
      </c>
      <c r="E430" s="107" t="s">
        <v>287</v>
      </c>
      <c r="F430" s="383" t="s">
        <v>15</v>
      </c>
      <c r="G430" s="383"/>
      <c r="H430" s="199">
        <f>H431</f>
        <v>48</v>
      </c>
    </row>
    <row r="431" spans="2:8" s="71" customFormat="1" ht="20.100000000000001" customHeight="1" x14ac:dyDescent="0.25">
      <c r="B431" s="361"/>
      <c r="C431" s="362"/>
      <c r="D431" s="79" t="s">
        <v>336</v>
      </c>
      <c r="E431" s="72" t="s">
        <v>287</v>
      </c>
      <c r="F431" s="417">
        <v>48</v>
      </c>
      <c r="G431" s="417"/>
      <c r="H431" s="202">
        <f>F431</f>
        <v>48</v>
      </c>
    </row>
    <row r="432" spans="2:8" s="71" customFormat="1" ht="20.100000000000001" customHeight="1" x14ac:dyDescent="0.25">
      <c r="B432" s="198" t="s">
        <v>337</v>
      </c>
      <c r="C432" s="108">
        <v>82304</v>
      </c>
      <c r="D432" s="217" t="s">
        <v>338</v>
      </c>
      <c r="E432" s="107" t="s">
        <v>287</v>
      </c>
      <c r="F432" s="411" t="s">
        <v>15</v>
      </c>
      <c r="G432" s="412"/>
      <c r="H432" s="199">
        <f>H433</f>
        <v>40</v>
      </c>
    </row>
    <row r="433" spans="2:8" s="71" customFormat="1" ht="20.100000000000001" customHeight="1" x14ac:dyDescent="0.25">
      <c r="B433" s="386"/>
      <c r="C433" s="387"/>
      <c r="D433" s="79" t="s">
        <v>336</v>
      </c>
      <c r="E433" s="72" t="s">
        <v>287</v>
      </c>
      <c r="F433" s="384">
        <v>40</v>
      </c>
      <c r="G433" s="385"/>
      <c r="H433" s="202">
        <f>F433</f>
        <v>40</v>
      </c>
    </row>
    <row r="434" spans="2:8" s="71" customFormat="1" ht="20.100000000000001" customHeight="1" x14ac:dyDescent="0.25">
      <c r="B434" s="198" t="s">
        <v>339</v>
      </c>
      <c r="C434" s="107">
        <v>81661</v>
      </c>
      <c r="D434" s="217" t="s">
        <v>340</v>
      </c>
      <c r="E434" s="107" t="s">
        <v>164</v>
      </c>
      <c r="F434" s="383" t="s">
        <v>165</v>
      </c>
      <c r="G434" s="383"/>
      <c r="H434" s="199">
        <f>H435</f>
        <v>4</v>
      </c>
    </row>
    <row r="435" spans="2:8" s="71" customFormat="1" ht="20.100000000000001" customHeight="1" x14ac:dyDescent="0.25">
      <c r="B435" s="307"/>
      <c r="C435" s="320"/>
      <c r="D435" s="79" t="s">
        <v>336</v>
      </c>
      <c r="E435" s="72" t="s">
        <v>164</v>
      </c>
      <c r="F435" s="417">
        <v>4</v>
      </c>
      <c r="G435" s="417"/>
      <c r="H435" s="202">
        <f>F435</f>
        <v>4</v>
      </c>
    </row>
    <row r="436" spans="2:8" s="71" customFormat="1" ht="20.100000000000001" customHeight="1" x14ac:dyDescent="0.25">
      <c r="B436" s="401" t="s">
        <v>341</v>
      </c>
      <c r="C436" s="402"/>
      <c r="D436" s="402"/>
      <c r="E436" s="402"/>
      <c r="F436" s="402"/>
      <c r="G436" s="403"/>
      <c r="H436" s="227" t="s">
        <v>11</v>
      </c>
    </row>
    <row r="437" spans="2:8" s="71" customFormat="1" ht="20.100000000000001" customHeight="1" x14ac:dyDescent="0.25">
      <c r="B437" s="198" t="s">
        <v>342</v>
      </c>
      <c r="C437" s="108">
        <v>85003</v>
      </c>
      <c r="D437" s="80" t="s">
        <v>343</v>
      </c>
      <c r="E437" s="107" t="s">
        <v>164</v>
      </c>
      <c r="F437" s="383" t="s">
        <v>278</v>
      </c>
      <c r="G437" s="383"/>
      <c r="H437" s="199">
        <f>SUM(H438:H438)</f>
        <v>10</v>
      </c>
    </row>
    <row r="438" spans="2:8" s="71" customFormat="1" ht="20.100000000000001" customHeight="1" x14ac:dyDescent="0.25">
      <c r="B438" s="373"/>
      <c r="C438" s="374"/>
      <c r="D438" s="79" t="s">
        <v>300</v>
      </c>
      <c r="E438" s="72" t="s">
        <v>164</v>
      </c>
      <c r="F438" s="399">
        <v>10</v>
      </c>
      <c r="G438" s="400"/>
      <c r="H438" s="202">
        <f>F438</f>
        <v>10</v>
      </c>
    </row>
    <row r="439" spans="2:8" s="71" customFormat="1" ht="20.100000000000001" customHeight="1" x14ac:dyDescent="0.25">
      <c r="B439" s="198" t="s">
        <v>344</v>
      </c>
      <c r="C439" s="108" t="s">
        <v>345</v>
      </c>
      <c r="D439" s="80" t="s">
        <v>346</v>
      </c>
      <c r="E439" s="107" t="s">
        <v>164</v>
      </c>
      <c r="F439" s="383" t="s">
        <v>278</v>
      </c>
      <c r="G439" s="383"/>
      <c r="H439" s="199">
        <f>H440</f>
        <v>4</v>
      </c>
    </row>
    <row r="440" spans="2:8" s="71" customFormat="1" ht="20.100000000000001" customHeight="1" x14ac:dyDescent="0.25">
      <c r="B440" s="302"/>
      <c r="C440" s="293"/>
      <c r="D440" s="79" t="s">
        <v>300</v>
      </c>
      <c r="E440" s="72" t="s">
        <v>164</v>
      </c>
      <c r="F440" s="384">
        <v>4</v>
      </c>
      <c r="G440" s="385"/>
      <c r="H440" s="202">
        <f>F440</f>
        <v>4</v>
      </c>
    </row>
    <row r="441" spans="2:8" s="71" customFormat="1" ht="20.100000000000001" customHeight="1" x14ac:dyDescent="0.25">
      <c r="B441" s="198" t="s">
        <v>347</v>
      </c>
      <c r="C441" s="108" t="s">
        <v>348</v>
      </c>
      <c r="D441" s="80" t="s">
        <v>349</v>
      </c>
      <c r="E441" s="107" t="s">
        <v>164</v>
      </c>
      <c r="F441" s="383" t="s">
        <v>278</v>
      </c>
      <c r="G441" s="383"/>
      <c r="H441" s="199">
        <f>H442</f>
        <v>6</v>
      </c>
    </row>
    <row r="442" spans="2:8" s="71" customFormat="1" ht="20.100000000000001" customHeight="1" x14ac:dyDescent="0.25">
      <c r="B442" s="302"/>
      <c r="C442" s="293"/>
      <c r="D442" s="79" t="s">
        <v>300</v>
      </c>
      <c r="E442" s="72" t="s">
        <v>164</v>
      </c>
      <c r="F442" s="384">
        <v>6</v>
      </c>
      <c r="G442" s="385"/>
      <c r="H442" s="202">
        <f>F442</f>
        <v>6</v>
      </c>
    </row>
    <row r="443" spans="2:8" s="71" customFormat="1" ht="20.100000000000001" customHeight="1" x14ac:dyDescent="0.25">
      <c r="B443" s="198" t="s">
        <v>350</v>
      </c>
      <c r="C443" s="108" t="s">
        <v>351</v>
      </c>
      <c r="D443" s="80" t="s">
        <v>352</v>
      </c>
      <c r="E443" s="107" t="s">
        <v>164</v>
      </c>
      <c r="F443" s="383" t="s">
        <v>278</v>
      </c>
      <c r="G443" s="383"/>
      <c r="H443" s="199">
        <f>H444</f>
        <v>5</v>
      </c>
    </row>
    <row r="444" spans="2:8" s="71" customFormat="1" ht="20.100000000000001" customHeight="1" x14ac:dyDescent="0.25">
      <c r="B444" s="302"/>
      <c r="C444" s="293"/>
      <c r="D444" s="79" t="s">
        <v>300</v>
      </c>
      <c r="E444" s="72" t="s">
        <v>164</v>
      </c>
      <c r="F444" s="399">
        <v>5</v>
      </c>
      <c r="G444" s="400"/>
      <c r="H444" s="202">
        <f>F444</f>
        <v>5</v>
      </c>
    </row>
    <row r="445" spans="2:8" s="71" customFormat="1" ht="20.100000000000001" customHeight="1" x14ac:dyDescent="0.25">
      <c r="B445" s="198" t="s">
        <v>353</v>
      </c>
      <c r="C445" s="108" t="s">
        <v>354</v>
      </c>
      <c r="D445" s="80" t="s">
        <v>355</v>
      </c>
      <c r="E445" s="107" t="s">
        <v>164</v>
      </c>
      <c r="F445" s="383" t="s">
        <v>278</v>
      </c>
      <c r="G445" s="383"/>
      <c r="H445" s="199">
        <f>H446</f>
        <v>9</v>
      </c>
    </row>
    <row r="446" spans="2:8" s="71" customFormat="1" ht="20.100000000000001" customHeight="1" x14ac:dyDescent="0.25">
      <c r="B446" s="302"/>
      <c r="C446" s="293"/>
      <c r="D446" s="79" t="s">
        <v>300</v>
      </c>
      <c r="E446" s="72" t="s">
        <v>164</v>
      </c>
      <c r="F446" s="384">
        <v>9</v>
      </c>
      <c r="G446" s="385"/>
      <c r="H446" s="202">
        <f>F446</f>
        <v>9</v>
      </c>
    </row>
    <row r="447" spans="2:8" s="71" customFormat="1" ht="20.100000000000001" customHeight="1" x14ac:dyDescent="0.25">
      <c r="B447" s="198" t="s">
        <v>356</v>
      </c>
      <c r="C447" s="108">
        <v>85001</v>
      </c>
      <c r="D447" s="80" t="s">
        <v>357</v>
      </c>
      <c r="E447" s="107" t="s">
        <v>164</v>
      </c>
      <c r="F447" s="383" t="s">
        <v>278</v>
      </c>
      <c r="G447" s="383"/>
      <c r="H447" s="199">
        <f>H448</f>
        <v>3</v>
      </c>
    </row>
    <row r="448" spans="2:8" s="71" customFormat="1" ht="20.100000000000001" customHeight="1" x14ac:dyDescent="0.25">
      <c r="B448" s="302"/>
      <c r="C448" s="293"/>
      <c r="D448" s="79" t="s">
        <v>300</v>
      </c>
      <c r="E448" s="72" t="s">
        <v>164</v>
      </c>
      <c r="F448" s="384">
        <v>3</v>
      </c>
      <c r="G448" s="385"/>
      <c r="H448" s="202">
        <f>F448</f>
        <v>3</v>
      </c>
    </row>
    <row r="449" spans="2:8" s="71" customFormat="1" ht="20.100000000000001" customHeight="1" x14ac:dyDescent="0.25">
      <c r="B449" s="302"/>
      <c r="C449" s="293"/>
      <c r="D449" s="79"/>
      <c r="E449" s="72"/>
      <c r="F449" s="305"/>
      <c r="G449" s="306"/>
      <c r="H449" s="202"/>
    </row>
    <row r="450" spans="2:8" s="71" customFormat="1" ht="20.100000000000001" customHeight="1" x14ac:dyDescent="0.25">
      <c r="B450" s="379" t="s">
        <v>358</v>
      </c>
      <c r="C450" s="380"/>
      <c r="D450" s="381"/>
      <c r="E450" s="381"/>
      <c r="F450" s="381"/>
      <c r="G450" s="381"/>
      <c r="H450" s="382"/>
    </row>
    <row r="451" spans="2:8" s="71" customFormat="1" ht="20.100000000000001" customHeight="1" x14ac:dyDescent="0.25">
      <c r="B451" s="319">
        <v>8</v>
      </c>
      <c r="C451" s="115">
        <v>90000</v>
      </c>
      <c r="D451" s="380" t="s">
        <v>359</v>
      </c>
      <c r="E451" s="380"/>
      <c r="F451" s="380"/>
      <c r="G451" s="380"/>
      <c r="H451" s="201" t="s">
        <v>227</v>
      </c>
    </row>
    <row r="452" spans="2:8" s="71" customFormat="1" ht="33.75" customHeight="1" x14ac:dyDescent="0.25">
      <c r="B452" s="198" t="s">
        <v>360</v>
      </c>
      <c r="C452" s="108">
        <v>91007</v>
      </c>
      <c r="D452" s="80" t="s">
        <v>361</v>
      </c>
      <c r="E452" s="107" t="s">
        <v>164</v>
      </c>
      <c r="F452" s="383" t="s">
        <v>165</v>
      </c>
      <c r="G452" s="383"/>
      <c r="H452" s="199">
        <f>H453</f>
        <v>1</v>
      </c>
    </row>
    <row r="453" spans="2:8" s="71" customFormat="1" ht="20.100000000000001" customHeight="1" x14ac:dyDescent="0.25">
      <c r="B453" s="302"/>
      <c r="C453" s="293"/>
      <c r="D453" s="79" t="s">
        <v>362</v>
      </c>
      <c r="E453" s="72" t="s">
        <v>164</v>
      </c>
      <c r="F453" s="384">
        <v>1</v>
      </c>
      <c r="G453" s="385"/>
      <c r="H453" s="202">
        <f>F453</f>
        <v>1</v>
      </c>
    </row>
    <row r="454" spans="2:8" s="71" customFormat="1" ht="20.100000000000001" customHeight="1" x14ac:dyDescent="0.25">
      <c r="B454" s="198" t="s">
        <v>363</v>
      </c>
      <c r="C454" s="108">
        <v>91012</v>
      </c>
      <c r="D454" s="80" t="s">
        <v>364</v>
      </c>
      <c r="E454" s="107" t="s">
        <v>287</v>
      </c>
      <c r="F454" s="383" t="s">
        <v>15</v>
      </c>
      <c r="G454" s="383"/>
      <c r="H454" s="199">
        <f>H455</f>
        <v>10</v>
      </c>
    </row>
    <row r="455" spans="2:8" s="71" customFormat="1" ht="20.100000000000001" customHeight="1" x14ac:dyDescent="0.25">
      <c r="B455" s="302"/>
      <c r="C455" s="293"/>
      <c r="D455" s="79" t="s">
        <v>362</v>
      </c>
      <c r="E455" s="72" t="s">
        <v>287</v>
      </c>
      <c r="F455" s="384">
        <v>10</v>
      </c>
      <c r="G455" s="385"/>
      <c r="H455" s="202">
        <f>F455</f>
        <v>10</v>
      </c>
    </row>
    <row r="456" spans="2:8" s="71" customFormat="1" ht="20.100000000000001" customHeight="1" x14ac:dyDescent="0.25">
      <c r="B456" s="198" t="s">
        <v>365</v>
      </c>
      <c r="C456" s="108">
        <v>91018</v>
      </c>
      <c r="D456" s="80" t="s">
        <v>366</v>
      </c>
      <c r="E456" s="107" t="s">
        <v>164</v>
      </c>
      <c r="F456" s="383" t="s">
        <v>165</v>
      </c>
      <c r="G456" s="383"/>
      <c r="H456" s="199">
        <f>H457</f>
        <v>8</v>
      </c>
    </row>
    <row r="457" spans="2:8" s="71" customFormat="1" ht="20.100000000000001" customHeight="1" x14ac:dyDescent="0.25">
      <c r="B457" s="361"/>
      <c r="C457" s="362"/>
      <c r="D457" s="79" t="s">
        <v>362</v>
      </c>
      <c r="E457" s="72" t="s">
        <v>164</v>
      </c>
      <c r="F457" s="384">
        <v>8</v>
      </c>
      <c r="G457" s="385"/>
      <c r="H457" s="202">
        <f>F457</f>
        <v>8</v>
      </c>
    </row>
    <row r="458" spans="2:8" s="71" customFormat="1" ht="20.100000000000001" customHeight="1" x14ac:dyDescent="0.25">
      <c r="B458" s="198" t="s">
        <v>367</v>
      </c>
      <c r="C458" s="108">
        <v>91020</v>
      </c>
      <c r="D458" s="80" t="s">
        <v>368</v>
      </c>
      <c r="E458" s="107" t="s">
        <v>164</v>
      </c>
      <c r="F458" s="383" t="s">
        <v>165</v>
      </c>
      <c r="G458" s="383"/>
      <c r="H458" s="199">
        <f>H459</f>
        <v>2</v>
      </c>
    </row>
    <row r="459" spans="2:8" s="71" customFormat="1" ht="20.100000000000001" customHeight="1" x14ac:dyDescent="0.25">
      <c r="B459" s="386"/>
      <c r="C459" s="387"/>
      <c r="D459" s="79" t="s">
        <v>362</v>
      </c>
      <c r="E459" s="72" t="s">
        <v>164</v>
      </c>
      <c r="F459" s="384">
        <v>2</v>
      </c>
      <c r="G459" s="385"/>
      <c r="H459" s="202">
        <f>F459</f>
        <v>2</v>
      </c>
    </row>
    <row r="460" spans="2:8" s="71" customFormat="1" ht="20.100000000000001" customHeight="1" x14ac:dyDescent="0.25">
      <c r="B460" s="198" t="s">
        <v>369</v>
      </c>
      <c r="C460" s="108">
        <v>91021</v>
      </c>
      <c r="D460" s="80" t="s">
        <v>370</v>
      </c>
      <c r="E460" s="107" t="s">
        <v>164</v>
      </c>
      <c r="F460" s="383" t="s">
        <v>165</v>
      </c>
      <c r="G460" s="383"/>
      <c r="H460" s="199">
        <f>H461</f>
        <v>4</v>
      </c>
    </row>
    <row r="461" spans="2:8" s="71" customFormat="1" ht="20.100000000000001" customHeight="1" x14ac:dyDescent="0.25">
      <c r="B461" s="302"/>
      <c r="C461" s="293"/>
      <c r="D461" s="79" t="s">
        <v>362</v>
      </c>
      <c r="E461" s="72" t="s">
        <v>164</v>
      </c>
      <c r="F461" s="384">
        <v>4</v>
      </c>
      <c r="G461" s="385"/>
      <c r="H461" s="202">
        <f>F461</f>
        <v>4</v>
      </c>
    </row>
    <row r="462" spans="2:8" s="71" customFormat="1" ht="31.5" x14ac:dyDescent="0.25">
      <c r="B462" s="198" t="s">
        <v>371</v>
      </c>
      <c r="C462" s="108">
        <v>91025</v>
      </c>
      <c r="D462" s="80" t="s">
        <v>372</v>
      </c>
      <c r="E462" s="107" t="s">
        <v>164</v>
      </c>
      <c r="F462" s="383" t="s">
        <v>165</v>
      </c>
      <c r="G462" s="383"/>
      <c r="H462" s="199">
        <f>H463</f>
        <v>2</v>
      </c>
    </row>
    <row r="463" spans="2:8" s="71" customFormat="1" ht="20.100000000000001" customHeight="1" x14ac:dyDescent="0.25">
      <c r="B463" s="302"/>
      <c r="C463" s="293"/>
      <c r="D463" s="79" t="s">
        <v>362</v>
      </c>
      <c r="E463" s="72" t="s">
        <v>164</v>
      </c>
      <c r="F463" s="384">
        <v>2</v>
      </c>
      <c r="G463" s="385"/>
      <c r="H463" s="202">
        <f>F463</f>
        <v>2</v>
      </c>
    </row>
    <row r="464" spans="2:8" s="71" customFormat="1" ht="20.100000000000001" customHeight="1" x14ac:dyDescent="0.25">
      <c r="B464" s="198" t="s">
        <v>373</v>
      </c>
      <c r="C464" s="108">
        <v>91029</v>
      </c>
      <c r="D464" s="80" t="s">
        <v>374</v>
      </c>
      <c r="E464" s="107" t="s">
        <v>164</v>
      </c>
      <c r="F464" s="383" t="s">
        <v>165</v>
      </c>
      <c r="G464" s="383"/>
      <c r="H464" s="199">
        <f>H465</f>
        <v>1</v>
      </c>
    </row>
    <row r="465" spans="1:8" s="71" customFormat="1" ht="20.100000000000001" customHeight="1" x14ac:dyDescent="0.25">
      <c r="B465" s="302"/>
      <c r="C465" s="293"/>
      <c r="D465" s="79" t="s">
        <v>362</v>
      </c>
      <c r="E465" s="72" t="s">
        <v>164</v>
      </c>
      <c r="F465" s="384">
        <v>1</v>
      </c>
      <c r="G465" s="385"/>
      <c r="H465" s="202">
        <f>F465</f>
        <v>1</v>
      </c>
    </row>
    <row r="466" spans="1:8" s="71" customFormat="1" ht="46.5" customHeight="1" x14ac:dyDescent="0.25">
      <c r="B466" s="198" t="s">
        <v>375</v>
      </c>
      <c r="C466" s="108">
        <v>91041</v>
      </c>
      <c r="D466" s="80" t="s">
        <v>376</v>
      </c>
      <c r="E466" s="107" t="s">
        <v>164</v>
      </c>
      <c r="F466" s="383" t="s">
        <v>165</v>
      </c>
      <c r="G466" s="383"/>
      <c r="H466" s="199">
        <f>H467</f>
        <v>2</v>
      </c>
    </row>
    <row r="467" spans="1:8" s="71" customFormat="1" ht="20.100000000000001" customHeight="1" x14ac:dyDescent="0.25">
      <c r="B467" s="302"/>
      <c r="C467" s="293"/>
      <c r="D467" s="79" t="s">
        <v>362</v>
      </c>
      <c r="E467" s="72" t="s">
        <v>164</v>
      </c>
      <c r="F467" s="384">
        <v>2</v>
      </c>
      <c r="G467" s="385"/>
      <c r="H467" s="202">
        <f>F467</f>
        <v>2</v>
      </c>
    </row>
    <row r="468" spans="1:8" s="71" customFormat="1" ht="48.75" customHeight="1" x14ac:dyDescent="0.25">
      <c r="B468" s="198" t="s">
        <v>377</v>
      </c>
      <c r="C468" s="108">
        <v>91045</v>
      </c>
      <c r="D468" s="80" t="s">
        <v>378</v>
      </c>
      <c r="E468" s="107" t="s">
        <v>164</v>
      </c>
      <c r="F468" s="383" t="s">
        <v>165</v>
      </c>
      <c r="G468" s="383"/>
      <c r="H468" s="199">
        <f>H469</f>
        <v>2</v>
      </c>
    </row>
    <row r="469" spans="1:8" s="71" customFormat="1" ht="20.100000000000001" customHeight="1" x14ac:dyDescent="0.25">
      <c r="B469" s="302"/>
      <c r="C469" s="293"/>
      <c r="D469" s="79" t="s">
        <v>362</v>
      </c>
      <c r="E469" s="72" t="s">
        <v>164</v>
      </c>
      <c r="F469" s="384">
        <v>2</v>
      </c>
      <c r="G469" s="385"/>
      <c r="H469" s="202">
        <f>F469</f>
        <v>2</v>
      </c>
    </row>
    <row r="470" spans="1:8" s="71" customFormat="1" ht="20.100000000000001" customHeight="1" x14ac:dyDescent="0.25">
      <c r="B470" s="198" t="s">
        <v>379</v>
      </c>
      <c r="C470" s="108">
        <v>91046</v>
      </c>
      <c r="D470" s="80" t="s">
        <v>380</v>
      </c>
      <c r="E470" s="107" t="s">
        <v>164</v>
      </c>
      <c r="F470" s="383" t="s">
        <v>165</v>
      </c>
      <c r="G470" s="383"/>
      <c r="H470" s="199">
        <f>H471</f>
        <v>1</v>
      </c>
    </row>
    <row r="471" spans="1:8" s="71" customFormat="1" ht="20.100000000000001" customHeight="1" x14ac:dyDescent="0.25">
      <c r="B471" s="302"/>
      <c r="C471" s="293"/>
      <c r="D471" s="79" t="s">
        <v>362</v>
      </c>
      <c r="E471" s="72" t="s">
        <v>164</v>
      </c>
      <c r="F471" s="384">
        <v>1</v>
      </c>
      <c r="G471" s="385"/>
      <c r="H471" s="202">
        <f>F471</f>
        <v>1</v>
      </c>
    </row>
    <row r="472" spans="1:8" s="71" customFormat="1" ht="36.75" customHeight="1" x14ac:dyDescent="0.25">
      <c r="B472" s="198" t="s">
        <v>381</v>
      </c>
      <c r="C472" s="108">
        <v>91011</v>
      </c>
      <c r="D472" s="80" t="s">
        <v>382</v>
      </c>
      <c r="E472" s="107" t="s">
        <v>164</v>
      </c>
      <c r="F472" s="383" t="s">
        <v>165</v>
      </c>
      <c r="G472" s="383"/>
      <c r="H472" s="199">
        <f>H473</f>
        <v>1</v>
      </c>
    </row>
    <row r="473" spans="1:8" s="71" customFormat="1" ht="20.100000000000001" customHeight="1" x14ac:dyDescent="0.25">
      <c r="B473" s="377"/>
      <c r="C473" s="378"/>
      <c r="D473" s="79" t="s">
        <v>362</v>
      </c>
      <c r="E473" s="72" t="s">
        <v>164</v>
      </c>
      <c r="F473" s="454">
        <v>1</v>
      </c>
      <c r="G473" s="455"/>
      <c r="H473" s="228">
        <f>F473</f>
        <v>1</v>
      </c>
    </row>
    <row r="474" spans="1:8" s="71" customFormat="1" ht="20.100000000000001" customHeight="1" x14ac:dyDescent="0.25">
      <c r="B474" s="324"/>
      <c r="C474" s="347"/>
      <c r="D474" s="290"/>
      <c r="E474" s="341"/>
      <c r="F474" s="348"/>
      <c r="G474" s="348"/>
      <c r="H474" s="349"/>
    </row>
    <row r="475" spans="1:8" s="71" customFormat="1" ht="15.75" x14ac:dyDescent="0.25">
      <c r="B475" s="409" t="s">
        <v>383</v>
      </c>
      <c r="C475" s="391"/>
      <c r="D475" s="391"/>
      <c r="E475" s="391"/>
      <c r="F475" s="391"/>
      <c r="G475" s="391"/>
      <c r="H475" s="410"/>
    </row>
    <row r="476" spans="1:8" s="71" customFormat="1" ht="20.100000000000001" customHeight="1" x14ac:dyDescent="0.25">
      <c r="B476" s="319">
        <v>9</v>
      </c>
      <c r="C476" s="115">
        <v>100000</v>
      </c>
      <c r="D476" s="390" t="s">
        <v>384</v>
      </c>
      <c r="E476" s="391"/>
      <c r="F476" s="391"/>
      <c r="G476" s="392"/>
      <c r="H476" s="201" t="s">
        <v>227</v>
      </c>
    </row>
    <row r="477" spans="1:8" s="71" customFormat="1" ht="31.5" x14ac:dyDescent="0.25">
      <c r="A477" s="102"/>
      <c r="B477" s="198" t="s">
        <v>385</v>
      </c>
      <c r="C477" s="108">
        <v>100160</v>
      </c>
      <c r="D477" s="80" t="s">
        <v>386</v>
      </c>
      <c r="E477" s="107" t="s">
        <v>14</v>
      </c>
      <c r="F477" s="304" t="s">
        <v>15</v>
      </c>
      <c r="G477" s="304" t="s">
        <v>100</v>
      </c>
      <c r="H477" s="199">
        <f>SUM(H478:H484)</f>
        <v>29.009999999999998</v>
      </c>
    </row>
    <row r="478" spans="1:8" s="71" customFormat="1" ht="20.100000000000001" customHeight="1" x14ac:dyDescent="0.25">
      <c r="B478" s="369"/>
      <c r="C478" s="370"/>
      <c r="D478" s="214" t="s">
        <v>387</v>
      </c>
      <c r="E478" s="277" t="s">
        <v>14</v>
      </c>
      <c r="F478" s="303">
        <v>2.2999999999999998</v>
      </c>
      <c r="G478" s="303">
        <v>1.5</v>
      </c>
      <c r="H478" s="197">
        <f>G478*F478</f>
        <v>3.4499999999999997</v>
      </c>
    </row>
    <row r="479" spans="1:8" s="71" customFormat="1" ht="20.100000000000001" customHeight="1" x14ac:dyDescent="0.25">
      <c r="B479" s="371"/>
      <c r="C479" s="372"/>
      <c r="D479" s="214" t="s">
        <v>388</v>
      </c>
      <c r="E479" s="277" t="s">
        <v>14</v>
      </c>
      <c r="F479" s="303">
        <v>0.15</v>
      </c>
      <c r="G479" s="303">
        <v>0.4</v>
      </c>
      <c r="H479" s="197">
        <f>-1*G479*F479</f>
        <v>-0.06</v>
      </c>
    </row>
    <row r="480" spans="1:8" s="71" customFormat="1" ht="20.100000000000001" customHeight="1" x14ac:dyDescent="0.25">
      <c r="B480" s="371"/>
      <c r="C480" s="372"/>
      <c r="D480" s="214" t="s">
        <v>389</v>
      </c>
      <c r="E480" s="277" t="s">
        <v>14</v>
      </c>
      <c r="F480" s="303">
        <v>2.2999999999999998</v>
      </c>
      <c r="G480" s="303">
        <v>1.5</v>
      </c>
      <c r="H480" s="197">
        <f>G480*F480</f>
        <v>3.4499999999999997</v>
      </c>
    </row>
    <row r="481" spans="2:8" s="71" customFormat="1" ht="20.100000000000001" customHeight="1" x14ac:dyDescent="0.25">
      <c r="B481" s="371"/>
      <c r="C481" s="372"/>
      <c r="D481" s="214" t="s">
        <v>388</v>
      </c>
      <c r="E481" s="277" t="s">
        <v>14</v>
      </c>
      <c r="F481" s="303">
        <v>0.15</v>
      </c>
      <c r="G481" s="303">
        <v>0.4</v>
      </c>
      <c r="H481" s="197">
        <f>-1*G481*F481</f>
        <v>-0.06</v>
      </c>
    </row>
    <row r="482" spans="2:8" s="71" customFormat="1" ht="20.100000000000001" customHeight="1" x14ac:dyDescent="0.25">
      <c r="B482" s="371"/>
      <c r="C482" s="372"/>
      <c r="D482" s="214" t="s">
        <v>390</v>
      </c>
      <c r="E482" s="277" t="s">
        <v>14</v>
      </c>
      <c r="F482" s="303">
        <v>4.66</v>
      </c>
      <c r="G482" s="303">
        <v>3</v>
      </c>
      <c r="H482" s="197">
        <f>G482*F482</f>
        <v>13.98</v>
      </c>
    </row>
    <row r="483" spans="2:8" s="71" customFormat="1" ht="20.100000000000001" customHeight="1" x14ac:dyDescent="0.25">
      <c r="B483" s="371"/>
      <c r="C483" s="372"/>
      <c r="D483" s="206" t="s">
        <v>161</v>
      </c>
      <c r="E483" s="277" t="s">
        <v>14</v>
      </c>
      <c r="F483" s="384">
        <f>(0.4*0.4)+(0.4*0.6)</f>
        <v>0.4</v>
      </c>
      <c r="G483" s="385"/>
      <c r="H483" s="197">
        <f>F483</f>
        <v>0.4</v>
      </c>
    </row>
    <row r="484" spans="2:8" s="71" customFormat="1" ht="20.100000000000001" customHeight="1" x14ac:dyDescent="0.25">
      <c r="B484" s="373"/>
      <c r="C484" s="374"/>
      <c r="D484" s="206" t="s">
        <v>160</v>
      </c>
      <c r="E484" s="277" t="s">
        <v>14</v>
      </c>
      <c r="F484" s="303">
        <v>7.85</v>
      </c>
      <c r="G484" s="276">
        <v>1</v>
      </c>
      <c r="H484" s="197">
        <f>G484*F484</f>
        <v>7.85</v>
      </c>
    </row>
    <row r="485" spans="2:8" s="71" customFormat="1" ht="20.100000000000001" customHeight="1" x14ac:dyDescent="0.25">
      <c r="B485" s="302"/>
      <c r="C485" s="293"/>
      <c r="D485" s="206"/>
      <c r="E485" s="320"/>
      <c r="F485" s="342"/>
      <c r="G485" s="314"/>
      <c r="H485" s="213"/>
    </row>
    <row r="486" spans="2:8" s="71" customFormat="1" ht="20.100000000000001" customHeight="1" x14ac:dyDescent="0.25">
      <c r="B486" s="409" t="s">
        <v>391</v>
      </c>
      <c r="C486" s="391"/>
      <c r="D486" s="391"/>
      <c r="E486" s="391"/>
      <c r="F486" s="391"/>
      <c r="G486" s="391"/>
      <c r="H486" s="410"/>
    </row>
    <row r="487" spans="2:8" s="71" customFormat="1" ht="20.100000000000001" customHeight="1" x14ac:dyDescent="0.25">
      <c r="B487" s="319">
        <v>10</v>
      </c>
      <c r="C487" s="115">
        <v>120000</v>
      </c>
      <c r="D487" s="390" t="s">
        <v>392</v>
      </c>
      <c r="E487" s="391"/>
      <c r="F487" s="391"/>
      <c r="G487" s="392"/>
      <c r="H487" s="201" t="s">
        <v>393</v>
      </c>
    </row>
    <row r="488" spans="2:8" s="71" customFormat="1" ht="47.25" x14ac:dyDescent="0.25">
      <c r="B488" s="198" t="s">
        <v>394</v>
      </c>
      <c r="C488" s="108">
        <v>121105</v>
      </c>
      <c r="D488" s="78" t="s">
        <v>395</v>
      </c>
      <c r="E488" s="107" t="s">
        <v>14</v>
      </c>
      <c r="F488" s="304" t="s">
        <v>15</v>
      </c>
      <c r="G488" s="304" t="s">
        <v>16</v>
      </c>
      <c r="H488" s="199">
        <f>SUM(H489:H590)</f>
        <v>760.5564999999998</v>
      </c>
    </row>
    <row r="489" spans="2:8" s="71" customFormat="1" ht="20.100000000000001" customHeight="1" x14ac:dyDescent="0.25">
      <c r="B489" s="369"/>
      <c r="C489" s="370"/>
      <c r="D489" s="70" t="s">
        <v>17</v>
      </c>
      <c r="E489" s="277" t="s">
        <v>14</v>
      </c>
      <c r="F489" s="276">
        <f>10.93+10.93+4.68+4.68</f>
        <v>31.22</v>
      </c>
      <c r="G489" s="276">
        <v>1.5</v>
      </c>
      <c r="H489" s="197">
        <f>G489*F489</f>
        <v>46.83</v>
      </c>
    </row>
    <row r="490" spans="2:8" s="71" customFormat="1" ht="20.100000000000001" customHeight="1" x14ac:dyDescent="0.25">
      <c r="B490" s="371"/>
      <c r="C490" s="372"/>
      <c r="D490" s="70" t="s">
        <v>18</v>
      </c>
      <c r="E490" s="277" t="s">
        <v>14</v>
      </c>
      <c r="F490" s="303">
        <v>2</v>
      </c>
      <c r="G490" s="303">
        <v>0.65</v>
      </c>
      <c r="H490" s="197">
        <f>-G490*F490*3</f>
        <v>-3.9000000000000004</v>
      </c>
    </row>
    <row r="491" spans="2:8" s="71" customFormat="1" ht="20.100000000000001" customHeight="1" x14ac:dyDescent="0.25">
      <c r="B491" s="371"/>
      <c r="C491" s="372"/>
      <c r="D491" s="70" t="s">
        <v>19</v>
      </c>
      <c r="E491" s="277" t="s">
        <v>14</v>
      </c>
      <c r="F491" s="205">
        <v>0.75</v>
      </c>
      <c r="G491" s="303">
        <v>1.5</v>
      </c>
      <c r="H491" s="197">
        <f>-G491*F491</f>
        <v>-1.125</v>
      </c>
    </row>
    <row r="492" spans="2:8" s="71" customFormat="1" ht="20.100000000000001" customHeight="1" x14ac:dyDescent="0.25">
      <c r="B492" s="371"/>
      <c r="C492" s="372"/>
      <c r="D492" s="70" t="s">
        <v>20</v>
      </c>
      <c r="E492" s="277" t="s">
        <v>14</v>
      </c>
      <c r="F492" s="205">
        <v>0.8</v>
      </c>
      <c r="G492" s="303">
        <v>1.5</v>
      </c>
      <c r="H492" s="197">
        <f>-G492*F492</f>
        <v>-1.2000000000000002</v>
      </c>
    </row>
    <row r="493" spans="2:8" s="71" customFormat="1" ht="20.100000000000001" customHeight="1" x14ac:dyDescent="0.25">
      <c r="B493" s="371"/>
      <c r="C493" s="372"/>
      <c r="D493" s="70" t="s">
        <v>21</v>
      </c>
      <c r="E493" s="277" t="s">
        <v>14</v>
      </c>
      <c r="F493" s="276">
        <v>46.57</v>
      </c>
      <c r="G493" s="276">
        <v>1.5</v>
      </c>
      <c r="H493" s="197">
        <f>G493*F493</f>
        <v>69.855000000000004</v>
      </c>
    </row>
    <row r="494" spans="2:8" s="71" customFormat="1" ht="20.100000000000001" customHeight="1" x14ac:dyDescent="0.25">
      <c r="B494" s="371"/>
      <c r="C494" s="372"/>
      <c r="D494" s="70" t="s">
        <v>22</v>
      </c>
      <c r="E494" s="277" t="s">
        <v>14</v>
      </c>
      <c r="F494" s="205">
        <v>2</v>
      </c>
      <c r="G494" s="276">
        <v>0.65</v>
      </c>
      <c r="H494" s="197">
        <f>-4*G494*F494</f>
        <v>-5.2</v>
      </c>
    </row>
    <row r="495" spans="2:8" s="71" customFormat="1" ht="20.100000000000001" customHeight="1" x14ac:dyDescent="0.25">
      <c r="B495" s="371"/>
      <c r="C495" s="372"/>
      <c r="D495" s="70" t="s">
        <v>23</v>
      </c>
      <c r="E495" s="277" t="s">
        <v>14</v>
      </c>
      <c r="F495" s="276">
        <v>0.8</v>
      </c>
      <c r="G495" s="276">
        <v>1.5</v>
      </c>
      <c r="H495" s="197">
        <f>-G495*F495</f>
        <v>-1.2000000000000002</v>
      </c>
    </row>
    <row r="496" spans="2:8" s="71" customFormat="1" ht="20.100000000000001" customHeight="1" x14ac:dyDescent="0.25">
      <c r="B496" s="371"/>
      <c r="C496" s="372"/>
      <c r="D496" s="70" t="s">
        <v>24</v>
      </c>
      <c r="E496" s="277" t="s">
        <v>14</v>
      </c>
      <c r="F496" s="276">
        <v>1.4</v>
      </c>
      <c r="G496" s="276">
        <v>1.5</v>
      </c>
      <c r="H496" s="197">
        <f>G496*F496</f>
        <v>2.0999999999999996</v>
      </c>
    </row>
    <row r="497" spans="2:8" s="71" customFormat="1" ht="20.100000000000001" customHeight="1" x14ac:dyDescent="0.25">
      <c r="B497" s="371"/>
      <c r="C497" s="372"/>
      <c r="D497" s="70" t="s">
        <v>25</v>
      </c>
      <c r="E497" s="277" t="s">
        <v>14</v>
      </c>
      <c r="F497" s="276">
        <v>0.7</v>
      </c>
      <c r="G497" s="276">
        <v>1.5</v>
      </c>
      <c r="H497" s="197">
        <f>-G497*F497</f>
        <v>-1.0499999999999998</v>
      </c>
    </row>
    <row r="498" spans="2:8" s="71" customFormat="1" ht="20.100000000000001" customHeight="1" x14ac:dyDescent="0.25">
      <c r="B498" s="371"/>
      <c r="C498" s="372"/>
      <c r="D498" s="70" t="s">
        <v>26</v>
      </c>
      <c r="E498" s="277" t="s">
        <v>14</v>
      </c>
      <c r="F498" s="276">
        <v>15.23</v>
      </c>
      <c r="G498" s="276">
        <v>1.5</v>
      </c>
      <c r="H498" s="197">
        <f>G498*F498</f>
        <v>22.844999999999999</v>
      </c>
    </row>
    <row r="499" spans="2:8" s="71" customFormat="1" ht="20.100000000000001" customHeight="1" x14ac:dyDescent="0.25">
      <c r="B499" s="371"/>
      <c r="C499" s="372"/>
      <c r="D499" s="70" t="s">
        <v>20</v>
      </c>
      <c r="E499" s="277" t="s">
        <v>14</v>
      </c>
      <c r="F499" s="276">
        <v>0.8</v>
      </c>
      <c r="G499" s="276">
        <v>1.5</v>
      </c>
      <c r="H499" s="197">
        <f>-G499*F499</f>
        <v>-1.2000000000000002</v>
      </c>
    </row>
    <row r="500" spans="2:8" s="71" customFormat="1" ht="20.100000000000001" customHeight="1" x14ac:dyDescent="0.25">
      <c r="B500" s="371"/>
      <c r="C500" s="372"/>
      <c r="D500" s="70" t="s">
        <v>27</v>
      </c>
      <c r="E500" s="277" t="s">
        <v>14</v>
      </c>
      <c r="F500" s="276">
        <v>2</v>
      </c>
      <c r="G500" s="276">
        <v>0.65</v>
      </c>
      <c r="H500" s="197">
        <f>-G500*F500</f>
        <v>-1.3</v>
      </c>
    </row>
    <row r="501" spans="2:8" s="71" customFormat="1" ht="20.100000000000001" customHeight="1" x14ac:dyDescent="0.25">
      <c r="B501" s="371"/>
      <c r="C501" s="372"/>
      <c r="D501" s="70" t="s">
        <v>28</v>
      </c>
      <c r="E501" s="277" t="s">
        <v>14</v>
      </c>
      <c r="F501" s="276">
        <v>20.350000000000001</v>
      </c>
      <c r="G501" s="276">
        <v>1.5</v>
      </c>
      <c r="H501" s="197">
        <f>G501*F501</f>
        <v>30.525000000000002</v>
      </c>
    </row>
    <row r="502" spans="2:8" s="71" customFormat="1" ht="20.100000000000001" customHeight="1" x14ac:dyDescent="0.25">
      <c r="B502" s="371"/>
      <c r="C502" s="372"/>
      <c r="D502" s="70" t="s">
        <v>25</v>
      </c>
      <c r="E502" s="277" t="s">
        <v>14</v>
      </c>
      <c r="F502" s="276">
        <v>1.5</v>
      </c>
      <c r="G502" s="276">
        <v>1.5</v>
      </c>
      <c r="H502" s="197">
        <f>-G502*F502</f>
        <v>-2.25</v>
      </c>
    </row>
    <row r="503" spans="2:8" s="71" customFormat="1" ht="20.100000000000001" customHeight="1" x14ac:dyDescent="0.25">
      <c r="B503" s="371"/>
      <c r="C503" s="372"/>
      <c r="D503" s="70" t="s">
        <v>30</v>
      </c>
      <c r="E503" s="277" t="s">
        <v>14</v>
      </c>
      <c r="F503" s="276">
        <v>0.8</v>
      </c>
      <c r="G503" s="276">
        <v>1.5</v>
      </c>
      <c r="H503" s="197">
        <f>-G503*F503*3</f>
        <v>-3.6000000000000005</v>
      </c>
    </row>
    <row r="504" spans="2:8" s="71" customFormat="1" ht="20.100000000000001" customHeight="1" x14ac:dyDescent="0.25">
      <c r="B504" s="371"/>
      <c r="C504" s="372"/>
      <c r="D504" s="70" t="s">
        <v>31</v>
      </c>
      <c r="E504" s="277" t="s">
        <v>14</v>
      </c>
      <c r="F504" s="205">
        <v>1.5</v>
      </c>
      <c r="G504" s="205">
        <v>0.65</v>
      </c>
      <c r="H504" s="197">
        <f>-G504*F504</f>
        <v>-0.97500000000000009</v>
      </c>
    </row>
    <row r="505" spans="2:8" s="71" customFormat="1" ht="20.100000000000001" customHeight="1" x14ac:dyDescent="0.25">
      <c r="B505" s="371"/>
      <c r="C505" s="372"/>
      <c r="D505" s="70" t="s">
        <v>32</v>
      </c>
      <c r="E505" s="277" t="s">
        <v>14</v>
      </c>
      <c r="F505" s="205">
        <v>10.32</v>
      </c>
      <c r="G505" s="205">
        <v>1.5</v>
      </c>
      <c r="H505" s="197">
        <f>G505*F505</f>
        <v>15.48</v>
      </c>
    </row>
    <row r="506" spans="2:8" s="71" customFormat="1" ht="20.100000000000001" customHeight="1" x14ac:dyDescent="0.25">
      <c r="B506" s="371"/>
      <c r="C506" s="372"/>
      <c r="D506" s="70" t="s">
        <v>30</v>
      </c>
      <c r="E506" s="277" t="s">
        <v>14</v>
      </c>
      <c r="F506" s="276">
        <v>0.8</v>
      </c>
      <c r="G506" s="276">
        <v>1.5</v>
      </c>
      <c r="H506" s="197">
        <f>-G506*F506*3</f>
        <v>-3.6000000000000005</v>
      </c>
    </row>
    <row r="507" spans="2:8" s="71" customFormat="1" ht="20.100000000000001" customHeight="1" x14ac:dyDescent="0.25">
      <c r="B507" s="371"/>
      <c r="C507" s="372"/>
      <c r="D507" s="70" t="s">
        <v>31</v>
      </c>
      <c r="E507" s="277" t="s">
        <v>14</v>
      </c>
      <c r="F507" s="205">
        <v>1.5</v>
      </c>
      <c r="G507" s="205">
        <v>0.65</v>
      </c>
      <c r="H507" s="197">
        <f>G507*F507</f>
        <v>0.97500000000000009</v>
      </c>
    </row>
    <row r="508" spans="2:8" s="71" customFormat="1" ht="20.100000000000001" customHeight="1" x14ac:dyDescent="0.25">
      <c r="B508" s="371"/>
      <c r="C508" s="372"/>
      <c r="D508" s="70" t="s">
        <v>33</v>
      </c>
      <c r="E508" s="277" t="s">
        <v>14</v>
      </c>
      <c r="F508" s="205">
        <v>25.6</v>
      </c>
      <c r="G508" s="276">
        <v>1.5</v>
      </c>
      <c r="H508" s="197">
        <f>G508*F508</f>
        <v>38.400000000000006</v>
      </c>
    </row>
    <row r="509" spans="2:8" s="71" customFormat="1" ht="20.100000000000001" customHeight="1" x14ac:dyDescent="0.25">
      <c r="B509" s="371"/>
      <c r="C509" s="372"/>
      <c r="D509" s="70" t="s">
        <v>34</v>
      </c>
      <c r="E509" s="277" t="s">
        <v>14</v>
      </c>
      <c r="F509" s="205">
        <v>1.1000000000000001</v>
      </c>
      <c r="G509" s="303">
        <v>0.6</v>
      </c>
      <c r="H509" s="197">
        <f>G509*F509*-2</f>
        <v>-1.32</v>
      </c>
    </row>
    <row r="510" spans="2:8" s="71" customFormat="1" ht="20.100000000000001" customHeight="1" x14ac:dyDescent="0.25">
      <c r="B510" s="371"/>
      <c r="C510" s="372"/>
      <c r="D510" s="70" t="s">
        <v>23</v>
      </c>
      <c r="E510" s="277" t="s">
        <v>14</v>
      </c>
      <c r="F510" s="205">
        <v>0.8</v>
      </c>
      <c r="G510" s="303">
        <v>1.5</v>
      </c>
      <c r="H510" s="197">
        <f>G510*F510*-1</f>
        <v>-1.2000000000000002</v>
      </c>
    </row>
    <row r="511" spans="2:8" s="71" customFormat="1" ht="20.100000000000001" customHeight="1" x14ac:dyDescent="0.25">
      <c r="B511" s="371"/>
      <c r="C511" s="372"/>
      <c r="D511" s="70" t="s">
        <v>35</v>
      </c>
      <c r="E511" s="277" t="s">
        <v>14</v>
      </c>
      <c r="F511" s="205">
        <v>0.7</v>
      </c>
      <c r="G511" s="303">
        <v>1.5</v>
      </c>
      <c r="H511" s="197">
        <f>G511*F511*-1</f>
        <v>-1.0499999999999998</v>
      </c>
    </row>
    <row r="512" spans="2:8" s="71" customFormat="1" ht="20.100000000000001" customHeight="1" x14ac:dyDescent="0.25">
      <c r="B512" s="371"/>
      <c r="C512" s="372"/>
      <c r="D512" s="70" t="s">
        <v>36</v>
      </c>
      <c r="E512" s="277" t="s">
        <v>14</v>
      </c>
      <c r="F512" s="276">
        <v>20</v>
      </c>
      <c r="G512" s="276">
        <v>1.5</v>
      </c>
      <c r="H512" s="197">
        <f>G512*F512</f>
        <v>30</v>
      </c>
    </row>
    <row r="513" spans="2:8" s="71" customFormat="1" ht="20.100000000000001" customHeight="1" x14ac:dyDescent="0.25">
      <c r="B513" s="371"/>
      <c r="C513" s="372"/>
      <c r="D513" s="70" t="s">
        <v>34</v>
      </c>
      <c r="E513" s="277" t="s">
        <v>14</v>
      </c>
      <c r="F513" s="205">
        <v>1.1000000000000001</v>
      </c>
      <c r="G513" s="303">
        <v>0.6</v>
      </c>
      <c r="H513" s="197">
        <f>G513*F513*-2</f>
        <v>-1.32</v>
      </c>
    </row>
    <row r="514" spans="2:8" s="71" customFormat="1" ht="20.100000000000001" customHeight="1" x14ac:dyDescent="0.25">
      <c r="B514" s="371"/>
      <c r="C514" s="372"/>
      <c r="D514" s="70" t="s">
        <v>38</v>
      </c>
      <c r="E514" s="277" t="s">
        <v>14</v>
      </c>
      <c r="F514" s="276">
        <f>4.3+4.3+4.4+4.4</f>
        <v>17.399999999999999</v>
      </c>
      <c r="G514" s="276">
        <v>1.5</v>
      </c>
      <c r="H514" s="197">
        <f>G514*F514</f>
        <v>26.099999999999998</v>
      </c>
    </row>
    <row r="515" spans="2:8" s="71" customFormat="1" ht="20.100000000000001" customHeight="1" x14ac:dyDescent="0.25">
      <c r="B515" s="371"/>
      <c r="C515" s="372"/>
      <c r="D515" s="70" t="s">
        <v>39</v>
      </c>
      <c r="E515" s="277" t="s">
        <v>14</v>
      </c>
      <c r="F515" s="205">
        <v>0.8</v>
      </c>
      <c r="G515" s="276">
        <v>1.5</v>
      </c>
      <c r="H515" s="197">
        <f>G515*F515*-2</f>
        <v>-2.4000000000000004</v>
      </c>
    </row>
    <row r="516" spans="2:8" s="71" customFormat="1" ht="20.100000000000001" customHeight="1" x14ac:dyDescent="0.25">
      <c r="B516" s="371"/>
      <c r="C516" s="372"/>
      <c r="D516" s="70" t="s">
        <v>35</v>
      </c>
      <c r="E516" s="277" t="s">
        <v>14</v>
      </c>
      <c r="F516" s="303">
        <v>0.7</v>
      </c>
      <c r="G516" s="276">
        <v>1.5</v>
      </c>
      <c r="H516" s="197">
        <f>-G516*F516</f>
        <v>-1.0499999999999998</v>
      </c>
    </row>
    <row r="517" spans="2:8" s="71" customFormat="1" ht="20.100000000000001" customHeight="1" x14ac:dyDescent="0.25">
      <c r="B517" s="371"/>
      <c r="C517" s="372"/>
      <c r="D517" s="70" t="s">
        <v>31</v>
      </c>
      <c r="E517" s="277" t="s">
        <v>14</v>
      </c>
      <c r="F517" s="303">
        <v>1.5</v>
      </c>
      <c r="G517" s="303">
        <v>0.6</v>
      </c>
      <c r="H517" s="197">
        <f>F517*G517*-2</f>
        <v>-1.7999999999999998</v>
      </c>
    </row>
    <row r="518" spans="2:8" s="71" customFormat="1" ht="20.100000000000001" customHeight="1" x14ac:dyDescent="0.25">
      <c r="B518" s="371"/>
      <c r="C518" s="372"/>
      <c r="D518" s="70" t="s">
        <v>40</v>
      </c>
      <c r="E518" s="277" t="s">
        <v>14</v>
      </c>
      <c r="F518" s="303">
        <f>4.65+4.43</f>
        <v>9.08</v>
      </c>
      <c r="G518" s="276">
        <v>1.5</v>
      </c>
      <c r="H518" s="197">
        <f>G518*F518</f>
        <v>13.620000000000001</v>
      </c>
    </row>
    <row r="519" spans="2:8" s="71" customFormat="1" ht="20.100000000000001" customHeight="1" x14ac:dyDescent="0.25">
      <c r="B519" s="371"/>
      <c r="C519" s="372"/>
      <c r="D519" s="70" t="s">
        <v>23</v>
      </c>
      <c r="E519" s="277" t="s">
        <v>14</v>
      </c>
      <c r="F519" s="303">
        <v>0.8</v>
      </c>
      <c r="G519" s="276">
        <v>1.5</v>
      </c>
      <c r="H519" s="197">
        <f>-G519*F519</f>
        <v>-1.2000000000000002</v>
      </c>
    </row>
    <row r="520" spans="2:8" s="71" customFormat="1" ht="20.100000000000001" customHeight="1" x14ac:dyDescent="0.25">
      <c r="B520" s="371"/>
      <c r="C520" s="372"/>
      <c r="D520" s="70" t="s">
        <v>31</v>
      </c>
      <c r="E520" s="277" t="s">
        <v>14</v>
      </c>
      <c r="F520" s="276">
        <v>1.5</v>
      </c>
      <c r="G520" s="276">
        <v>0.6</v>
      </c>
      <c r="H520" s="197">
        <f>G520*F520*-2</f>
        <v>-1.7999999999999998</v>
      </c>
    </row>
    <row r="521" spans="2:8" s="71" customFormat="1" ht="20.100000000000001" customHeight="1" x14ac:dyDescent="0.25">
      <c r="B521" s="371"/>
      <c r="C521" s="372"/>
      <c r="D521" s="70" t="s">
        <v>41</v>
      </c>
      <c r="E521" s="277" t="s">
        <v>14</v>
      </c>
      <c r="F521" s="303">
        <f>5.51+4+5.51+4</f>
        <v>19.02</v>
      </c>
      <c r="G521" s="276">
        <v>1.5</v>
      </c>
      <c r="H521" s="197">
        <f>G521*F521</f>
        <v>28.53</v>
      </c>
    </row>
    <row r="522" spans="2:8" s="71" customFormat="1" ht="20.100000000000001" customHeight="1" x14ac:dyDescent="0.25">
      <c r="B522" s="371"/>
      <c r="C522" s="372"/>
      <c r="D522" s="70" t="s">
        <v>42</v>
      </c>
      <c r="E522" s="277" t="s">
        <v>14</v>
      </c>
      <c r="F522" s="303">
        <v>0.7</v>
      </c>
      <c r="G522" s="276">
        <v>1.5</v>
      </c>
      <c r="H522" s="197">
        <f>G522*F522*-1</f>
        <v>-1.0499999999999998</v>
      </c>
    </row>
    <row r="523" spans="2:8" s="71" customFormat="1" ht="20.100000000000001" customHeight="1" x14ac:dyDescent="0.25">
      <c r="B523" s="371"/>
      <c r="C523" s="372"/>
      <c r="D523" s="70" t="s">
        <v>43</v>
      </c>
      <c r="E523" s="277" t="s">
        <v>14</v>
      </c>
      <c r="F523" s="303">
        <v>0.8</v>
      </c>
      <c r="G523" s="276">
        <v>1.5</v>
      </c>
      <c r="H523" s="197">
        <f>G523*F523*-1</f>
        <v>-1.2000000000000002</v>
      </c>
    </row>
    <row r="524" spans="2:8" s="71" customFormat="1" ht="20.100000000000001" customHeight="1" x14ac:dyDescent="0.25">
      <c r="B524" s="371"/>
      <c r="C524" s="372"/>
      <c r="D524" s="70" t="s">
        <v>31</v>
      </c>
      <c r="E524" s="277" t="s">
        <v>14</v>
      </c>
      <c r="F524" s="303">
        <v>1.5</v>
      </c>
      <c r="G524" s="303">
        <v>0.6</v>
      </c>
      <c r="H524" s="197">
        <f>-2*G524*F524</f>
        <v>-1.7999999999999998</v>
      </c>
    </row>
    <row r="525" spans="2:8" s="71" customFormat="1" ht="20.100000000000001" customHeight="1" x14ac:dyDescent="0.25">
      <c r="B525" s="371"/>
      <c r="C525" s="372"/>
      <c r="D525" s="70" t="s">
        <v>44</v>
      </c>
      <c r="E525" s="277" t="s">
        <v>14</v>
      </c>
      <c r="F525" s="303">
        <f>5.71+4.15+0.075</f>
        <v>9.9349999999999987</v>
      </c>
      <c r="G525" s="276">
        <v>1.5</v>
      </c>
      <c r="H525" s="197">
        <f>G525*F525</f>
        <v>14.902499999999998</v>
      </c>
    </row>
    <row r="526" spans="2:8" s="71" customFormat="1" ht="20.100000000000001" customHeight="1" x14ac:dyDescent="0.25">
      <c r="B526" s="371"/>
      <c r="C526" s="372"/>
      <c r="D526" s="70" t="s">
        <v>45</v>
      </c>
      <c r="E526" s="277" t="s">
        <v>14</v>
      </c>
      <c r="F526" s="303">
        <v>0.8</v>
      </c>
      <c r="G526" s="276">
        <v>1.5</v>
      </c>
      <c r="H526" s="197">
        <f>-G526*F526</f>
        <v>-1.2000000000000002</v>
      </c>
    </row>
    <row r="527" spans="2:8" s="71" customFormat="1" ht="20.100000000000001" customHeight="1" x14ac:dyDescent="0.25">
      <c r="B527" s="371"/>
      <c r="C527" s="372"/>
      <c r="D527" s="70" t="s">
        <v>31</v>
      </c>
      <c r="E527" s="277" t="s">
        <v>14</v>
      </c>
      <c r="F527" s="276">
        <v>1.5</v>
      </c>
      <c r="G527" s="276">
        <v>0.6</v>
      </c>
      <c r="H527" s="197">
        <f>-2*G527*F527</f>
        <v>-1.7999999999999998</v>
      </c>
    </row>
    <row r="528" spans="2:8" s="71" customFormat="1" ht="15" x14ac:dyDescent="0.25">
      <c r="B528" s="371"/>
      <c r="C528" s="372"/>
      <c r="D528" s="70" t="s">
        <v>46</v>
      </c>
      <c r="E528" s="277" t="s">
        <v>14</v>
      </c>
      <c r="F528" s="303">
        <f>2.66+6.26</f>
        <v>8.92</v>
      </c>
      <c r="G528" s="276">
        <v>1.5</v>
      </c>
      <c r="H528" s="197">
        <f>G528*F528</f>
        <v>13.379999999999999</v>
      </c>
    </row>
    <row r="529" spans="2:8" s="71" customFormat="1" ht="15" x14ac:dyDescent="0.25">
      <c r="B529" s="371"/>
      <c r="C529" s="372"/>
      <c r="D529" s="70" t="s">
        <v>35</v>
      </c>
      <c r="E529" s="277" t="s">
        <v>14</v>
      </c>
      <c r="F529" s="303">
        <v>0.7</v>
      </c>
      <c r="G529" s="276">
        <v>1.5</v>
      </c>
      <c r="H529" s="197">
        <f>G529*F529*-1</f>
        <v>-1.0499999999999998</v>
      </c>
    </row>
    <row r="530" spans="2:8" s="71" customFormat="1" ht="20.100000000000001" customHeight="1" x14ac:dyDescent="0.25">
      <c r="B530" s="371"/>
      <c r="C530" s="372"/>
      <c r="D530" s="70" t="s">
        <v>48</v>
      </c>
      <c r="E530" s="277" t="s">
        <v>14</v>
      </c>
      <c r="F530" s="303">
        <f>5.4+6.56+4+5.52+1.48</f>
        <v>22.96</v>
      </c>
      <c r="G530" s="276">
        <v>1.5</v>
      </c>
      <c r="H530" s="197">
        <f>G530*F530</f>
        <v>34.44</v>
      </c>
    </row>
    <row r="531" spans="2:8" s="71" customFormat="1" ht="20.100000000000001" customHeight="1" x14ac:dyDescent="0.25">
      <c r="B531" s="371"/>
      <c r="C531" s="372"/>
      <c r="D531" s="70" t="s">
        <v>30</v>
      </c>
      <c r="E531" s="277" t="s">
        <v>14</v>
      </c>
      <c r="F531" s="303">
        <v>0.8</v>
      </c>
      <c r="G531" s="303">
        <v>1.5</v>
      </c>
      <c r="H531" s="197">
        <f>-3*F531*G531</f>
        <v>-3.6000000000000005</v>
      </c>
    </row>
    <row r="532" spans="2:8" s="71" customFormat="1" ht="20.100000000000001" customHeight="1" x14ac:dyDescent="0.25">
      <c r="B532" s="371"/>
      <c r="C532" s="372"/>
      <c r="D532" s="70" t="s">
        <v>31</v>
      </c>
      <c r="E532" s="277" t="s">
        <v>14</v>
      </c>
      <c r="F532" s="303">
        <v>1.5</v>
      </c>
      <c r="G532" s="303">
        <v>0.6</v>
      </c>
      <c r="H532" s="197">
        <f>-2*F532*G532</f>
        <v>-1.7999999999999998</v>
      </c>
    </row>
    <row r="533" spans="2:8" s="71" customFormat="1" ht="20.100000000000001" customHeight="1" x14ac:dyDescent="0.25">
      <c r="B533" s="371"/>
      <c r="C533" s="372"/>
      <c r="D533" s="70" t="s">
        <v>50</v>
      </c>
      <c r="E533" s="277" t="s">
        <v>14</v>
      </c>
      <c r="F533" s="303">
        <f>3.97+5.4+3.97+5.4</f>
        <v>18.740000000000002</v>
      </c>
      <c r="G533" s="303">
        <v>1.5</v>
      </c>
      <c r="H533" s="197">
        <f>G533*F533</f>
        <v>28.110000000000003</v>
      </c>
    </row>
    <row r="534" spans="2:8" s="71" customFormat="1" ht="20.100000000000001" customHeight="1" x14ac:dyDescent="0.25">
      <c r="B534" s="371"/>
      <c r="C534" s="372"/>
      <c r="D534" s="70" t="s">
        <v>51</v>
      </c>
      <c r="E534" s="277" t="s">
        <v>14</v>
      </c>
      <c r="F534" s="303">
        <v>0.8</v>
      </c>
      <c r="G534" s="303">
        <v>1.5</v>
      </c>
      <c r="H534" s="197">
        <f>G534*-F534</f>
        <v>-1.2000000000000002</v>
      </c>
    </row>
    <row r="535" spans="2:8" s="71" customFormat="1" ht="20.100000000000001" customHeight="1" x14ac:dyDescent="0.25">
      <c r="B535" s="371"/>
      <c r="C535" s="372"/>
      <c r="D535" s="70" t="s">
        <v>52</v>
      </c>
      <c r="E535" s="277" t="s">
        <v>14</v>
      </c>
      <c r="F535" s="303">
        <v>2</v>
      </c>
      <c r="G535" s="303">
        <v>0.6</v>
      </c>
      <c r="H535" s="197">
        <f>G535*-F535</f>
        <v>-1.2</v>
      </c>
    </row>
    <row r="536" spans="2:8" s="71" customFormat="1" ht="20.100000000000001" customHeight="1" x14ac:dyDescent="0.25">
      <c r="B536" s="371"/>
      <c r="C536" s="372"/>
      <c r="D536" s="70" t="s">
        <v>53</v>
      </c>
      <c r="E536" s="277" t="s">
        <v>14</v>
      </c>
      <c r="F536" s="303">
        <f>8.44+6.84+1.53</f>
        <v>16.809999999999999</v>
      </c>
      <c r="G536" s="303">
        <v>1.5</v>
      </c>
      <c r="H536" s="197">
        <f>G536*F536</f>
        <v>25.214999999999996</v>
      </c>
    </row>
    <row r="537" spans="2:8" s="71" customFormat="1" ht="20.100000000000001" customHeight="1" x14ac:dyDescent="0.25">
      <c r="B537" s="371"/>
      <c r="C537" s="372"/>
      <c r="D537" s="70" t="s">
        <v>51</v>
      </c>
      <c r="E537" s="277" t="s">
        <v>14</v>
      </c>
      <c r="F537" s="303">
        <v>0.8</v>
      </c>
      <c r="G537" s="303">
        <v>1.5</v>
      </c>
      <c r="H537" s="197">
        <f>-G537*F537</f>
        <v>-1.2000000000000002</v>
      </c>
    </row>
    <row r="538" spans="2:8" s="71" customFormat="1" ht="20.100000000000001" customHeight="1" x14ac:dyDescent="0.25">
      <c r="B538" s="371"/>
      <c r="C538" s="372"/>
      <c r="D538" s="70" t="s">
        <v>54</v>
      </c>
      <c r="E538" s="277" t="s">
        <v>14</v>
      </c>
      <c r="F538" s="303">
        <v>1.5</v>
      </c>
      <c r="G538" s="276">
        <v>0.6</v>
      </c>
      <c r="H538" s="197">
        <f>-2*G538*F538</f>
        <v>-1.7999999999999998</v>
      </c>
    </row>
    <row r="539" spans="2:8" s="71" customFormat="1" ht="20.100000000000001" customHeight="1" x14ac:dyDescent="0.25">
      <c r="B539" s="371"/>
      <c r="C539" s="372"/>
      <c r="D539" s="70" t="s">
        <v>52</v>
      </c>
      <c r="E539" s="277" t="s">
        <v>14</v>
      </c>
      <c r="F539" s="303">
        <v>2.5</v>
      </c>
      <c r="G539" s="276">
        <v>0.6</v>
      </c>
      <c r="H539" s="197">
        <f>-G539*F539</f>
        <v>-1.5</v>
      </c>
    </row>
    <row r="540" spans="2:8" s="71" customFormat="1" ht="20.100000000000001" customHeight="1" x14ac:dyDescent="0.25">
      <c r="B540" s="371"/>
      <c r="C540" s="372"/>
      <c r="D540" s="70" t="s">
        <v>55</v>
      </c>
      <c r="E540" s="277" t="s">
        <v>14</v>
      </c>
      <c r="F540" s="303">
        <f>3.94+2.22</f>
        <v>6.16</v>
      </c>
      <c r="G540" s="303">
        <v>1.5</v>
      </c>
      <c r="H540" s="197">
        <f>G540*F540</f>
        <v>9.24</v>
      </c>
    </row>
    <row r="541" spans="2:8" s="71" customFormat="1" ht="20.100000000000001" customHeight="1" x14ac:dyDescent="0.25">
      <c r="B541" s="371"/>
      <c r="C541" s="372"/>
      <c r="D541" s="70" t="s">
        <v>51</v>
      </c>
      <c r="E541" s="277" t="s">
        <v>14</v>
      </c>
      <c r="F541" s="303">
        <v>0.8</v>
      </c>
      <c r="G541" s="276">
        <v>1.5</v>
      </c>
      <c r="H541" s="197">
        <f>-G541*F541</f>
        <v>-1.2000000000000002</v>
      </c>
    </row>
    <row r="542" spans="2:8" s="71" customFormat="1" ht="20.100000000000001" customHeight="1" x14ac:dyDescent="0.25">
      <c r="B542" s="371"/>
      <c r="C542" s="372"/>
      <c r="D542" s="70" t="s">
        <v>56</v>
      </c>
      <c r="E542" s="277" t="s">
        <v>14</v>
      </c>
      <c r="F542" s="303">
        <v>1.45</v>
      </c>
      <c r="G542" s="276">
        <v>0.6</v>
      </c>
      <c r="H542" s="197">
        <f>-G542*F542</f>
        <v>-0.87</v>
      </c>
    </row>
    <row r="543" spans="2:8" s="71" customFormat="1" ht="20.100000000000001" customHeight="1" x14ac:dyDescent="0.25">
      <c r="B543" s="371"/>
      <c r="C543" s="372"/>
      <c r="D543" s="70" t="s">
        <v>57</v>
      </c>
      <c r="E543" s="277" t="s">
        <v>14</v>
      </c>
      <c r="F543" s="303">
        <v>4.0659999999999998</v>
      </c>
      <c r="G543" s="303">
        <v>1.5</v>
      </c>
      <c r="H543" s="197">
        <f>G543*F543</f>
        <v>6.0990000000000002</v>
      </c>
    </row>
    <row r="544" spans="2:8" s="71" customFormat="1" ht="20.100000000000001" customHeight="1" x14ac:dyDescent="0.25">
      <c r="B544" s="373"/>
      <c r="C544" s="374"/>
      <c r="D544" s="70" t="s">
        <v>56</v>
      </c>
      <c r="E544" s="277" t="s">
        <v>14</v>
      </c>
      <c r="F544" s="303">
        <v>1.45</v>
      </c>
      <c r="G544" s="276">
        <v>0.6</v>
      </c>
      <c r="H544" s="197">
        <f>-G544*F544</f>
        <v>-0.87</v>
      </c>
    </row>
    <row r="545" spans="2:8" s="71" customFormat="1" ht="20.100000000000001" customHeight="1" x14ac:dyDescent="0.25">
      <c r="B545" s="369"/>
      <c r="C545" s="370"/>
      <c r="D545" s="70" t="s">
        <v>58</v>
      </c>
      <c r="E545" s="277" t="s">
        <v>14</v>
      </c>
      <c r="F545" s="303">
        <f>9.52+9.52+5.97+5.97</f>
        <v>30.979999999999997</v>
      </c>
      <c r="G545" s="303">
        <v>1.5</v>
      </c>
      <c r="H545" s="197">
        <f>F545*G545</f>
        <v>46.47</v>
      </c>
    </row>
    <row r="546" spans="2:8" s="71" customFormat="1" ht="20.100000000000001" customHeight="1" x14ac:dyDescent="0.25">
      <c r="B546" s="371"/>
      <c r="C546" s="372"/>
      <c r="D546" s="70" t="s">
        <v>59</v>
      </c>
      <c r="E546" s="277" t="s">
        <v>14</v>
      </c>
      <c r="F546" s="303">
        <v>2</v>
      </c>
      <c r="G546" s="303">
        <v>0.6</v>
      </c>
      <c r="H546" s="197">
        <f>G546*F546*-2</f>
        <v>-2.4</v>
      </c>
    </row>
    <row r="547" spans="2:8" s="71" customFormat="1" ht="21.75" customHeight="1" x14ac:dyDescent="0.25">
      <c r="B547" s="371"/>
      <c r="C547" s="372"/>
      <c r="D547" s="70" t="s">
        <v>60</v>
      </c>
      <c r="E547" s="277" t="s">
        <v>14</v>
      </c>
      <c r="F547" s="303">
        <v>0.8</v>
      </c>
      <c r="G547" s="276">
        <v>1.5</v>
      </c>
      <c r="H547" s="197">
        <f>-G547*F547*1</f>
        <v>-1.2000000000000002</v>
      </c>
    </row>
    <row r="548" spans="2:8" s="71" customFormat="1" ht="20.100000000000001" customHeight="1" x14ac:dyDescent="0.25">
      <c r="B548" s="371"/>
      <c r="C548" s="372"/>
      <c r="D548" s="70" t="s">
        <v>61</v>
      </c>
      <c r="E548" s="277" t="s">
        <v>14</v>
      </c>
      <c r="F548" s="303">
        <v>2</v>
      </c>
      <c r="G548" s="276">
        <v>1.5</v>
      </c>
      <c r="H548" s="197">
        <f>-G548*F548</f>
        <v>-3</v>
      </c>
    </row>
    <row r="549" spans="2:8" s="71" customFormat="1" ht="20.100000000000001" customHeight="1" x14ac:dyDescent="0.25">
      <c r="B549" s="371"/>
      <c r="C549" s="372"/>
      <c r="D549" s="70" t="s">
        <v>62</v>
      </c>
      <c r="E549" s="277" t="s">
        <v>14</v>
      </c>
      <c r="F549" s="303">
        <f>6.11+6.11</f>
        <v>12.22</v>
      </c>
      <c r="G549" s="276">
        <v>1.5</v>
      </c>
      <c r="H549" s="197">
        <f>G549*F549</f>
        <v>18.330000000000002</v>
      </c>
    </row>
    <row r="550" spans="2:8" s="71" customFormat="1" ht="20.100000000000001" customHeight="1" x14ac:dyDescent="0.25">
      <c r="B550" s="371"/>
      <c r="C550" s="372"/>
      <c r="D550" s="70" t="s">
        <v>51</v>
      </c>
      <c r="E550" s="277" t="s">
        <v>14</v>
      </c>
      <c r="F550" s="303">
        <v>0.8</v>
      </c>
      <c r="G550" s="276">
        <v>1.5</v>
      </c>
      <c r="H550" s="197">
        <f>-G550*F550</f>
        <v>-1.2000000000000002</v>
      </c>
    </row>
    <row r="551" spans="2:8" s="71" customFormat="1" ht="20.100000000000001" customHeight="1" x14ac:dyDescent="0.25">
      <c r="B551" s="371"/>
      <c r="C551" s="372"/>
      <c r="D551" s="70" t="s">
        <v>63</v>
      </c>
      <c r="E551" s="277" t="s">
        <v>14</v>
      </c>
      <c r="F551" s="303">
        <v>1.5</v>
      </c>
      <c r="G551" s="276">
        <v>0.6</v>
      </c>
      <c r="H551" s="197">
        <f>-3*G551*F551</f>
        <v>-2.6999999999999997</v>
      </c>
    </row>
    <row r="552" spans="2:8" s="71" customFormat="1" ht="20.100000000000001" customHeight="1" x14ac:dyDescent="0.25">
      <c r="B552" s="371"/>
      <c r="C552" s="372"/>
      <c r="D552" s="70" t="s">
        <v>64</v>
      </c>
      <c r="E552" s="277" t="s">
        <v>14</v>
      </c>
      <c r="F552" s="303">
        <f>9.63+9.63</f>
        <v>19.260000000000002</v>
      </c>
      <c r="G552" s="303">
        <v>1.5</v>
      </c>
      <c r="H552" s="197">
        <f>G552*F552</f>
        <v>28.89</v>
      </c>
    </row>
    <row r="553" spans="2:8" s="71" customFormat="1" ht="20.100000000000001" customHeight="1" x14ac:dyDescent="0.25">
      <c r="B553" s="371"/>
      <c r="C553" s="372"/>
      <c r="D553" s="70" t="s">
        <v>61</v>
      </c>
      <c r="E553" s="277" t="s">
        <v>14</v>
      </c>
      <c r="F553" s="303">
        <v>2</v>
      </c>
      <c r="G553" s="276">
        <v>1.5</v>
      </c>
      <c r="H553" s="197">
        <f>-G553*F553*1</f>
        <v>-3</v>
      </c>
    </row>
    <row r="554" spans="2:8" s="71" customFormat="1" ht="20.100000000000001" customHeight="1" x14ac:dyDescent="0.25">
      <c r="B554" s="371"/>
      <c r="C554" s="372"/>
      <c r="D554" s="70" t="s">
        <v>65</v>
      </c>
      <c r="E554" s="277" t="s">
        <v>14</v>
      </c>
      <c r="F554" s="303">
        <v>2</v>
      </c>
      <c r="G554" s="276">
        <v>0.6</v>
      </c>
      <c r="H554" s="197">
        <f>-2*G554*F554</f>
        <v>-2.4</v>
      </c>
    </row>
    <row r="555" spans="2:8" s="71" customFormat="1" ht="20.100000000000001" customHeight="1" x14ac:dyDescent="0.25">
      <c r="B555" s="371"/>
      <c r="C555" s="372"/>
      <c r="D555" s="70" t="s">
        <v>66</v>
      </c>
      <c r="E555" s="277" t="s">
        <v>14</v>
      </c>
      <c r="F555" s="303">
        <f>7.17+4.92+7.17+4.92</f>
        <v>24.18</v>
      </c>
      <c r="G555" s="303">
        <v>1.5</v>
      </c>
      <c r="H555" s="197">
        <f>G555*F555</f>
        <v>36.269999999999996</v>
      </c>
    </row>
    <row r="556" spans="2:8" s="71" customFormat="1" ht="20.100000000000001" customHeight="1" x14ac:dyDescent="0.25">
      <c r="B556" s="371"/>
      <c r="C556" s="372"/>
      <c r="D556" s="70" t="s">
        <v>51</v>
      </c>
      <c r="E556" s="277" t="s">
        <v>14</v>
      </c>
      <c r="F556" s="303">
        <v>0.8</v>
      </c>
      <c r="G556" s="276">
        <v>1.5</v>
      </c>
      <c r="H556" s="197">
        <f>-G556*F556*1</f>
        <v>-1.2000000000000002</v>
      </c>
    </row>
    <row r="557" spans="2:8" s="71" customFormat="1" ht="20.100000000000001" customHeight="1" x14ac:dyDescent="0.25">
      <c r="B557" s="371"/>
      <c r="C557" s="372"/>
      <c r="D557" s="70" t="s">
        <v>67</v>
      </c>
      <c r="E557" s="277" t="s">
        <v>14</v>
      </c>
      <c r="F557" s="303">
        <v>0.6</v>
      </c>
      <c r="G557" s="276">
        <v>1.5</v>
      </c>
      <c r="H557" s="197">
        <f>-G557*F557</f>
        <v>-0.89999999999999991</v>
      </c>
    </row>
    <row r="558" spans="2:8" s="71" customFormat="1" ht="20.100000000000001" customHeight="1" x14ac:dyDescent="0.25">
      <c r="B558" s="371"/>
      <c r="C558" s="372"/>
      <c r="D558" s="70" t="s">
        <v>68</v>
      </c>
      <c r="E558" s="277" t="s">
        <v>14</v>
      </c>
      <c r="F558" s="303">
        <v>2.5</v>
      </c>
      <c r="G558" s="303">
        <v>0.6</v>
      </c>
      <c r="H558" s="197">
        <f>G558*F558</f>
        <v>1.5</v>
      </c>
    </row>
    <row r="559" spans="2:8" s="71" customFormat="1" ht="20.100000000000001" customHeight="1" x14ac:dyDescent="0.25">
      <c r="B559" s="371"/>
      <c r="C559" s="372"/>
      <c r="D559" s="70" t="s">
        <v>69</v>
      </c>
      <c r="E559" s="277" t="s">
        <v>14</v>
      </c>
      <c r="F559" s="276">
        <f>1.11+5.22+7.43</f>
        <v>13.76</v>
      </c>
      <c r="G559" s="276">
        <v>1.5</v>
      </c>
      <c r="H559" s="197">
        <f>G559*F559</f>
        <v>20.64</v>
      </c>
    </row>
    <row r="560" spans="2:8" s="71" customFormat="1" ht="20.100000000000001" customHeight="1" x14ac:dyDescent="0.25">
      <c r="B560" s="371"/>
      <c r="C560" s="372"/>
      <c r="D560" s="70" t="s">
        <v>51</v>
      </c>
      <c r="E560" s="277" t="s">
        <v>14</v>
      </c>
      <c r="F560" s="276">
        <v>0.8</v>
      </c>
      <c r="G560" s="276">
        <v>1.5</v>
      </c>
      <c r="H560" s="197">
        <f>-G560*F560</f>
        <v>-1.2000000000000002</v>
      </c>
    </row>
    <row r="561" spans="2:8" s="71" customFormat="1" ht="20.100000000000001" customHeight="1" x14ac:dyDescent="0.25">
      <c r="B561" s="371"/>
      <c r="C561" s="372"/>
      <c r="D561" s="70" t="s">
        <v>70</v>
      </c>
      <c r="E561" s="277" t="s">
        <v>14</v>
      </c>
      <c r="F561" s="276">
        <v>2.5</v>
      </c>
      <c r="G561" s="276">
        <v>0.6</v>
      </c>
      <c r="H561" s="197">
        <f>-2*G561*F561</f>
        <v>-3</v>
      </c>
    </row>
    <row r="562" spans="2:8" s="71" customFormat="1" ht="20.100000000000001" customHeight="1" x14ac:dyDescent="0.25">
      <c r="B562" s="371"/>
      <c r="C562" s="372"/>
      <c r="D562" s="70" t="s">
        <v>71</v>
      </c>
      <c r="E562" s="277" t="s">
        <v>14</v>
      </c>
      <c r="F562" s="276">
        <f>2.15+2.15</f>
        <v>4.3</v>
      </c>
      <c r="G562" s="276">
        <v>1.5</v>
      </c>
      <c r="H562" s="197">
        <f>G562*F562</f>
        <v>6.4499999999999993</v>
      </c>
    </row>
    <row r="563" spans="2:8" s="71" customFormat="1" ht="20.100000000000001" customHeight="1" x14ac:dyDescent="0.25">
      <c r="B563" s="371"/>
      <c r="C563" s="372"/>
      <c r="D563" s="70" t="s">
        <v>72</v>
      </c>
      <c r="E563" s="277" t="s">
        <v>14</v>
      </c>
      <c r="F563" s="276">
        <v>0.7</v>
      </c>
      <c r="G563" s="276">
        <v>1.5</v>
      </c>
      <c r="H563" s="197">
        <f>-2*G563*F563</f>
        <v>-2.0999999999999996</v>
      </c>
    </row>
    <row r="564" spans="2:8" s="71" customFormat="1" ht="20.100000000000001" customHeight="1" x14ac:dyDescent="0.25">
      <c r="B564" s="371"/>
      <c r="C564" s="372"/>
      <c r="D564" s="70" t="s">
        <v>73</v>
      </c>
      <c r="E564" s="277" t="s">
        <v>14</v>
      </c>
      <c r="F564" s="276">
        <f>7.43+7.43+5.01+5.01</f>
        <v>24.879999999999995</v>
      </c>
      <c r="G564" s="276">
        <v>1.5</v>
      </c>
      <c r="H564" s="197">
        <f>G564*F564</f>
        <v>37.319999999999993</v>
      </c>
    </row>
    <row r="565" spans="2:8" s="71" customFormat="1" ht="20.100000000000001" customHeight="1" x14ac:dyDescent="0.25">
      <c r="B565" s="371"/>
      <c r="C565" s="372"/>
      <c r="D565" s="70" t="s">
        <v>51</v>
      </c>
      <c r="E565" s="277" t="s">
        <v>14</v>
      </c>
      <c r="F565" s="276">
        <v>0.8</v>
      </c>
      <c r="G565" s="276">
        <v>1.5</v>
      </c>
      <c r="H565" s="197">
        <f>G565*F565*-1</f>
        <v>-1.2000000000000002</v>
      </c>
    </row>
    <row r="566" spans="2:8" s="71" customFormat="1" ht="20.100000000000001" customHeight="1" x14ac:dyDescent="0.25">
      <c r="B566" s="371"/>
      <c r="C566" s="372"/>
      <c r="D566" s="70" t="s">
        <v>70</v>
      </c>
      <c r="E566" s="277" t="s">
        <v>14</v>
      </c>
      <c r="F566" s="276">
        <v>2.5</v>
      </c>
      <c r="G566" s="276">
        <v>0.6</v>
      </c>
      <c r="H566" s="197">
        <f>-2*F566*G566</f>
        <v>-3</v>
      </c>
    </row>
    <row r="567" spans="2:8" s="71" customFormat="1" ht="20.100000000000001" customHeight="1" x14ac:dyDescent="0.25">
      <c r="B567" s="371"/>
      <c r="C567" s="372"/>
      <c r="D567" s="70" t="s">
        <v>74</v>
      </c>
      <c r="E567" s="277" t="s">
        <v>14</v>
      </c>
      <c r="F567" s="276">
        <f>7.65+7.65</f>
        <v>15.3</v>
      </c>
      <c r="G567" s="276">
        <v>1.5</v>
      </c>
      <c r="H567" s="197">
        <f>G567*F567</f>
        <v>22.950000000000003</v>
      </c>
    </row>
    <row r="568" spans="2:8" s="71" customFormat="1" ht="20.100000000000001" customHeight="1" x14ac:dyDescent="0.25">
      <c r="B568" s="371"/>
      <c r="C568" s="372"/>
      <c r="D568" s="70" t="s">
        <v>51</v>
      </c>
      <c r="E568" s="277" t="s">
        <v>14</v>
      </c>
      <c r="F568" s="276">
        <v>0.8</v>
      </c>
      <c r="G568" s="276">
        <v>1.5</v>
      </c>
      <c r="H568" s="197">
        <f>G568*F568*-1</f>
        <v>-1.2000000000000002</v>
      </c>
    </row>
    <row r="569" spans="2:8" s="71" customFormat="1" ht="20.100000000000001" customHeight="1" x14ac:dyDescent="0.25">
      <c r="B569" s="371"/>
      <c r="C569" s="372"/>
      <c r="D569" s="70" t="s">
        <v>70</v>
      </c>
      <c r="E569" s="277" t="s">
        <v>14</v>
      </c>
      <c r="F569" s="276">
        <v>2.5</v>
      </c>
      <c r="G569" s="276">
        <v>0.6</v>
      </c>
      <c r="H569" s="197">
        <f>-2*F569*G569</f>
        <v>-3</v>
      </c>
    </row>
    <row r="570" spans="2:8" s="71" customFormat="1" ht="20.100000000000001" customHeight="1" x14ac:dyDescent="0.25">
      <c r="B570" s="371"/>
      <c r="C570" s="372"/>
      <c r="D570" s="70" t="s">
        <v>75</v>
      </c>
      <c r="E570" s="277" t="s">
        <v>14</v>
      </c>
      <c r="F570" s="276">
        <f>7.51+7.51+4.97+4.97</f>
        <v>24.959999999999997</v>
      </c>
      <c r="G570" s="276">
        <v>1.5</v>
      </c>
      <c r="H570" s="197">
        <f>G570*F570</f>
        <v>37.44</v>
      </c>
    </row>
    <row r="571" spans="2:8" s="71" customFormat="1" ht="20.100000000000001" customHeight="1" x14ac:dyDescent="0.25">
      <c r="B571" s="371"/>
      <c r="C571" s="372"/>
      <c r="D571" s="70" t="s">
        <v>51</v>
      </c>
      <c r="E571" s="277" t="s">
        <v>14</v>
      </c>
      <c r="F571" s="276">
        <v>0.8</v>
      </c>
      <c r="G571" s="276">
        <v>1.5</v>
      </c>
      <c r="H571" s="197">
        <f>G571*F571*-1</f>
        <v>-1.2000000000000002</v>
      </c>
    </row>
    <row r="572" spans="2:8" s="71" customFormat="1" ht="20.100000000000001" customHeight="1" x14ac:dyDescent="0.25">
      <c r="B572" s="371"/>
      <c r="C572" s="372"/>
      <c r="D572" s="70" t="s">
        <v>70</v>
      </c>
      <c r="E572" s="277" t="s">
        <v>14</v>
      </c>
      <c r="F572" s="276">
        <v>2.5</v>
      </c>
      <c r="G572" s="276">
        <v>0.6</v>
      </c>
      <c r="H572" s="197">
        <f>-2*F572*G572</f>
        <v>-3</v>
      </c>
    </row>
    <row r="573" spans="2:8" s="71" customFormat="1" ht="20.100000000000001" customHeight="1" x14ac:dyDescent="0.25">
      <c r="B573" s="371"/>
      <c r="C573" s="372"/>
      <c r="D573" s="70" t="s">
        <v>76</v>
      </c>
      <c r="E573" s="277" t="s">
        <v>14</v>
      </c>
      <c r="F573" s="276">
        <f>1.41+7.72+5.22</f>
        <v>14.349999999999998</v>
      </c>
      <c r="G573" s="276">
        <v>1.5</v>
      </c>
      <c r="H573" s="197">
        <f>G573*F573</f>
        <v>21.524999999999999</v>
      </c>
    </row>
    <row r="574" spans="2:8" s="71" customFormat="1" ht="20.100000000000001" customHeight="1" x14ac:dyDescent="0.25">
      <c r="B574" s="371"/>
      <c r="C574" s="372"/>
      <c r="D574" s="70" t="s">
        <v>51</v>
      </c>
      <c r="E574" s="277" t="s">
        <v>14</v>
      </c>
      <c r="F574" s="276">
        <v>0.8</v>
      </c>
      <c r="G574" s="276">
        <v>1.5</v>
      </c>
      <c r="H574" s="197">
        <f>G574*F574*-1</f>
        <v>-1.2000000000000002</v>
      </c>
    </row>
    <row r="575" spans="2:8" s="71" customFormat="1" ht="20.100000000000001" customHeight="1" x14ac:dyDescent="0.25">
      <c r="B575" s="371"/>
      <c r="C575" s="372"/>
      <c r="D575" s="70" t="s">
        <v>70</v>
      </c>
      <c r="E575" s="277" t="s">
        <v>14</v>
      </c>
      <c r="F575" s="276">
        <v>2.5</v>
      </c>
      <c r="G575" s="276">
        <v>0.6</v>
      </c>
      <c r="H575" s="197">
        <f>-2*F575*G575</f>
        <v>-3</v>
      </c>
    </row>
    <row r="576" spans="2:8" s="71" customFormat="1" ht="20.100000000000001" customHeight="1" x14ac:dyDescent="0.25">
      <c r="B576" s="371"/>
      <c r="C576" s="372"/>
      <c r="D576" s="70" t="s">
        <v>77</v>
      </c>
      <c r="E576" s="277" t="s">
        <v>14</v>
      </c>
      <c r="F576" s="276">
        <f>5.98+5.93+5.98+5.93</f>
        <v>23.82</v>
      </c>
      <c r="G576" s="276">
        <v>1.5</v>
      </c>
      <c r="H576" s="197">
        <f>G576*F576</f>
        <v>35.730000000000004</v>
      </c>
    </row>
    <row r="577" spans="2:8" s="71" customFormat="1" ht="20.100000000000001" customHeight="1" x14ac:dyDescent="0.25">
      <c r="B577" s="371"/>
      <c r="C577" s="372"/>
      <c r="D577" s="70" t="s">
        <v>51</v>
      </c>
      <c r="E577" s="277" t="s">
        <v>14</v>
      </c>
      <c r="F577" s="276">
        <v>0.8</v>
      </c>
      <c r="G577" s="276">
        <v>1.5</v>
      </c>
      <c r="H577" s="197">
        <f>G577*F577*-1</f>
        <v>-1.2000000000000002</v>
      </c>
    </row>
    <row r="578" spans="2:8" s="71" customFormat="1" ht="20.100000000000001" customHeight="1" x14ac:dyDescent="0.25">
      <c r="B578" s="371"/>
      <c r="C578" s="372"/>
      <c r="D578" s="70" t="s">
        <v>65</v>
      </c>
      <c r="E578" s="277" t="s">
        <v>14</v>
      </c>
      <c r="F578" s="276">
        <v>2</v>
      </c>
      <c r="G578" s="276">
        <v>0.6</v>
      </c>
      <c r="H578" s="197">
        <f>-2*G578*F578</f>
        <v>-2.4</v>
      </c>
    </row>
    <row r="579" spans="2:8" s="71" customFormat="1" ht="20.100000000000001" customHeight="1" x14ac:dyDescent="0.25">
      <c r="B579" s="371"/>
      <c r="C579" s="372"/>
      <c r="D579" s="70" t="s">
        <v>78</v>
      </c>
      <c r="E579" s="277" t="s">
        <v>14</v>
      </c>
      <c r="F579" s="276">
        <f>6.13+6.13</f>
        <v>12.26</v>
      </c>
      <c r="G579" s="276">
        <v>1.5</v>
      </c>
      <c r="H579" s="197">
        <f>G579*F579</f>
        <v>18.39</v>
      </c>
    </row>
    <row r="580" spans="2:8" s="71" customFormat="1" ht="20.100000000000001" customHeight="1" x14ac:dyDescent="0.25">
      <c r="B580" s="371"/>
      <c r="C580" s="372"/>
      <c r="D580" s="70" t="s">
        <v>51</v>
      </c>
      <c r="E580" s="277" t="s">
        <v>14</v>
      </c>
      <c r="F580" s="276">
        <v>0.8</v>
      </c>
      <c r="G580" s="276">
        <v>1.5</v>
      </c>
      <c r="H580" s="197">
        <f>G580*F580*-1</f>
        <v>-1.2000000000000002</v>
      </c>
    </row>
    <row r="581" spans="2:8" s="71" customFormat="1" ht="20.100000000000001" customHeight="1" x14ac:dyDescent="0.25">
      <c r="B581" s="371"/>
      <c r="C581" s="372"/>
      <c r="D581" s="70" t="s">
        <v>65</v>
      </c>
      <c r="E581" s="277" t="s">
        <v>14</v>
      </c>
      <c r="F581" s="276">
        <v>2.1</v>
      </c>
      <c r="G581" s="276">
        <v>0.6</v>
      </c>
      <c r="H581" s="197">
        <f>-2*G581*F581</f>
        <v>-2.52</v>
      </c>
    </row>
    <row r="582" spans="2:8" s="71" customFormat="1" ht="20.100000000000001" customHeight="1" x14ac:dyDescent="0.25">
      <c r="B582" s="371"/>
      <c r="C582" s="372"/>
      <c r="D582" s="70" t="s">
        <v>79</v>
      </c>
      <c r="E582" s="277" t="s">
        <v>14</v>
      </c>
      <c r="F582" s="276">
        <f>0.85+0.85+5.26+5.26+1.35+1.35</f>
        <v>14.919999999999998</v>
      </c>
      <c r="G582" s="276">
        <v>1.5</v>
      </c>
      <c r="H582" s="197">
        <f>G582*F582</f>
        <v>22.379999999999995</v>
      </c>
    </row>
    <row r="583" spans="2:8" s="71" customFormat="1" ht="20.100000000000001" customHeight="1" x14ac:dyDescent="0.25">
      <c r="B583" s="371"/>
      <c r="C583" s="372"/>
      <c r="D583" s="70" t="s">
        <v>72</v>
      </c>
      <c r="E583" s="277" t="s">
        <v>14</v>
      </c>
      <c r="F583" s="276">
        <v>0.7</v>
      </c>
      <c r="G583" s="276">
        <v>1.5</v>
      </c>
      <c r="H583" s="197">
        <f>-2*G583*F583</f>
        <v>-2.0999999999999996</v>
      </c>
    </row>
    <row r="584" spans="2:8" s="71" customFormat="1" ht="20.100000000000001" customHeight="1" x14ac:dyDescent="0.25">
      <c r="B584" s="371"/>
      <c r="C584" s="372"/>
      <c r="D584" s="70" t="s">
        <v>80</v>
      </c>
      <c r="E584" s="277" t="s">
        <v>14</v>
      </c>
      <c r="F584" s="276">
        <f>5.9+6.02+5.9+6.02</f>
        <v>23.84</v>
      </c>
      <c r="G584" s="276">
        <v>1.5</v>
      </c>
      <c r="H584" s="197">
        <f>G584*F584</f>
        <v>35.76</v>
      </c>
    </row>
    <row r="585" spans="2:8" s="71" customFormat="1" ht="20.100000000000001" customHeight="1" x14ac:dyDescent="0.25">
      <c r="B585" s="371"/>
      <c r="C585" s="372"/>
      <c r="D585" s="70" t="s">
        <v>51</v>
      </c>
      <c r="E585" s="277" t="s">
        <v>14</v>
      </c>
      <c r="F585" s="276">
        <v>0.8</v>
      </c>
      <c r="G585" s="276">
        <v>1.5</v>
      </c>
      <c r="H585" s="197">
        <f>G585*F585*-1</f>
        <v>-1.2000000000000002</v>
      </c>
    </row>
    <row r="586" spans="2:8" s="71" customFormat="1" ht="20.100000000000001" customHeight="1" x14ac:dyDescent="0.25">
      <c r="B586" s="371"/>
      <c r="C586" s="372"/>
      <c r="D586" s="70" t="s">
        <v>65</v>
      </c>
      <c r="E586" s="277" t="s">
        <v>14</v>
      </c>
      <c r="F586" s="276">
        <v>2</v>
      </c>
      <c r="G586" s="276">
        <v>0.6</v>
      </c>
      <c r="H586" s="197">
        <f>-2*G586*F586</f>
        <v>-2.4</v>
      </c>
    </row>
    <row r="587" spans="2:8" s="71" customFormat="1" ht="20.100000000000001" customHeight="1" x14ac:dyDescent="0.25">
      <c r="B587" s="371"/>
      <c r="C587" s="372"/>
      <c r="D587" s="70" t="s">
        <v>81</v>
      </c>
      <c r="E587" s="277" t="s">
        <v>14</v>
      </c>
      <c r="F587" s="276">
        <f>6.06+6.06+6.33</f>
        <v>18.45</v>
      </c>
      <c r="G587" s="276">
        <v>1.5</v>
      </c>
      <c r="H587" s="197">
        <f>G587*F587</f>
        <v>27.674999999999997</v>
      </c>
    </row>
    <row r="588" spans="2:8" s="71" customFormat="1" ht="20.100000000000001" customHeight="1" x14ac:dyDescent="0.25">
      <c r="B588" s="371"/>
      <c r="C588" s="372"/>
      <c r="D588" s="70" t="s">
        <v>51</v>
      </c>
      <c r="E588" s="277" t="s">
        <v>14</v>
      </c>
      <c r="F588" s="276">
        <v>0.8</v>
      </c>
      <c r="G588" s="276">
        <v>1.5</v>
      </c>
      <c r="H588" s="197">
        <f>G588*F588*-1</f>
        <v>-1.2000000000000002</v>
      </c>
    </row>
    <row r="589" spans="2:8" s="71" customFormat="1" ht="20.100000000000001" customHeight="1" x14ac:dyDescent="0.25">
      <c r="B589" s="371"/>
      <c r="C589" s="372"/>
      <c r="D589" s="70" t="s">
        <v>65</v>
      </c>
      <c r="E589" s="277" t="s">
        <v>14</v>
      </c>
      <c r="F589" s="276">
        <v>2</v>
      </c>
      <c r="G589" s="276">
        <v>0.6</v>
      </c>
      <c r="H589" s="197">
        <f>-2*G589*F589</f>
        <v>-2.4</v>
      </c>
    </row>
    <row r="590" spans="2:8" s="71" customFormat="1" ht="20.100000000000001" customHeight="1" x14ac:dyDescent="0.25">
      <c r="B590" s="373"/>
      <c r="C590" s="374"/>
      <c r="D590" s="70" t="s">
        <v>390</v>
      </c>
      <c r="E590" s="277" t="s">
        <v>14</v>
      </c>
      <c r="F590" s="303">
        <v>4.66</v>
      </c>
      <c r="G590" s="303">
        <v>1.5</v>
      </c>
      <c r="H590" s="197">
        <f>G590*F590</f>
        <v>6.99</v>
      </c>
    </row>
    <row r="591" spans="2:8" s="71" customFormat="1" ht="20.100000000000001" customHeight="1" x14ac:dyDescent="0.25">
      <c r="B591" s="198" t="s">
        <v>396</v>
      </c>
      <c r="C591" s="108">
        <v>121001</v>
      </c>
      <c r="D591" s="75" t="s">
        <v>397</v>
      </c>
      <c r="E591" s="107" t="s">
        <v>14</v>
      </c>
      <c r="F591" s="411" t="s">
        <v>156</v>
      </c>
      <c r="G591" s="412"/>
      <c r="H591" s="219">
        <f>SUM(H592:H593)</f>
        <v>5.52</v>
      </c>
    </row>
    <row r="592" spans="2:8" s="71" customFormat="1" ht="20.100000000000001" customHeight="1" x14ac:dyDescent="0.25">
      <c r="B592" s="200"/>
      <c r="D592" s="70" t="s">
        <v>398</v>
      </c>
      <c r="E592" s="277" t="s">
        <v>14</v>
      </c>
      <c r="F592" s="404">
        <f>2.3*1.2</f>
        <v>2.76</v>
      </c>
      <c r="G592" s="405"/>
      <c r="H592" s="220">
        <f>F592</f>
        <v>2.76</v>
      </c>
    </row>
    <row r="593" spans="2:8" s="71" customFormat="1" ht="20.100000000000001" customHeight="1" x14ac:dyDescent="0.25">
      <c r="B593" s="200"/>
      <c r="D593" s="70" t="s">
        <v>399</v>
      </c>
      <c r="E593" s="277" t="s">
        <v>14</v>
      </c>
      <c r="F593" s="404">
        <f>2.3*1.2</f>
        <v>2.76</v>
      </c>
      <c r="G593" s="405"/>
      <c r="H593" s="220">
        <f>F593</f>
        <v>2.76</v>
      </c>
    </row>
    <row r="594" spans="2:8" s="71" customFormat="1" ht="20.100000000000001" customHeight="1" x14ac:dyDescent="0.25">
      <c r="B594" s="198" t="s">
        <v>400</v>
      </c>
      <c r="C594" s="108">
        <v>120208</v>
      </c>
      <c r="D594" s="78" t="s">
        <v>401</v>
      </c>
      <c r="E594" s="107" t="s">
        <v>14</v>
      </c>
      <c r="F594" s="304" t="s">
        <v>15</v>
      </c>
      <c r="G594" s="304" t="s">
        <v>100</v>
      </c>
      <c r="H594" s="199">
        <f>SUM(H595:H607)</f>
        <v>210.51510000000002</v>
      </c>
    </row>
    <row r="595" spans="2:8" s="71" customFormat="1" ht="20.100000000000001" customHeight="1" x14ac:dyDescent="0.25">
      <c r="B595" s="369"/>
      <c r="C595" s="370"/>
      <c r="D595" s="70" t="s">
        <v>402</v>
      </c>
      <c r="E595" s="277" t="s">
        <v>14</v>
      </c>
      <c r="F595" s="276">
        <v>10.5</v>
      </c>
      <c r="G595" s="276">
        <v>3.1</v>
      </c>
      <c r="H595" s="197">
        <f>G595*F595</f>
        <v>32.550000000000004</v>
      </c>
    </row>
    <row r="596" spans="2:8" s="71" customFormat="1" ht="20.100000000000001" customHeight="1" x14ac:dyDescent="0.25">
      <c r="B596" s="371"/>
      <c r="C596" s="372"/>
      <c r="D596" s="70" t="s">
        <v>403</v>
      </c>
      <c r="E596" s="277" t="s">
        <v>14</v>
      </c>
      <c r="F596" s="276">
        <v>4.5</v>
      </c>
      <c r="G596" s="276">
        <v>7</v>
      </c>
      <c r="H596" s="197">
        <f>G596*F596</f>
        <v>31.5</v>
      </c>
    </row>
    <row r="597" spans="2:8" s="71" customFormat="1" ht="20.100000000000001" customHeight="1" x14ac:dyDescent="0.25">
      <c r="B597" s="371"/>
      <c r="C597" s="372"/>
      <c r="D597" s="70" t="s">
        <v>404</v>
      </c>
      <c r="E597" s="277" t="s">
        <v>14</v>
      </c>
      <c r="F597" s="276">
        <v>4.37</v>
      </c>
      <c r="G597" s="276">
        <v>3.66</v>
      </c>
      <c r="H597" s="197">
        <f t="shared" ref="H597:H604" si="17">G597*F597</f>
        <v>15.994200000000001</v>
      </c>
    </row>
    <row r="598" spans="2:8" s="71" customFormat="1" ht="20.100000000000001" customHeight="1" x14ac:dyDescent="0.25">
      <c r="B598" s="371"/>
      <c r="C598" s="372"/>
      <c r="D598" s="70" t="s">
        <v>405</v>
      </c>
      <c r="E598" s="277" t="s">
        <v>14</v>
      </c>
      <c r="F598" s="276">
        <v>2.98</v>
      </c>
      <c r="G598" s="276">
        <v>6.2</v>
      </c>
      <c r="H598" s="197">
        <f t="shared" si="17"/>
        <v>18.475999999999999</v>
      </c>
    </row>
    <row r="599" spans="2:8" s="71" customFormat="1" ht="20.100000000000001" customHeight="1" x14ac:dyDescent="0.25">
      <c r="B599" s="371"/>
      <c r="C599" s="372"/>
      <c r="D599" s="70" t="s">
        <v>406</v>
      </c>
      <c r="E599" s="277" t="s">
        <v>14</v>
      </c>
      <c r="F599" s="276">
        <v>4.41</v>
      </c>
      <c r="G599" s="276">
        <v>4.2699999999999996</v>
      </c>
      <c r="H599" s="197">
        <f t="shared" si="17"/>
        <v>18.8307</v>
      </c>
    </row>
    <row r="600" spans="2:8" s="71" customFormat="1" ht="20.100000000000001" customHeight="1" x14ac:dyDescent="0.25">
      <c r="B600" s="371"/>
      <c r="C600" s="372"/>
      <c r="D600" s="70" t="s">
        <v>407</v>
      </c>
      <c r="E600" s="277" t="s">
        <v>14</v>
      </c>
      <c r="F600" s="276">
        <v>1.45</v>
      </c>
      <c r="G600" s="276">
        <v>2</v>
      </c>
      <c r="H600" s="197">
        <f t="shared" si="17"/>
        <v>2.9</v>
      </c>
    </row>
    <row r="601" spans="2:8" s="71" customFormat="1" ht="20.100000000000001" customHeight="1" x14ac:dyDescent="0.25">
      <c r="B601" s="371"/>
      <c r="C601" s="372"/>
      <c r="D601" s="70" t="s">
        <v>408</v>
      </c>
      <c r="E601" s="277" t="s">
        <v>14</v>
      </c>
      <c r="F601" s="276">
        <v>1.45</v>
      </c>
      <c r="G601" s="276">
        <v>2</v>
      </c>
      <c r="H601" s="197">
        <f t="shared" si="17"/>
        <v>2.9</v>
      </c>
    </row>
    <row r="602" spans="2:8" s="71" customFormat="1" ht="20.100000000000001" customHeight="1" x14ac:dyDescent="0.25">
      <c r="B602" s="371"/>
      <c r="C602" s="372"/>
      <c r="D602" s="70" t="s">
        <v>409</v>
      </c>
      <c r="E602" s="277" t="s">
        <v>14</v>
      </c>
      <c r="F602" s="276">
        <v>5.54</v>
      </c>
      <c r="G602" s="276">
        <v>4</v>
      </c>
      <c r="H602" s="197">
        <f t="shared" si="17"/>
        <v>22.16</v>
      </c>
    </row>
    <row r="603" spans="2:8" s="71" customFormat="1" ht="20.100000000000001" customHeight="1" x14ac:dyDescent="0.25">
      <c r="B603" s="371"/>
      <c r="C603" s="372"/>
      <c r="D603" s="70" t="s">
        <v>410</v>
      </c>
      <c r="E603" s="277" t="s">
        <v>14</v>
      </c>
      <c r="F603" s="276">
        <v>1.8</v>
      </c>
      <c r="G603" s="276">
        <v>2.5</v>
      </c>
      <c r="H603" s="197">
        <f t="shared" si="17"/>
        <v>4.5</v>
      </c>
    </row>
    <row r="604" spans="2:8" s="71" customFormat="1" ht="20.100000000000001" customHeight="1" x14ac:dyDescent="0.25">
      <c r="B604" s="371"/>
      <c r="C604" s="372"/>
      <c r="D604" s="70" t="s">
        <v>411</v>
      </c>
      <c r="E604" s="277" t="s">
        <v>14</v>
      </c>
      <c r="F604" s="276">
        <v>2.29</v>
      </c>
      <c r="G604" s="276">
        <v>2.5</v>
      </c>
      <c r="H604" s="197">
        <f t="shared" si="17"/>
        <v>5.7249999999999996</v>
      </c>
    </row>
    <row r="605" spans="2:8" s="71" customFormat="1" ht="20.100000000000001" customHeight="1" x14ac:dyDescent="0.25">
      <c r="B605" s="371"/>
      <c r="C605" s="372"/>
      <c r="D605" s="70" t="s">
        <v>412</v>
      </c>
      <c r="E605" s="277" t="s">
        <v>14</v>
      </c>
      <c r="F605" s="276">
        <v>6.55</v>
      </c>
      <c r="G605" s="276">
        <v>4</v>
      </c>
      <c r="H605" s="197">
        <f>G605*F605+(1.5*1)</f>
        <v>27.7</v>
      </c>
    </row>
    <row r="606" spans="2:8" s="71" customFormat="1" ht="20.100000000000001" customHeight="1" x14ac:dyDescent="0.25">
      <c r="B606" s="371"/>
      <c r="C606" s="372"/>
      <c r="D606" s="70" t="s">
        <v>413</v>
      </c>
      <c r="E606" s="277" t="s">
        <v>14</v>
      </c>
      <c r="F606" s="276">
        <v>5.4</v>
      </c>
      <c r="G606" s="276">
        <v>4</v>
      </c>
      <c r="H606" s="197">
        <f t="shared" ref="H606:H607" si="18">G606*F606</f>
        <v>21.6</v>
      </c>
    </row>
    <row r="607" spans="2:8" s="71" customFormat="1" ht="20.100000000000001" customHeight="1" x14ac:dyDescent="0.25">
      <c r="B607" s="373"/>
      <c r="C607" s="374"/>
      <c r="D607" s="70" t="s">
        <v>414</v>
      </c>
      <c r="E607" s="277" t="s">
        <v>14</v>
      </c>
      <c r="F607" s="276">
        <v>2.29</v>
      </c>
      <c r="G607" s="276">
        <v>2.48</v>
      </c>
      <c r="H607" s="197">
        <f t="shared" si="18"/>
        <v>5.6791999999999998</v>
      </c>
    </row>
    <row r="608" spans="2:8" s="71" customFormat="1" ht="20.100000000000001" customHeight="1" x14ac:dyDescent="0.25">
      <c r="B608" s="302"/>
      <c r="C608" s="294"/>
      <c r="D608" s="70"/>
      <c r="E608" s="277"/>
      <c r="F608" s="276"/>
      <c r="G608" s="276"/>
      <c r="H608" s="197"/>
    </row>
    <row r="609" spans="2:8" s="71" customFormat="1" ht="20.100000000000001" customHeight="1" x14ac:dyDescent="0.25">
      <c r="B609" s="379" t="s">
        <v>415</v>
      </c>
      <c r="C609" s="380"/>
      <c r="D609" s="381"/>
      <c r="E609" s="381"/>
      <c r="F609" s="381"/>
      <c r="G609" s="381"/>
      <c r="H609" s="382"/>
    </row>
    <row r="610" spans="2:8" s="71" customFormat="1" ht="20.100000000000001" customHeight="1" x14ac:dyDescent="0.25">
      <c r="B610" s="319">
        <v>11</v>
      </c>
      <c r="C610" s="115">
        <v>140000</v>
      </c>
      <c r="D610" s="390" t="s">
        <v>416</v>
      </c>
      <c r="E610" s="391"/>
      <c r="F610" s="391"/>
      <c r="G610" s="392"/>
      <c r="H610" s="201" t="s">
        <v>11</v>
      </c>
    </row>
    <row r="611" spans="2:8" s="71" customFormat="1" ht="31.5" x14ac:dyDescent="0.25">
      <c r="B611" s="198" t="s">
        <v>417</v>
      </c>
      <c r="C611" s="108">
        <v>140200</v>
      </c>
      <c r="D611" s="78" t="s">
        <v>418</v>
      </c>
      <c r="E611" s="216" t="s">
        <v>14</v>
      </c>
      <c r="F611" s="304" t="s">
        <v>15</v>
      </c>
      <c r="G611" s="304" t="s">
        <v>100</v>
      </c>
      <c r="H611" s="199">
        <f>SUM(H612:H612)</f>
        <v>12</v>
      </c>
    </row>
    <row r="612" spans="2:8" s="71" customFormat="1" ht="20.100000000000001" customHeight="1" x14ac:dyDescent="0.25">
      <c r="B612" s="386"/>
      <c r="C612" s="387"/>
      <c r="D612" s="70" t="s">
        <v>230</v>
      </c>
      <c r="E612" s="277" t="s">
        <v>14</v>
      </c>
      <c r="F612" s="205">
        <v>6</v>
      </c>
      <c r="G612" s="303">
        <v>2</v>
      </c>
      <c r="H612" s="197">
        <f>G612*F612</f>
        <v>12</v>
      </c>
    </row>
    <row r="613" spans="2:8" s="71" customFormat="1" ht="20.100000000000001" customHeight="1" x14ac:dyDescent="0.25">
      <c r="B613" s="307"/>
      <c r="C613" s="308"/>
      <c r="D613" s="70"/>
      <c r="E613" s="277"/>
      <c r="F613" s="205"/>
      <c r="G613" s="303"/>
      <c r="H613" s="197"/>
    </row>
    <row r="614" spans="2:8" s="71" customFormat="1" ht="20.100000000000001" customHeight="1" x14ac:dyDescent="0.25">
      <c r="B614" s="379" t="s">
        <v>419</v>
      </c>
      <c r="C614" s="380"/>
      <c r="D614" s="381"/>
      <c r="E614" s="381"/>
      <c r="F614" s="381"/>
      <c r="G614" s="381"/>
      <c r="H614" s="382"/>
    </row>
    <row r="615" spans="2:8" s="71" customFormat="1" ht="20.100000000000001" customHeight="1" x14ac:dyDescent="0.25">
      <c r="B615" s="319">
        <v>12</v>
      </c>
      <c r="C615" s="115">
        <v>160000</v>
      </c>
      <c r="D615" s="390" t="s">
        <v>420</v>
      </c>
      <c r="E615" s="391"/>
      <c r="F615" s="391"/>
      <c r="G615" s="392"/>
      <c r="H615" s="201" t="s">
        <v>11</v>
      </c>
    </row>
    <row r="616" spans="2:8" s="71" customFormat="1" ht="20.100000000000001" customHeight="1" x14ac:dyDescent="0.25">
      <c r="B616" s="198" t="s">
        <v>421</v>
      </c>
      <c r="C616" s="108">
        <v>160501</v>
      </c>
      <c r="D616" s="78" t="s">
        <v>422</v>
      </c>
      <c r="E616" s="216" t="s">
        <v>14</v>
      </c>
      <c r="F616" s="304" t="s">
        <v>15</v>
      </c>
      <c r="G616" s="304" t="s">
        <v>100</v>
      </c>
      <c r="H616" s="199">
        <f>SUM(H617:H618)</f>
        <v>120.88379999999999</v>
      </c>
    </row>
    <row r="617" spans="2:8" s="71" customFormat="1" ht="20.100000000000001" customHeight="1" x14ac:dyDescent="0.25">
      <c r="B617" s="369"/>
      <c r="C617" s="370"/>
      <c r="D617" s="70" t="s">
        <v>230</v>
      </c>
      <c r="E617" s="277" t="s">
        <v>14</v>
      </c>
      <c r="F617" s="205">
        <v>6</v>
      </c>
      <c r="G617" s="303">
        <v>2</v>
      </c>
      <c r="H617" s="197">
        <f>G617*F617</f>
        <v>12</v>
      </c>
    </row>
    <row r="618" spans="2:8" s="71" customFormat="1" ht="20.100000000000001" customHeight="1" x14ac:dyDescent="0.25">
      <c r="B618" s="373"/>
      <c r="C618" s="374"/>
      <c r="D618" s="70" t="s">
        <v>199</v>
      </c>
      <c r="E618" s="277" t="s">
        <v>14</v>
      </c>
      <c r="F618" s="205">
        <v>21.69</v>
      </c>
      <c r="G618" s="303">
        <v>5.0199999999999996</v>
      </c>
      <c r="H618" s="197">
        <f>G618*F618</f>
        <v>108.88379999999999</v>
      </c>
    </row>
    <row r="619" spans="2:8" s="71" customFormat="1" ht="20.100000000000001" customHeight="1" x14ac:dyDescent="0.25">
      <c r="B619" s="198" t="s">
        <v>423</v>
      </c>
      <c r="C619" s="108">
        <v>160906</v>
      </c>
      <c r="D619" s="78" t="s">
        <v>424</v>
      </c>
      <c r="E619" s="216" t="s">
        <v>14</v>
      </c>
      <c r="F619" s="304" t="s">
        <v>15</v>
      </c>
      <c r="G619" s="304" t="s">
        <v>100</v>
      </c>
      <c r="H619" s="199">
        <f>SUM(H620:H621)</f>
        <v>59.1</v>
      </c>
    </row>
    <row r="620" spans="2:8" s="71" customFormat="1" ht="20.100000000000001" customHeight="1" x14ac:dyDescent="0.25">
      <c r="B620" s="361"/>
      <c r="C620" s="362"/>
      <c r="D620" s="206" t="s">
        <v>425</v>
      </c>
      <c r="E620" s="277" t="s">
        <v>14</v>
      </c>
      <c r="F620" s="205">
        <v>10.36</v>
      </c>
      <c r="G620" s="303">
        <v>1.5</v>
      </c>
      <c r="H620" s="197">
        <f>G620*F620</f>
        <v>15.54</v>
      </c>
    </row>
    <row r="621" spans="2:8" s="71" customFormat="1" ht="20.100000000000001" customHeight="1" x14ac:dyDescent="0.25">
      <c r="B621" s="361"/>
      <c r="C621" s="362"/>
      <c r="D621" s="214" t="s">
        <v>198</v>
      </c>
      <c r="E621" s="277" t="s">
        <v>14</v>
      </c>
      <c r="F621" s="205">
        <v>8.25</v>
      </c>
      <c r="G621" s="303">
        <v>5.28</v>
      </c>
      <c r="H621" s="197">
        <f>G621*F621</f>
        <v>43.56</v>
      </c>
    </row>
    <row r="622" spans="2:8" s="71" customFormat="1" ht="20.100000000000001" customHeight="1" x14ac:dyDescent="0.25">
      <c r="B622" s="307"/>
      <c r="C622" s="320"/>
      <c r="D622" s="206"/>
      <c r="E622" s="320"/>
      <c r="F622" s="346"/>
      <c r="G622" s="342"/>
      <c r="H622" s="213"/>
    </row>
    <row r="623" spans="2:8" s="71" customFormat="1" ht="20.100000000000001" customHeight="1" x14ac:dyDescent="0.25">
      <c r="B623" s="409" t="s">
        <v>426</v>
      </c>
      <c r="C623" s="391"/>
      <c r="D623" s="391"/>
      <c r="E623" s="391"/>
      <c r="F623" s="391"/>
      <c r="G623" s="391"/>
      <c r="H623" s="410"/>
    </row>
    <row r="624" spans="2:8" s="71" customFormat="1" ht="15.75" x14ac:dyDescent="0.25">
      <c r="B624" s="319">
        <v>13</v>
      </c>
      <c r="C624" s="115">
        <v>170000</v>
      </c>
      <c r="D624" s="390" t="s">
        <v>427</v>
      </c>
      <c r="E624" s="391"/>
      <c r="F624" s="391"/>
      <c r="G624" s="392"/>
      <c r="H624" s="201" t="s">
        <v>227</v>
      </c>
    </row>
    <row r="625" spans="2:10" s="71" customFormat="1" ht="20.100000000000001" customHeight="1" x14ac:dyDescent="0.25">
      <c r="B625" s="198" t="s">
        <v>428</v>
      </c>
      <c r="C625" s="108">
        <v>170103</v>
      </c>
      <c r="D625" s="78" t="s">
        <v>429</v>
      </c>
      <c r="E625" s="216" t="s">
        <v>277</v>
      </c>
      <c r="F625" s="416" t="s">
        <v>165</v>
      </c>
      <c r="G625" s="416"/>
      <c r="H625" s="199">
        <f>H626</f>
        <v>1</v>
      </c>
    </row>
    <row r="626" spans="2:10" s="71" customFormat="1" ht="20.100000000000001" customHeight="1" x14ac:dyDescent="0.25">
      <c r="B626" s="200"/>
      <c r="D626" s="70" t="s">
        <v>430</v>
      </c>
      <c r="E626" s="277" t="s">
        <v>164</v>
      </c>
      <c r="F626" s="395">
        <v>1</v>
      </c>
      <c r="G626" s="406"/>
      <c r="H626" s="197">
        <f>F626</f>
        <v>1</v>
      </c>
    </row>
    <row r="627" spans="2:10" s="71" customFormat="1" ht="20.100000000000001" customHeight="1" x14ac:dyDescent="0.25">
      <c r="B627" s="200"/>
      <c r="D627" s="70"/>
      <c r="E627" s="277"/>
      <c r="F627" s="295"/>
      <c r="G627" s="296"/>
      <c r="H627" s="197"/>
    </row>
    <row r="628" spans="2:10" s="71" customFormat="1" ht="20.100000000000001" customHeight="1" x14ac:dyDescent="0.25">
      <c r="B628" s="379" t="s">
        <v>431</v>
      </c>
      <c r="C628" s="380"/>
      <c r="D628" s="381"/>
      <c r="E628" s="381"/>
      <c r="F628" s="381"/>
      <c r="G628" s="381"/>
      <c r="H628" s="382"/>
    </row>
    <row r="629" spans="2:10" s="71" customFormat="1" ht="20.100000000000001" customHeight="1" x14ac:dyDescent="0.25">
      <c r="B629" s="319">
        <v>14</v>
      </c>
      <c r="C629" s="115">
        <v>180000</v>
      </c>
      <c r="D629" s="380" t="s">
        <v>432</v>
      </c>
      <c r="E629" s="380"/>
      <c r="F629" s="380"/>
      <c r="G629" s="380"/>
      <c r="H629" s="201" t="s">
        <v>227</v>
      </c>
    </row>
    <row r="630" spans="2:10" s="71" customFormat="1" ht="15.75" x14ac:dyDescent="0.25">
      <c r="B630" s="198" t="s">
        <v>433</v>
      </c>
      <c r="C630" s="107">
        <v>180309</v>
      </c>
      <c r="D630" s="78" t="s">
        <v>434</v>
      </c>
      <c r="E630" s="107" t="s">
        <v>14</v>
      </c>
      <c r="F630" s="304" t="s">
        <v>15</v>
      </c>
      <c r="G630" s="304" t="s">
        <v>16</v>
      </c>
      <c r="H630" s="199">
        <f>H631</f>
        <v>4.3</v>
      </c>
    </row>
    <row r="631" spans="2:10" s="71" customFormat="1" ht="20.100000000000001" customHeight="1" x14ac:dyDescent="0.25">
      <c r="B631" s="386"/>
      <c r="C631" s="387"/>
      <c r="D631" s="70" t="s">
        <v>435</v>
      </c>
      <c r="E631" s="277" t="s">
        <v>14</v>
      </c>
      <c r="F631" s="276">
        <v>2</v>
      </c>
      <c r="G631" s="276">
        <v>2.15</v>
      </c>
      <c r="H631" s="197">
        <f>G631*F631</f>
        <v>4.3</v>
      </c>
    </row>
    <row r="632" spans="2:10" s="71" customFormat="1" ht="15.75" x14ac:dyDescent="0.25">
      <c r="B632" s="198" t="s">
        <v>436</v>
      </c>
      <c r="C632" s="107" t="s">
        <v>437</v>
      </c>
      <c r="D632" s="78" t="s">
        <v>438</v>
      </c>
      <c r="E632" s="107" t="s">
        <v>164</v>
      </c>
      <c r="F632" s="411" t="s">
        <v>165</v>
      </c>
      <c r="G632" s="412"/>
      <c r="H632" s="199">
        <f>SUM(H633:H636)</f>
        <v>4</v>
      </c>
      <c r="I632" s="215"/>
      <c r="J632" s="215"/>
    </row>
    <row r="633" spans="2:10" s="71" customFormat="1" ht="20.100000000000001" customHeight="1" x14ac:dyDescent="0.25">
      <c r="B633" s="371"/>
      <c r="C633" s="372"/>
      <c r="D633" s="70" t="s">
        <v>439</v>
      </c>
      <c r="E633" s="277" t="s">
        <v>164</v>
      </c>
      <c r="F633" s="395">
        <v>1</v>
      </c>
      <c r="G633" s="406"/>
      <c r="H633" s="197">
        <f>F633</f>
        <v>1</v>
      </c>
    </row>
    <row r="634" spans="2:10" s="71" customFormat="1" ht="20.100000000000001" customHeight="1" x14ac:dyDescent="0.25">
      <c r="B634" s="371"/>
      <c r="C634" s="372"/>
      <c r="D634" s="70" t="s">
        <v>176</v>
      </c>
      <c r="E634" s="277" t="s">
        <v>164</v>
      </c>
      <c r="F634" s="395">
        <v>1</v>
      </c>
      <c r="G634" s="406"/>
      <c r="H634" s="197">
        <f>F634</f>
        <v>1</v>
      </c>
    </row>
    <row r="635" spans="2:10" s="71" customFormat="1" ht="20.100000000000001" customHeight="1" x14ac:dyDescent="0.25">
      <c r="B635" s="301"/>
      <c r="C635" s="292"/>
      <c r="D635" s="70" t="s">
        <v>117</v>
      </c>
      <c r="E635" s="277" t="s">
        <v>164</v>
      </c>
      <c r="F635" s="395">
        <v>1</v>
      </c>
      <c r="G635" s="406"/>
      <c r="H635" s="197">
        <f t="shared" ref="H635:H636" si="19">F635</f>
        <v>1</v>
      </c>
    </row>
    <row r="636" spans="2:10" s="71" customFormat="1" ht="20.100000000000001" customHeight="1" x14ac:dyDescent="0.25">
      <c r="B636" s="301"/>
      <c r="C636" s="292"/>
      <c r="D636" s="70" t="s">
        <v>169</v>
      </c>
      <c r="E636" s="277" t="s">
        <v>164</v>
      </c>
      <c r="F636" s="395">
        <v>1</v>
      </c>
      <c r="G636" s="406"/>
      <c r="H636" s="197">
        <f t="shared" si="19"/>
        <v>1</v>
      </c>
    </row>
    <row r="637" spans="2:10" s="71" customFormat="1" ht="15.75" x14ac:dyDescent="0.25">
      <c r="B637" s="198" t="s">
        <v>440</v>
      </c>
      <c r="C637" s="107">
        <v>180501</v>
      </c>
      <c r="D637" s="78" t="s">
        <v>441</v>
      </c>
      <c r="E637" s="107" t="s">
        <v>14</v>
      </c>
      <c r="F637" s="304" t="s">
        <v>15</v>
      </c>
      <c r="G637" s="304" t="s">
        <v>16</v>
      </c>
      <c r="H637" s="199">
        <f>SUM(H638:H642)</f>
        <v>7.77</v>
      </c>
      <c r="I637" s="215"/>
      <c r="J637" s="215"/>
    </row>
    <row r="638" spans="2:10" s="71" customFormat="1" ht="20.100000000000001" customHeight="1" x14ac:dyDescent="0.25">
      <c r="B638" s="369"/>
      <c r="C638" s="370"/>
      <c r="D638" s="214" t="s">
        <v>442</v>
      </c>
      <c r="E638" s="309" t="s">
        <v>14</v>
      </c>
      <c r="F638" s="276">
        <v>0.7</v>
      </c>
      <c r="G638" s="276">
        <v>2.1</v>
      </c>
      <c r="H638" s="197">
        <f>G638*F638</f>
        <v>1.47</v>
      </c>
    </row>
    <row r="639" spans="2:10" s="71" customFormat="1" ht="20.100000000000001" customHeight="1" x14ac:dyDescent="0.25">
      <c r="B639" s="371"/>
      <c r="C639" s="372"/>
      <c r="D639" s="214" t="s">
        <v>443</v>
      </c>
      <c r="E639" s="309" t="s">
        <v>14</v>
      </c>
      <c r="F639" s="276">
        <v>0.7</v>
      </c>
      <c r="G639" s="276">
        <v>2.1</v>
      </c>
      <c r="H639" s="197">
        <f>G639*F639</f>
        <v>1.47</v>
      </c>
    </row>
    <row r="640" spans="2:10" s="71" customFormat="1" ht="20.100000000000001" customHeight="1" x14ac:dyDescent="0.25">
      <c r="B640" s="371"/>
      <c r="C640" s="372"/>
      <c r="D640" s="206" t="s">
        <v>151</v>
      </c>
      <c r="E640" s="309" t="s">
        <v>14</v>
      </c>
      <c r="F640" s="276">
        <v>0.7</v>
      </c>
      <c r="G640" s="276">
        <v>2.1</v>
      </c>
      <c r="H640" s="197">
        <f t="shared" ref="H640:H642" si="20">G640*F640</f>
        <v>1.47</v>
      </c>
    </row>
    <row r="641" spans="2:10" s="71" customFormat="1" ht="20.100000000000001" customHeight="1" x14ac:dyDescent="0.25">
      <c r="B641" s="371"/>
      <c r="C641" s="372"/>
      <c r="D641" s="206" t="s">
        <v>152</v>
      </c>
      <c r="E641" s="309" t="s">
        <v>14</v>
      </c>
      <c r="F641" s="276">
        <v>0.7</v>
      </c>
      <c r="G641" s="276">
        <v>2.1</v>
      </c>
      <c r="H641" s="197">
        <f t="shared" si="20"/>
        <v>1.47</v>
      </c>
    </row>
    <row r="642" spans="2:10" s="71" customFormat="1" ht="20.100000000000001" customHeight="1" x14ac:dyDescent="0.25">
      <c r="B642" s="373"/>
      <c r="C642" s="374"/>
      <c r="D642" s="206" t="s">
        <v>444</v>
      </c>
      <c r="E642" s="309" t="s">
        <v>14</v>
      </c>
      <c r="F642" s="276">
        <v>0.9</v>
      </c>
      <c r="G642" s="276">
        <v>2.1</v>
      </c>
      <c r="H642" s="197">
        <f t="shared" si="20"/>
        <v>1.8900000000000001</v>
      </c>
    </row>
    <row r="643" spans="2:10" s="71" customFormat="1" ht="31.5" x14ac:dyDescent="0.25">
      <c r="B643" s="198" t="s">
        <v>445</v>
      </c>
      <c r="C643" s="107">
        <v>180112</v>
      </c>
      <c r="D643" s="78" t="s">
        <v>446</v>
      </c>
      <c r="E643" s="107" t="s">
        <v>14</v>
      </c>
      <c r="F643" s="304" t="s">
        <v>15</v>
      </c>
      <c r="G643" s="304" t="s">
        <v>16</v>
      </c>
      <c r="H643" s="199">
        <f>SUM(H644:H645)</f>
        <v>10</v>
      </c>
      <c r="I643" s="215"/>
      <c r="J643" s="215"/>
    </row>
    <row r="644" spans="2:10" s="71" customFormat="1" ht="20.100000000000001" customHeight="1" x14ac:dyDescent="0.25">
      <c r="B644" s="369"/>
      <c r="C644" s="370"/>
      <c r="D644" s="70" t="s">
        <v>447</v>
      </c>
      <c r="E644" s="277" t="s">
        <v>14</v>
      </c>
      <c r="F644" s="276">
        <v>2</v>
      </c>
      <c r="G644" s="276">
        <v>1</v>
      </c>
      <c r="H644" s="197">
        <f>G644*F644*3</f>
        <v>6</v>
      </c>
    </row>
    <row r="645" spans="2:10" s="71" customFormat="1" ht="20.100000000000001" customHeight="1" x14ac:dyDescent="0.25">
      <c r="B645" s="373"/>
      <c r="C645" s="374"/>
      <c r="D645" s="70" t="s">
        <v>448</v>
      </c>
      <c r="E645" s="277" t="s">
        <v>14</v>
      </c>
      <c r="F645" s="276">
        <v>2</v>
      </c>
      <c r="G645" s="276">
        <v>1</v>
      </c>
      <c r="H645" s="197">
        <f>G645*F645*2</f>
        <v>4</v>
      </c>
    </row>
    <row r="646" spans="2:10" s="71" customFormat="1" ht="15" customHeight="1" x14ac:dyDescent="0.25">
      <c r="B646" s="198" t="s">
        <v>449</v>
      </c>
      <c r="C646" s="107">
        <v>180304</v>
      </c>
      <c r="D646" s="78" t="s">
        <v>450</v>
      </c>
      <c r="E646" s="107" t="s">
        <v>14</v>
      </c>
      <c r="F646" s="304" t="s">
        <v>15</v>
      </c>
      <c r="G646" s="304" t="s">
        <v>16</v>
      </c>
      <c r="H646" s="199">
        <f>H647</f>
        <v>0.12</v>
      </c>
      <c r="I646" s="215"/>
      <c r="J646" s="215"/>
    </row>
    <row r="647" spans="2:10" s="71" customFormat="1" ht="20.100000000000001" customHeight="1" x14ac:dyDescent="0.25">
      <c r="B647" s="361"/>
      <c r="C647" s="362"/>
      <c r="D647" s="206" t="s">
        <v>451</v>
      </c>
      <c r="E647" s="277" t="s">
        <v>14</v>
      </c>
      <c r="F647" s="276">
        <v>0.3</v>
      </c>
      <c r="G647" s="276">
        <v>0.4</v>
      </c>
      <c r="H647" s="213">
        <f>G647*F647</f>
        <v>0.12</v>
      </c>
    </row>
    <row r="648" spans="2:10" s="71" customFormat="1" ht="20.100000000000001" customHeight="1" x14ac:dyDescent="0.25">
      <c r="B648" s="307"/>
      <c r="C648" s="320"/>
      <c r="D648" s="206"/>
      <c r="E648" s="320"/>
      <c r="F648" s="314"/>
      <c r="G648" s="314"/>
      <c r="H648" s="213"/>
    </row>
    <row r="649" spans="2:10" s="102" customFormat="1" ht="20.100000000000001" customHeight="1" x14ac:dyDescent="0.25">
      <c r="B649" s="409" t="s">
        <v>452</v>
      </c>
      <c r="C649" s="391"/>
      <c r="D649" s="391"/>
      <c r="E649" s="391"/>
      <c r="F649" s="391"/>
      <c r="G649" s="391"/>
      <c r="H649" s="410"/>
    </row>
    <row r="650" spans="2:10" s="102" customFormat="1" ht="20.100000000000001" customHeight="1" x14ac:dyDescent="0.25">
      <c r="B650" s="319">
        <v>15</v>
      </c>
      <c r="C650" s="115">
        <v>200000</v>
      </c>
      <c r="D650" s="390" t="s">
        <v>453</v>
      </c>
      <c r="E650" s="391"/>
      <c r="F650" s="391"/>
      <c r="G650" s="392"/>
      <c r="H650" s="201" t="s">
        <v>227</v>
      </c>
    </row>
    <row r="651" spans="2:10" s="102" customFormat="1" ht="20.100000000000001" customHeight="1" x14ac:dyDescent="0.25">
      <c r="B651" s="198" t="s">
        <v>454</v>
      </c>
      <c r="C651" s="108">
        <v>200403</v>
      </c>
      <c r="D651" s="75" t="s">
        <v>455</v>
      </c>
      <c r="E651" s="107" t="s">
        <v>14</v>
      </c>
      <c r="F651" s="304" t="s">
        <v>15</v>
      </c>
      <c r="G651" s="304" t="s">
        <v>16</v>
      </c>
      <c r="H651" s="199">
        <f>SUM(H652:H759)</f>
        <v>824.60739999999998</v>
      </c>
    </row>
    <row r="652" spans="2:10" s="102" customFormat="1" ht="20.100000000000001" customHeight="1" x14ac:dyDescent="0.25">
      <c r="B652" s="363"/>
      <c r="C652" s="364"/>
      <c r="D652" s="70" t="s">
        <v>17</v>
      </c>
      <c r="E652" s="277" t="s">
        <v>14</v>
      </c>
      <c r="F652" s="276">
        <f>10.93+10.93+4.68+4.68</f>
        <v>31.22</v>
      </c>
      <c r="G652" s="276">
        <v>1.5</v>
      </c>
      <c r="H652" s="197">
        <f>G652*F652</f>
        <v>46.83</v>
      </c>
    </row>
    <row r="653" spans="2:10" s="102" customFormat="1" ht="20.100000000000001" customHeight="1" x14ac:dyDescent="0.25">
      <c r="B653" s="365"/>
      <c r="C653" s="366"/>
      <c r="D653" s="70" t="s">
        <v>18</v>
      </c>
      <c r="E653" s="277" t="s">
        <v>14</v>
      </c>
      <c r="F653" s="205">
        <v>2</v>
      </c>
      <c r="G653" s="303">
        <v>0.65</v>
      </c>
      <c r="H653" s="197">
        <f>-G653*F653*3</f>
        <v>-3.9000000000000004</v>
      </c>
    </row>
    <row r="654" spans="2:10" s="102" customFormat="1" ht="20.100000000000001" customHeight="1" x14ac:dyDescent="0.25">
      <c r="B654" s="365"/>
      <c r="C654" s="366"/>
      <c r="D654" s="70" t="s">
        <v>19</v>
      </c>
      <c r="E654" s="277" t="s">
        <v>14</v>
      </c>
      <c r="F654" s="205">
        <v>0.75</v>
      </c>
      <c r="G654" s="303">
        <v>1.5</v>
      </c>
      <c r="H654" s="197">
        <f>-G654*F654</f>
        <v>-1.125</v>
      </c>
    </row>
    <row r="655" spans="2:10" s="102" customFormat="1" ht="20.100000000000001" customHeight="1" x14ac:dyDescent="0.25">
      <c r="B655" s="365"/>
      <c r="C655" s="366"/>
      <c r="D655" s="70" t="s">
        <v>20</v>
      </c>
      <c r="E655" s="277" t="s">
        <v>14</v>
      </c>
      <c r="F655" s="205">
        <v>0.8</v>
      </c>
      <c r="G655" s="303">
        <v>1.5</v>
      </c>
      <c r="H655" s="197">
        <f>-G655*F655</f>
        <v>-1.2000000000000002</v>
      </c>
    </row>
    <row r="656" spans="2:10" s="102" customFormat="1" ht="20.100000000000001" customHeight="1" x14ac:dyDescent="0.25">
      <c r="B656" s="365"/>
      <c r="C656" s="366"/>
      <c r="D656" s="70" t="s">
        <v>21</v>
      </c>
      <c r="E656" s="277" t="s">
        <v>14</v>
      </c>
      <c r="F656" s="276">
        <v>46.67</v>
      </c>
      <c r="G656" s="276">
        <v>1.5</v>
      </c>
      <c r="H656" s="197">
        <f>G656*F656</f>
        <v>70.004999999999995</v>
      </c>
    </row>
    <row r="657" spans="2:8" s="102" customFormat="1" ht="20.100000000000001" customHeight="1" x14ac:dyDescent="0.25">
      <c r="B657" s="365"/>
      <c r="C657" s="366"/>
      <c r="D657" s="70" t="s">
        <v>22</v>
      </c>
      <c r="E657" s="277" t="s">
        <v>14</v>
      </c>
      <c r="F657" s="205">
        <v>2</v>
      </c>
      <c r="G657" s="276">
        <v>0.65</v>
      </c>
      <c r="H657" s="197">
        <f>-4*G657*F657</f>
        <v>-5.2</v>
      </c>
    </row>
    <row r="658" spans="2:8" s="102" customFormat="1" ht="20.100000000000001" customHeight="1" x14ac:dyDescent="0.25">
      <c r="B658" s="365"/>
      <c r="C658" s="366"/>
      <c r="D658" s="70" t="s">
        <v>23</v>
      </c>
      <c r="E658" s="277" t="s">
        <v>14</v>
      </c>
      <c r="F658" s="276">
        <v>0.8</v>
      </c>
      <c r="G658" s="276">
        <v>1.5</v>
      </c>
      <c r="H658" s="197">
        <f>-G658*F658</f>
        <v>-1.2000000000000002</v>
      </c>
    </row>
    <row r="659" spans="2:8" s="102" customFormat="1" ht="20.100000000000001" customHeight="1" x14ac:dyDescent="0.25">
      <c r="B659" s="365"/>
      <c r="C659" s="366"/>
      <c r="D659" s="70" t="s">
        <v>24</v>
      </c>
      <c r="E659" s="277" t="s">
        <v>14</v>
      </c>
      <c r="F659" s="276">
        <v>1.4</v>
      </c>
      <c r="G659" s="276">
        <v>1.5</v>
      </c>
      <c r="H659" s="197">
        <f>G659*F659</f>
        <v>2.0999999999999996</v>
      </c>
    </row>
    <row r="660" spans="2:8" s="102" customFormat="1" ht="20.100000000000001" customHeight="1" x14ac:dyDescent="0.25">
      <c r="B660" s="365"/>
      <c r="C660" s="366"/>
      <c r="D660" s="70" t="s">
        <v>25</v>
      </c>
      <c r="E660" s="277" t="s">
        <v>14</v>
      </c>
      <c r="F660" s="276">
        <v>0.7</v>
      </c>
      <c r="G660" s="276">
        <v>1.5</v>
      </c>
      <c r="H660" s="197">
        <f>-G660*F660</f>
        <v>-1.0499999999999998</v>
      </c>
    </row>
    <row r="661" spans="2:8" s="102" customFormat="1" ht="20.100000000000001" customHeight="1" x14ac:dyDescent="0.25">
      <c r="B661" s="365"/>
      <c r="C661" s="366"/>
      <c r="D661" s="70" t="s">
        <v>26</v>
      </c>
      <c r="E661" s="277" t="s">
        <v>14</v>
      </c>
      <c r="F661" s="276">
        <v>15.23</v>
      </c>
      <c r="G661" s="276">
        <v>1.5</v>
      </c>
      <c r="H661" s="197">
        <f>G661*F661</f>
        <v>22.844999999999999</v>
      </c>
    </row>
    <row r="662" spans="2:8" s="102" customFormat="1" ht="20.100000000000001" customHeight="1" x14ac:dyDescent="0.25">
      <c r="B662" s="365"/>
      <c r="C662" s="366"/>
      <c r="D662" s="70" t="s">
        <v>20</v>
      </c>
      <c r="E662" s="277" t="s">
        <v>14</v>
      </c>
      <c r="F662" s="276">
        <v>0.8</v>
      </c>
      <c r="G662" s="276">
        <v>1.5</v>
      </c>
      <c r="H662" s="197">
        <f>-G662*F662</f>
        <v>-1.2000000000000002</v>
      </c>
    </row>
    <row r="663" spans="2:8" s="102" customFormat="1" ht="20.100000000000001" customHeight="1" x14ac:dyDescent="0.25">
      <c r="B663" s="365"/>
      <c r="C663" s="366"/>
      <c r="D663" s="70" t="s">
        <v>27</v>
      </c>
      <c r="E663" s="277" t="s">
        <v>14</v>
      </c>
      <c r="F663" s="276">
        <v>2</v>
      </c>
      <c r="G663" s="276">
        <v>0.65</v>
      </c>
      <c r="H663" s="197">
        <f>-G663*F663</f>
        <v>-1.3</v>
      </c>
    </row>
    <row r="664" spans="2:8" s="102" customFormat="1" ht="20.100000000000001" customHeight="1" x14ac:dyDescent="0.25">
      <c r="B664" s="365"/>
      <c r="C664" s="366"/>
      <c r="D664" s="70" t="s">
        <v>28</v>
      </c>
      <c r="E664" s="277" t="s">
        <v>14</v>
      </c>
      <c r="F664" s="276">
        <v>20.350000000000001</v>
      </c>
      <c r="G664" s="276">
        <v>1.5</v>
      </c>
      <c r="H664" s="197">
        <f>G664*F664</f>
        <v>30.525000000000002</v>
      </c>
    </row>
    <row r="665" spans="2:8" s="102" customFormat="1" ht="20.100000000000001" customHeight="1" x14ac:dyDescent="0.25">
      <c r="B665" s="365"/>
      <c r="C665" s="366"/>
      <c r="D665" s="70" t="s">
        <v>29</v>
      </c>
      <c r="E665" s="277" t="s">
        <v>14</v>
      </c>
      <c r="F665" s="276">
        <v>1.5</v>
      </c>
      <c r="G665" s="276">
        <v>1.5</v>
      </c>
      <c r="H665" s="197">
        <f>-G665*F665</f>
        <v>-2.25</v>
      </c>
    </row>
    <row r="666" spans="2:8" s="102" customFormat="1" ht="20.100000000000001" customHeight="1" x14ac:dyDescent="0.25">
      <c r="B666" s="365"/>
      <c r="C666" s="366"/>
      <c r="D666" s="70" t="s">
        <v>30</v>
      </c>
      <c r="E666" s="277" t="s">
        <v>14</v>
      </c>
      <c r="F666" s="276">
        <v>0.8</v>
      </c>
      <c r="G666" s="276">
        <v>1.5</v>
      </c>
      <c r="H666" s="197">
        <f>-G666*F666*3</f>
        <v>-3.6000000000000005</v>
      </c>
    </row>
    <row r="667" spans="2:8" s="102" customFormat="1" ht="20.100000000000001" customHeight="1" x14ac:dyDescent="0.25">
      <c r="B667" s="365"/>
      <c r="C667" s="366"/>
      <c r="D667" s="70" t="s">
        <v>31</v>
      </c>
      <c r="E667" s="277" t="s">
        <v>14</v>
      </c>
      <c r="F667" s="205">
        <v>1.5</v>
      </c>
      <c r="G667" s="205">
        <v>0.65</v>
      </c>
      <c r="H667" s="197">
        <f>-G667*F667</f>
        <v>-0.97500000000000009</v>
      </c>
    </row>
    <row r="668" spans="2:8" s="102" customFormat="1" ht="20.100000000000001" customHeight="1" x14ac:dyDescent="0.25">
      <c r="B668" s="365"/>
      <c r="C668" s="366"/>
      <c r="D668" s="70" t="s">
        <v>32</v>
      </c>
      <c r="E668" s="277" t="s">
        <v>14</v>
      </c>
      <c r="F668" s="205">
        <v>10.32</v>
      </c>
      <c r="G668" s="205">
        <v>1.5</v>
      </c>
      <c r="H668" s="197">
        <f>G668*F668</f>
        <v>15.48</v>
      </c>
    </row>
    <row r="669" spans="2:8" s="102" customFormat="1" ht="20.100000000000001" customHeight="1" x14ac:dyDescent="0.25">
      <c r="B669" s="365"/>
      <c r="C669" s="366"/>
      <c r="D669" s="70" t="s">
        <v>30</v>
      </c>
      <c r="E669" s="277" t="s">
        <v>14</v>
      </c>
      <c r="F669" s="276">
        <v>0.8</v>
      </c>
      <c r="G669" s="276">
        <v>1.5</v>
      </c>
      <c r="H669" s="197">
        <f>-G669*F669*3</f>
        <v>-3.6000000000000005</v>
      </c>
    </row>
    <row r="670" spans="2:8" s="102" customFormat="1" ht="20.100000000000001" customHeight="1" x14ac:dyDescent="0.25">
      <c r="B670" s="365"/>
      <c r="C670" s="366"/>
      <c r="D670" s="70" t="s">
        <v>31</v>
      </c>
      <c r="E670" s="277" t="s">
        <v>14</v>
      </c>
      <c r="F670" s="205">
        <v>1.5</v>
      </c>
      <c r="G670" s="205">
        <v>0.65</v>
      </c>
      <c r="H670" s="197">
        <f>G670*F670</f>
        <v>0.97500000000000009</v>
      </c>
    </row>
    <row r="671" spans="2:8" s="102" customFormat="1" ht="20.100000000000001" customHeight="1" x14ac:dyDescent="0.25">
      <c r="B671" s="365"/>
      <c r="C671" s="366"/>
      <c r="D671" s="70" t="s">
        <v>33</v>
      </c>
      <c r="E671" s="277" t="s">
        <v>14</v>
      </c>
      <c r="F671" s="205">
        <v>25.6</v>
      </c>
      <c r="G671" s="276">
        <v>1.5</v>
      </c>
      <c r="H671" s="197">
        <f>G671*F671</f>
        <v>38.400000000000006</v>
      </c>
    </row>
    <row r="672" spans="2:8" s="102" customFormat="1" ht="20.100000000000001" customHeight="1" x14ac:dyDescent="0.25">
      <c r="B672" s="365"/>
      <c r="C672" s="366"/>
      <c r="D672" s="70" t="s">
        <v>34</v>
      </c>
      <c r="E672" s="277" t="s">
        <v>14</v>
      </c>
      <c r="F672" s="205">
        <v>1.1000000000000001</v>
      </c>
      <c r="G672" s="303">
        <v>0.6</v>
      </c>
      <c r="H672" s="197">
        <f>G672*F672*-2</f>
        <v>-1.32</v>
      </c>
    </row>
    <row r="673" spans="2:8" s="102" customFormat="1" ht="20.100000000000001" customHeight="1" x14ac:dyDescent="0.25">
      <c r="B673" s="365"/>
      <c r="C673" s="366"/>
      <c r="D673" s="70" t="s">
        <v>23</v>
      </c>
      <c r="E673" s="277" t="s">
        <v>14</v>
      </c>
      <c r="F673" s="205">
        <v>0.8</v>
      </c>
      <c r="G673" s="303">
        <v>1.5</v>
      </c>
      <c r="H673" s="197">
        <f>G673*F673*-1</f>
        <v>-1.2000000000000002</v>
      </c>
    </row>
    <row r="674" spans="2:8" s="102" customFormat="1" ht="20.100000000000001" customHeight="1" x14ac:dyDescent="0.25">
      <c r="B674" s="365"/>
      <c r="C674" s="366"/>
      <c r="D674" s="70" t="s">
        <v>35</v>
      </c>
      <c r="E674" s="277" t="s">
        <v>14</v>
      </c>
      <c r="F674" s="205">
        <v>0.7</v>
      </c>
      <c r="G674" s="303">
        <v>1.5</v>
      </c>
      <c r="H674" s="197">
        <f>G674*F674*-1</f>
        <v>-1.0499999999999998</v>
      </c>
    </row>
    <row r="675" spans="2:8" s="102" customFormat="1" ht="20.100000000000001" customHeight="1" x14ac:dyDescent="0.25">
      <c r="B675" s="365"/>
      <c r="C675" s="366"/>
      <c r="D675" s="70" t="s">
        <v>36</v>
      </c>
      <c r="E675" s="277" t="s">
        <v>14</v>
      </c>
      <c r="F675" s="276">
        <v>20</v>
      </c>
      <c r="G675" s="276">
        <v>1.5</v>
      </c>
      <c r="H675" s="197">
        <f>G675*F675</f>
        <v>30</v>
      </c>
    </row>
    <row r="676" spans="2:8" s="102" customFormat="1" ht="20.100000000000001" customHeight="1" x14ac:dyDescent="0.25">
      <c r="B676" s="365"/>
      <c r="C676" s="366"/>
      <c r="D676" s="70" t="s">
        <v>34</v>
      </c>
      <c r="E676" s="277" t="s">
        <v>14</v>
      </c>
      <c r="F676" s="205">
        <v>1.1000000000000001</v>
      </c>
      <c r="G676" s="303">
        <v>0.6</v>
      </c>
      <c r="H676" s="197">
        <f>G676*F676*-2</f>
        <v>-1.32</v>
      </c>
    </row>
    <row r="677" spans="2:8" s="102" customFormat="1" ht="20.100000000000001" customHeight="1" x14ac:dyDescent="0.25">
      <c r="B677" s="365"/>
      <c r="C677" s="366"/>
      <c r="D677" s="70" t="s">
        <v>38</v>
      </c>
      <c r="E677" s="277" t="s">
        <v>14</v>
      </c>
      <c r="F677" s="276">
        <f>4.3+4.3+4.4+4.4</f>
        <v>17.399999999999999</v>
      </c>
      <c r="G677" s="276">
        <v>1.5</v>
      </c>
      <c r="H677" s="197">
        <f>G677*F677</f>
        <v>26.099999999999998</v>
      </c>
    </row>
    <row r="678" spans="2:8" s="102" customFormat="1" ht="20.100000000000001" customHeight="1" x14ac:dyDescent="0.25">
      <c r="B678" s="365"/>
      <c r="C678" s="366"/>
      <c r="D678" s="70" t="s">
        <v>39</v>
      </c>
      <c r="E678" s="277" t="s">
        <v>14</v>
      </c>
      <c r="F678" s="205">
        <v>0.8</v>
      </c>
      <c r="G678" s="276">
        <v>1.5</v>
      </c>
      <c r="H678" s="197">
        <f>G678*F678*-2</f>
        <v>-2.4000000000000004</v>
      </c>
    </row>
    <row r="679" spans="2:8" s="102" customFormat="1" ht="20.100000000000001" customHeight="1" x14ac:dyDescent="0.25">
      <c r="B679" s="365"/>
      <c r="C679" s="366"/>
      <c r="D679" s="70" t="s">
        <v>35</v>
      </c>
      <c r="E679" s="277" t="s">
        <v>14</v>
      </c>
      <c r="F679" s="205">
        <v>0.7</v>
      </c>
      <c r="G679" s="276">
        <v>1.5</v>
      </c>
      <c r="H679" s="197">
        <f>-G679*F679</f>
        <v>-1.0499999999999998</v>
      </c>
    </row>
    <row r="680" spans="2:8" s="102" customFormat="1" ht="20.100000000000001" customHeight="1" x14ac:dyDescent="0.25">
      <c r="B680" s="365"/>
      <c r="C680" s="366"/>
      <c r="D680" s="70" t="s">
        <v>31</v>
      </c>
      <c r="E680" s="277" t="s">
        <v>14</v>
      </c>
      <c r="F680" s="205">
        <v>1.5</v>
      </c>
      <c r="G680" s="303">
        <v>0.6</v>
      </c>
      <c r="H680" s="197">
        <f>F680*G680*-2</f>
        <v>-1.7999999999999998</v>
      </c>
    </row>
    <row r="681" spans="2:8" s="102" customFormat="1" ht="20.100000000000001" customHeight="1" x14ac:dyDescent="0.25">
      <c r="B681" s="365"/>
      <c r="C681" s="366"/>
      <c r="D681" s="70" t="s">
        <v>40</v>
      </c>
      <c r="E681" s="277" t="s">
        <v>14</v>
      </c>
      <c r="F681" s="205">
        <f>4.65+4.43</f>
        <v>9.08</v>
      </c>
      <c r="G681" s="276">
        <v>1.5</v>
      </c>
      <c r="H681" s="197">
        <f>G681*F681</f>
        <v>13.620000000000001</v>
      </c>
    </row>
    <row r="682" spans="2:8" s="102" customFormat="1" ht="20.100000000000001" customHeight="1" x14ac:dyDescent="0.25">
      <c r="B682" s="365"/>
      <c r="C682" s="366"/>
      <c r="D682" s="70" t="s">
        <v>23</v>
      </c>
      <c r="E682" s="277" t="s">
        <v>14</v>
      </c>
      <c r="F682" s="205">
        <v>0.8</v>
      </c>
      <c r="G682" s="276">
        <v>1.5</v>
      </c>
      <c r="H682" s="197">
        <f>-G682*F682</f>
        <v>-1.2000000000000002</v>
      </c>
    </row>
    <row r="683" spans="2:8" s="102" customFormat="1" ht="20.100000000000001" customHeight="1" x14ac:dyDescent="0.25">
      <c r="B683" s="365"/>
      <c r="C683" s="366"/>
      <c r="D683" s="70" t="s">
        <v>31</v>
      </c>
      <c r="E683" s="277" t="s">
        <v>14</v>
      </c>
      <c r="F683" s="276">
        <v>1.5</v>
      </c>
      <c r="G683" s="276">
        <v>0.6</v>
      </c>
      <c r="H683" s="197">
        <f>G683*F683*-2</f>
        <v>-1.7999999999999998</v>
      </c>
    </row>
    <row r="684" spans="2:8" s="102" customFormat="1" ht="20.100000000000001" customHeight="1" x14ac:dyDescent="0.25">
      <c r="B684" s="365"/>
      <c r="C684" s="366"/>
      <c r="D684" s="70" t="s">
        <v>41</v>
      </c>
      <c r="E684" s="277" t="s">
        <v>14</v>
      </c>
      <c r="F684" s="205">
        <f>5.51+4+5.51+4</f>
        <v>19.02</v>
      </c>
      <c r="G684" s="276">
        <v>1.5</v>
      </c>
      <c r="H684" s="197">
        <f>G684*F684</f>
        <v>28.53</v>
      </c>
    </row>
    <row r="685" spans="2:8" s="102" customFormat="1" ht="20.100000000000001" customHeight="1" x14ac:dyDescent="0.25">
      <c r="B685" s="365"/>
      <c r="C685" s="366"/>
      <c r="D685" s="70" t="s">
        <v>42</v>
      </c>
      <c r="E685" s="277" t="s">
        <v>14</v>
      </c>
      <c r="F685" s="205">
        <v>0.7</v>
      </c>
      <c r="G685" s="276">
        <v>1.5</v>
      </c>
      <c r="H685" s="197">
        <f>G685*F685*-1</f>
        <v>-1.0499999999999998</v>
      </c>
    </row>
    <row r="686" spans="2:8" s="102" customFormat="1" ht="20.100000000000001" customHeight="1" x14ac:dyDescent="0.25">
      <c r="B686" s="365"/>
      <c r="C686" s="366"/>
      <c r="D686" s="70" t="s">
        <v>43</v>
      </c>
      <c r="E686" s="277" t="s">
        <v>14</v>
      </c>
      <c r="F686" s="205">
        <v>0.8</v>
      </c>
      <c r="G686" s="276">
        <v>1.5</v>
      </c>
      <c r="H686" s="197">
        <f>G686*F686*-1</f>
        <v>-1.2000000000000002</v>
      </c>
    </row>
    <row r="687" spans="2:8" s="102" customFormat="1" ht="20.100000000000001" customHeight="1" x14ac:dyDescent="0.25">
      <c r="B687" s="365"/>
      <c r="C687" s="366"/>
      <c r="D687" s="70" t="s">
        <v>31</v>
      </c>
      <c r="E687" s="277" t="s">
        <v>14</v>
      </c>
      <c r="F687" s="205">
        <v>1.5</v>
      </c>
      <c r="G687" s="303">
        <v>0.6</v>
      </c>
      <c r="H687" s="197">
        <f>-2*G687*F687</f>
        <v>-1.7999999999999998</v>
      </c>
    </row>
    <row r="688" spans="2:8" s="102" customFormat="1" ht="20.100000000000001" customHeight="1" x14ac:dyDescent="0.25">
      <c r="B688" s="365"/>
      <c r="C688" s="366"/>
      <c r="D688" s="70" t="s">
        <v>44</v>
      </c>
      <c r="E688" s="277" t="s">
        <v>14</v>
      </c>
      <c r="F688" s="205">
        <v>11.65</v>
      </c>
      <c r="G688" s="276">
        <v>1.5</v>
      </c>
      <c r="H688" s="197">
        <f>G688*F688</f>
        <v>17.475000000000001</v>
      </c>
    </row>
    <row r="689" spans="2:8" s="102" customFormat="1" ht="20.100000000000001" customHeight="1" x14ac:dyDescent="0.25">
      <c r="B689" s="365"/>
      <c r="C689" s="366"/>
      <c r="D689" s="70" t="s">
        <v>45</v>
      </c>
      <c r="E689" s="277" t="s">
        <v>14</v>
      </c>
      <c r="F689" s="205">
        <v>0.8</v>
      </c>
      <c r="G689" s="276">
        <v>1.5</v>
      </c>
      <c r="H689" s="197">
        <f>-G689*F689</f>
        <v>-1.2000000000000002</v>
      </c>
    </row>
    <row r="690" spans="2:8" s="102" customFormat="1" ht="20.100000000000001" customHeight="1" x14ac:dyDescent="0.25">
      <c r="B690" s="365"/>
      <c r="C690" s="366"/>
      <c r="D690" s="70" t="s">
        <v>31</v>
      </c>
      <c r="E690" s="277" t="s">
        <v>14</v>
      </c>
      <c r="F690" s="276">
        <v>1.5</v>
      </c>
      <c r="G690" s="276">
        <v>0.6</v>
      </c>
      <c r="H690" s="197">
        <f>-2*G690*F690</f>
        <v>-1.7999999999999998</v>
      </c>
    </row>
    <row r="691" spans="2:8" s="102" customFormat="1" ht="20.100000000000001" customHeight="1" x14ac:dyDescent="0.25">
      <c r="B691" s="365"/>
      <c r="C691" s="366"/>
      <c r="D691" s="70" t="s">
        <v>46</v>
      </c>
      <c r="E691" s="277" t="s">
        <v>14</v>
      </c>
      <c r="F691" s="205">
        <f>2.66+6.26</f>
        <v>8.92</v>
      </c>
      <c r="G691" s="276">
        <v>1.5</v>
      </c>
      <c r="H691" s="197">
        <f>G691*F691</f>
        <v>13.379999999999999</v>
      </c>
    </row>
    <row r="692" spans="2:8" s="102" customFormat="1" ht="20.100000000000001" customHeight="1" x14ac:dyDescent="0.25">
      <c r="B692" s="365"/>
      <c r="C692" s="366"/>
      <c r="D692" s="70" t="s">
        <v>35</v>
      </c>
      <c r="E692" s="277" t="s">
        <v>14</v>
      </c>
      <c r="F692" s="205">
        <v>0.7</v>
      </c>
      <c r="G692" s="276">
        <v>1.5</v>
      </c>
      <c r="H692" s="197">
        <f>G692*F692*-1</f>
        <v>-1.0499999999999998</v>
      </c>
    </row>
    <row r="693" spans="2:8" s="102" customFormat="1" ht="20.100000000000001" customHeight="1" x14ac:dyDescent="0.25">
      <c r="B693" s="365"/>
      <c r="C693" s="366"/>
      <c r="D693" s="70" t="s">
        <v>48</v>
      </c>
      <c r="E693" s="277" t="s">
        <v>14</v>
      </c>
      <c r="F693" s="205">
        <v>26.54</v>
      </c>
      <c r="G693" s="276">
        <v>1.5</v>
      </c>
      <c r="H693" s="197">
        <f>G693*F693</f>
        <v>39.81</v>
      </c>
    </row>
    <row r="694" spans="2:8" s="102" customFormat="1" ht="20.100000000000001" customHeight="1" x14ac:dyDescent="0.25">
      <c r="B694" s="365"/>
      <c r="C694" s="366"/>
      <c r="D694" s="70" t="s">
        <v>30</v>
      </c>
      <c r="E694" s="277" t="s">
        <v>14</v>
      </c>
      <c r="F694" s="205">
        <v>0.8</v>
      </c>
      <c r="G694" s="303">
        <v>1.5</v>
      </c>
      <c r="H694" s="197">
        <f>-3*F694*G694</f>
        <v>-3.6000000000000005</v>
      </c>
    </row>
    <row r="695" spans="2:8" s="102" customFormat="1" ht="20.100000000000001" customHeight="1" x14ac:dyDescent="0.25">
      <c r="B695" s="365"/>
      <c r="C695" s="366"/>
      <c r="D695" s="70" t="s">
        <v>31</v>
      </c>
      <c r="E695" s="277" t="s">
        <v>14</v>
      </c>
      <c r="F695" s="205">
        <v>1.5</v>
      </c>
      <c r="G695" s="303">
        <v>0.6</v>
      </c>
      <c r="H695" s="197">
        <f>-2*F695*G695</f>
        <v>-1.7999999999999998</v>
      </c>
    </row>
    <row r="696" spans="2:8" s="102" customFormat="1" ht="20.100000000000001" customHeight="1" x14ac:dyDescent="0.25">
      <c r="B696" s="365"/>
      <c r="C696" s="366"/>
      <c r="D696" s="70" t="s">
        <v>50</v>
      </c>
      <c r="E696" s="277" t="s">
        <v>14</v>
      </c>
      <c r="F696" s="205">
        <v>22.36</v>
      </c>
      <c r="G696" s="303">
        <v>1.5</v>
      </c>
      <c r="H696" s="197">
        <f>G696*F696</f>
        <v>33.54</v>
      </c>
    </row>
    <row r="697" spans="2:8" s="102" customFormat="1" ht="20.100000000000001" customHeight="1" x14ac:dyDescent="0.25">
      <c r="B697" s="365"/>
      <c r="C697" s="366"/>
      <c r="D697" s="70" t="s">
        <v>51</v>
      </c>
      <c r="E697" s="277" t="s">
        <v>14</v>
      </c>
      <c r="F697" s="205">
        <v>0.8</v>
      </c>
      <c r="G697" s="303">
        <v>1.5</v>
      </c>
      <c r="H697" s="197">
        <f>G697*-F697</f>
        <v>-1.2000000000000002</v>
      </c>
    </row>
    <row r="698" spans="2:8" s="102" customFormat="1" ht="20.100000000000001" customHeight="1" x14ac:dyDescent="0.25">
      <c r="B698" s="365"/>
      <c r="C698" s="366"/>
      <c r="D698" s="70" t="s">
        <v>52</v>
      </c>
      <c r="E698" s="277" t="s">
        <v>14</v>
      </c>
      <c r="F698" s="205">
        <v>2</v>
      </c>
      <c r="G698" s="303">
        <v>0.6</v>
      </c>
      <c r="H698" s="197">
        <f>G698*-F698</f>
        <v>-1.2</v>
      </c>
    </row>
    <row r="699" spans="2:8" s="102" customFormat="1" ht="20.100000000000001" customHeight="1" x14ac:dyDescent="0.25">
      <c r="B699" s="365"/>
      <c r="C699" s="366"/>
      <c r="D699" s="70" t="s">
        <v>53</v>
      </c>
      <c r="E699" s="277" t="s">
        <v>14</v>
      </c>
      <c r="F699" s="205">
        <v>20.54</v>
      </c>
      <c r="G699" s="303">
        <v>1.5</v>
      </c>
      <c r="H699" s="197">
        <f>G699*F699</f>
        <v>30.81</v>
      </c>
    </row>
    <row r="700" spans="2:8" s="102" customFormat="1" ht="20.100000000000001" customHeight="1" x14ac:dyDescent="0.25">
      <c r="B700" s="365"/>
      <c r="C700" s="366"/>
      <c r="D700" s="70" t="s">
        <v>51</v>
      </c>
      <c r="E700" s="277" t="s">
        <v>14</v>
      </c>
      <c r="F700" s="205">
        <v>0.8</v>
      </c>
      <c r="G700" s="303">
        <v>1.5</v>
      </c>
      <c r="H700" s="197">
        <f>-G700*F700</f>
        <v>-1.2000000000000002</v>
      </c>
    </row>
    <row r="701" spans="2:8" s="102" customFormat="1" ht="20.100000000000001" customHeight="1" x14ac:dyDescent="0.25">
      <c r="B701" s="365"/>
      <c r="C701" s="366"/>
      <c r="D701" s="70" t="s">
        <v>54</v>
      </c>
      <c r="E701" s="277" t="s">
        <v>14</v>
      </c>
      <c r="F701" s="205">
        <v>1.5</v>
      </c>
      <c r="G701" s="276">
        <v>0.6</v>
      </c>
      <c r="H701" s="197">
        <f>-2*G701*F701</f>
        <v>-1.7999999999999998</v>
      </c>
    </row>
    <row r="702" spans="2:8" s="102" customFormat="1" ht="20.100000000000001" customHeight="1" x14ac:dyDescent="0.25">
      <c r="B702" s="365"/>
      <c r="C702" s="366"/>
      <c r="D702" s="70" t="s">
        <v>52</v>
      </c>
      <c r="E702" s="277" t="s">
        <v>14</v>
      </c>
      <c r="F702" s="205">
        <v>2.5</v>
      </c>
      <c r="G702" s="276">
        <v>0.6</v>
      </c>
      <c r="H702" s="197">
        <f>-G702*F702</f>
        <v>-1.5</v>
      </c>
    </row>
    <row r="703" spans="2:8" s="102" customFormat="1" ht="20.100000000000001" customHeight="1" x14ac:dyDescent="0.25">
      <c r="B703" s="365"/>
      <c r="C703" s="366"/>
      <c r="D703" s="70" t="s">
        <v>55</v>
      </c>
      <c r="E703" s="277" t="s">
        <v>14</v>
      </c>
      <c r="F703" s="205">
        <v>9.25</v>
      </c>
      <c r="G703" s="303">
        <v>1.5</v>
      </c>
      <c r="H703" s="197">
        <f>G703*F703</f>
        <v>13.875</v>
      </c>
    </row>
    <row r="704" spans="2:8" s="102" customFormat="1" ht="20.100000000000001" customHeight="1" x14ac:dyDescent="0.25">
      <c r="B704" s="367"/>
      <c r="C704" s="368"/>
      <c r="D704" s="70" t="s">
        <v>51</v>
      </c>
      <c r="E704" s="277" t="s">
        <v>14</v>
      </c>
      <c r="F704" s="205">
        <v>0.8</v>
      </c>
      <c r="G704" s="276">
        <v>1.5</v>
      </c>
      <c r="H704" s="197">
        <f>-G704*F704</f>
        <v>-1.2000000000000002</v>
      </c>
    </row>
    <row r="705" spans="2:8" s="102" customFormat="1" ht="20.100000000000001" customHeight="1" x14ac:dyDescent="0.25">
      <c r="B705" s="363"/>
      <c r="C705" s="364"/>
      <c r="D705" s="70" t="s">
        <v>56</v>
      </c>
      <c r="E705" s="277" t="s">
        <v>14</v>
      </c>
      <c r="F705" s="205">
        <v>1.45</v>
      </c>
      <c r="G705" s="276">
        <v>0.6</v>
      </c>
      <c r="H705" s="197">
        <f>-G705*F705</f>
        <v>-0.87</v>
      </c>
    </row>
    <row r="706" spans="2:8" s="102" customFormat="1" ht="20.100000000000001" customHeight="1" x14ac:dyDescent="0.25">
      <c r="B706" s="365"/>
      <c r="C706" s="366"/>
      <c r="D706" s="70" t="s">
        <v>57</v>
      </c>
      <c r="E706" s="277" t="s">
        <v>14</v>
      </c>
      <c r="F706" s="205">
        <v>4.0659999999999998</v>
      </c>
      <c r="G706" s="303">
        <v>1.5</v>
      </c>
      <c r="H706" s="197">
        <f>G706*F706</f>
        <v>6.0990000000000002</v>
      </c>
    </row>
    <row r="707" spans="2:8" s="102" customFormat="1" ht="20.100000000000001" customHeight="1" x14ac:dyDescent="0.25">
      <c r="B707" s="365"/>
      <c r="C707" s="366"/>
      <c r="D707" s="70" t="s">
        <v>56</v>
      </c>
      <c r="E707" s="277" t="s">
        <v>14</v>
      </c>
      <c r="F707" s="205">
        <v>1.45</v>
      </c>
      <c r="G707" s="276">
        <v>0.6</v>
      </c>
      <c r="H707" s="197">
        <f>-G707*F707</f>
        <v>-0.87</v>
      </c>
    </row>
    <row r="708" spans="2:8" s="102" customFormat="1" ht="20.100000000000001" customHeight="1" x14ac:dyDescent="0.25">
      <c r="B708" s="365"/>
      <c r="C708" s="366"/>
      <c r="D708" s="70" t="s">
        <v>58</v>
      </c>
      <c r="E708" s="277" t="s">
        <v>14</v>
      </c>
      <c r="F708" s="205">
        <f>9.52+9.52+5.97+5.97</f>
        <v>30.979999999999997</v>
      </c>
      <c r="G708" s="303">
        <v>1.5</v>
      </c>
      <c r="H708" s="197">
        <f>F708*G708</f>
        <v>46.47</v>
      </c>
    </row>
    <row r="709" spans="2:8" s="102" customFormat="1" ht="20.100000000000001" customHeight="1" x14ac:dyDescent="0.25">
      <c r="B709" s="365"/>
      <c r="C709" s="366"/>
      <c r="D709" s="70" t="s">
        <v>59</v>
      </c>
      <c r="E709" s="277" t="s">
        <v>14</v>
      </c>
      <c r="F709" s="205">
        <v>2</v>
      </c>
      <c r="G709" s="303">
        <v>0.6</v>
      </c>
      <c r="H709" s="197">
        <f>G709*F709*-2</f>
        <v>-2.4</v>
      </c>
    </row>
    <row r="710" spans="2:8" s="102" customFormat="1" ht="20.100000000000001" customHeight="1" x14ac:dyDescent="0.25">
      <c r="B710" s="365"/>
      <c r="C710" s="366"/>
      <c r="D710" s="70" t="s">
        <v>60</v>
      </c>
      <c r="E710" s="277" t="s">
        <v>14</v>
      </c>
      <c r="F710" s="205">
        <v>0.8</v>
      </c>
      <c r="G710" s="276">
        <v>1.5</v>
      </c>
      <c r="H710" s="197">
        <f>-G710*F710*1</f>
        <v>-1.2000000000000002</v>
      </c>
    </row>
    <row r="711" spans="2:8" s="102" customFormat="1" ht="20.100000000000001" customHeight="1" x14ac:dyDescent="0.25">
      <c r="B711" s="365"/>
      <c r="C711" s="366"/>
      <c r="D711" s="70" t="s">
        <v>61</v>
      </c>
      <c r="E711" s="277" t="s">
        <v>14</v>
      </c>
      <c r="F711" s="205">
        <v>2</v>
      </c>
      <c r="G711" s="276">
        <v>1.5</v>
      </c>
      <c r="H711" s="197">
        <f>-G711*F711</f>
        <v>-3</v>
      </c>
    </row>
    <row r="712" spans="2:8" s="102" customFormat="1" ht="20.100000000000001" customHeight="1" x14ac:dyDescent="0.25">
      <c r="B712" s="365"/>
      <c r="C712" s="366"/>
      <c r="D712" s="70" t="s">
        <v>62</v>
      </c>
      <c r="E712" s="277" t="s">
        <v>14</v>
      </c>
      <c r="F712" s="205">
        <v>15.65</v>
      </c>
      <c r="G712" s="276">
        <v>1.5</v>
      </c>
      <c r="H712" s="197">
        <f>G712*F712</f>
        <v>23.475000000000001</v>
      </c>
    </row>
    <row r="713" spans="2:8" s="102" customFormat="1" ht="20.100000000000001" customHeight="1" x14ac:dyDescent="0.25">
      <c r="B713" s="365"/>
      <c r="C713" s="366"/>
      <c r="D713" s="70" t="s">
        <v>51</v>
      </c>
      <c r="E713" s="277" t="s">
        <v>14</v>
      </c>
      <c r="F713" s="205">
        <v>0.8</v>
      </c>
      <c r="G713" s="276">
        <v>1.5</v>
      </c>
      <c r="H713" s="197">
        <f>-G713*F713</f>
        <v>-1.2000000000000002</v>
      </c>
    </row>
    <row r="714" spans="2:8" s="102" customFormat="1" ht="20.100000000000001" customHeight="1" x14ac:dyDescent="0.25">
      <c r="B714" s="365"/>
      <c r="C714" s="366"/>
      <c r="D714" s="70" t="s">
        <v>63</v>
      </c>
      <c r="E714" s="277" t="s">
        <v>14</v>
      </c>
      <c r="F714" s="205">
        <v>1.5</v>
      </c>
      <c r="G714" s="276">
        <v>0.6</v>
      </c>
      <c r="H714" s="197">
        <f>-3*G714*F714</f>
        <v>-2.6999999999999997</v>
      </c>
    </row>
    <row r="715" spans="2:8" s="102" customFormat="1" ht="20.100000000000001" customHeight="1" x14ac:dyDescent="0.25">
      <c r="B715" s="365"/>
      <c r="C715" s="366"/>
      <c r="D715" s="70" t="s">
        <v>64</v>
      </c>
      <c r="E715" s="277" t="s">
        <v>14</v>
      </c>
      <c r="F715" s="205">
        <f>9.63+9.63</f>
        <v>19.260000000000002</v>
      </c>
      <c r="G715" s="303">
        <v>1.5</v>
      </c>
      <c r="H715" s="197">
        <f>G715*F715</f>
        <v>28.89</v>
      </c>
    </row>
    <row r="716" spans="2:8" s="102" customFormat="1" ht="20.100000000000001" customHeight="1" x14ac:dyDescent="0.25">
      <c r="B716" s="365"/>
      <c r="C716" s="366"/>
      <c r="D716" s="70" t="s">
        <v>61</v>
      </c>
      <c r="E716" s="277" t="s">
        <v>14</v>
      </c>
      <c r="F716" s="205">
        <v>2</v>
      </c>
      <c r="G716" s="276">
        <v>1.5</v>
      </c>
      <c r="H716" s="197">
        <f>-G716*F716*1</f>
        <v>-3</v>
      </c>
    </row>
    <row r="717" spans="2:8" s="102" customFormat="1" ht="20.100000000000001" customHeight="1" x14ac:dyDescent="0.25">
      <c r="B717" s="365"/>
      <c r="C717" s="366"/>
      <c r="D717" s="70" t="s">
        <v>65</v>
      </c>
      <c r="E717" s="277" t="s">
        <v>14</v>
      </c>
      <c r="F717" s="205">
        <v>2</v>
      </c>
      <c r="G717" s="276">
        <v>0.6</v>
      </c>
      <c r="H717" s="197">
        <f>-2*G717*F717</f>
        <v>-2.4</v>
      </c>
    </row>
    <row r="718" spans="2:8" s="102" customFormat="1" ht="20.100000000000001" customHeight="1" x14ac:dyDescent="0.25">
      <c r="B718" s="365"/>
      <c r="C718" s="366"/>
      <c r="D718" s="70" t="s">
        <v>66</v>
      </c>
      <c r="E718" s="277" t="s">
        <v>14</v>
      </c>
      <c r="F718" s="205">
        <f>7.17+4.92+7.17+4.92</f>
        <v>24.18</v>
      </c>
      <c r="G718" s="303">
        <v>1.5</v>
      </c>
      <c r="H718" s="197">
        <f>G718*F718</f>
        <v>36.269999999999996</v>
      </c>
    </row>
    <row r="719" spans="2:8" s="102" customFormat="1" ht="20.100000000000001" customHeight="1" x14ac:dyDescent="0.25">
      <c r="B719" s="365"/>
      <c r="C719" s="366"/>
      <c r="D719" s="70" t="s">
        <v>51</v>
      </c>
      <c r="E719" s="277" t="s">
        <v>14</v>
      </c>
      <c r="F719" s="205">
        <v>0.8</v>
      </c>
      <c r="G719" s="276">
        <v>1.5</v>
      </c>
      <c r="H719" s="197">
        <f>-G719*F719*1</f>
        <v>-1.2000000000000002</v>
      </c>
    </row>
    <row r="720" spans="2:8" s="102" customFormat="1" ht="20.100000000000001" customHeight="1" x14ac:dyDescent="0.25">
      <c r="B720" s="365"/>
      <c r="C720" s="366"/>
      <c r="D720" s="70" t="s">
        <v>67</v>
      </c>
      <c r="E720" s="277" t="s">
        <v>14</v>
      </c>
      <c r="F720" s="205">
        <v>0.6</v>
      </c>
      <c r="G720" s="276">
        <v>1.5</v>
      </c>
      <c r="H720" s="197">
        <f>-G720*F720</f>
        <v>-0.89999999999999991</v>
      </c>
    </row>
    <row r="721" spans="2:8" s="102" customFormat="1" ht="20.100000000000001" customHeight="1" x14ac:dyDescent="0.25">
      <c r="B721" s="365"/>
      <c r="C721" s="366"/>
      <c r="D721" s="70" t="s">
        <v>68</v>
      </c>
      <c r="E721" s="277" t="s">
        <v>14</v>
      </c>
      <c r="F721" s="205">
        <v>2.5</v>
      </c>
      <c r="G721" s="303">
        <v>0.6</v>
      </c>
      <c r="H721" s="197">
        <f>G721*F721</f>
        <v>1.5</v>
      </c>
    </row>
    <row r="722" spans="2:8" s="102" customFormat="1" ht="20.100000000000001" customHeight="1" x14ac:dyDescent="0.25">
      <c r="B722" s="365"/>
      <c r="C722" s="366"/>
      <c r="D722" s="70" t="s">
        <v>69</v>
      </c>
      <c r="E722" s="277" t="s">
        <v>14</v>
      </c>
      <c r="F722" s="276">
        <v>15.62</v>
      </c>
      <c r="G722" s="276">
        <v>1.5</v>
      </c>
      <c r="H722" s="197">
        <f>G722*F722</f>
        <v>23.43</v>
      </c>
    </row>
    <row r="723" spans="2:8" s="102" customFormat="1" ht="20.100000000000001" customHeight="1" x14ac:dyDescent="0.25">
      <c r="B723" s="365"/>
      <c r="C723" s="366"/>
      <c r="D723" s="70" t="s">
        <v>51</v>
      </c>
      <c r="E723" s="277" t="s">
        <v>14</v>
      </c>
      <c r="F723" s="276">
        <v>0.8</v>
      </c>
      <c r="G723" s="276">
        <v>1.5</v>
      </c>
      <c r="H723" s="197">
        <f>-G723*F723</f>
        <v>-1.2000000000000002</v>
      </c>
    </row>
    <row r="724" spans="2:8" s="102" customFormat="1" ht="20.100000000000001" customHeight="1" x14ac:dyDescent="0.25">
      <c r="B724" s="365"/>
      <c r="C724" s="366"/>
      <c r="D724" s="70" t="s">
        <v>70</v>
      </c>
      <c r="E724" s="277" t="s">
        <v>14</v>
      </c>
      <c r="F724" s="276">
        <v>2.5</v>
      </c>
      <c r="G724" s="276">
        <v>0.6</v>
      </c>
      <c r="H724" s="197">
        <f>-2*G724*F724</f>
        <v>-3</v>
      </c>
    </row>
    <row r="725" spans="2:8" s="102" customFormat="1" ht="20.100000000000001" customHeight="1" x14ac:dyDescent="0.25">
      <c r="B725" s="365"/>
      <c r="C725" s="366"/>
      <c r="D725" s="70" t="s">
        <v>71</v>
      </c>
      <c r="E725" s="277" t="s">
        <v>14</v>
      </c>
      <c r="F725" s="276">
        <f>2.15+2.15</f>
        <v>4.3</v>
      </c>
      <c r="G725" s="276">
        <v>1.5</v>
      </c>
      <c r="H725" s="197">
        <f>G725*F725</f>
        <v>6.4499999999999993</v>
      </c>
    </row>
    <row r="726" spans="2:8" s="102" customFormat="1" ht="20.100000000000001" customHeight="1" x14ac:dyDescent="0.25">
      <c r="B726" s="365"/>
      <c r="C726" s="366"/>
      <c r="D726" s="70" t="s">
        <v>72</v>
      </c>
      <c r="E726" s="277" t="s">
        <v>14</v>
      </c>
      <c r="F726" s="276">
        <v>0.7</v>
      </c>
      <c r="G726" s="276">
        <v>1.5</v>
      </c>
      <c r="H726" s="197">
        <f>-2*G726*F726</f>
        <v>-2.0999999999999996</v>
      </c>
    </row>
    <row r="727" spans="2:8" s="102" customFormat="1" ht="20.100000000000001" customHeight="1" x14ac:dyDescent="0.25">
      <c r="B727" s="365"/>
      <c r="C727" s="366"/>
      <c r="D727" s="70" t="s">
        <v>73</v>
      </c>
      <c r="E727" s="277" t="s">
        <v>14</v>
      </c>
      <c r="F727" s="276">
        <v>28.65</v>
      </c>
      <c r="G727" s="276">
        <v>1.5</v>
      </c>
      <c r="H727" s="197">
        <f>G727*F727</f>
        <v>42.974999999999994</v>
      </c>
    </row>
    <row r="728" spans="2:8" s="102" customFormat="1" ht="20.100000000000001" customHeight="1" x14ac:dyDescent="0.25">
      <c r="B728" s="365"/>
      <c r="C728" s="366"/>
      <c r="D728" s="70" t="s">
        <v>51</v>
      </c>
      <c r="E728" s="277" t="s">
        <v>14</v>
      </c>
      <c r="F728" s="276">
        <v>0.8</v>
      </c>
      <c r="G728" s="276">
        <v>1.5</v>
      </c>
      <c r="H728" s="197">
        <f>G728*F728*-1</f>
        <v>-1.2000000000000002</v>
      </c>
    </row>
    <row r="729" spans="2:8" s="102" customFormat="1" ht="20.100000000000001" customHeight="1" x14ac:dyDescent="0.25">
      <c r="B729" s="365"/>
      <c r="C729" s="366"/>
      <c r="D729" s="70" t="s">
        <v>70</v>
      </c>
      <c r="E729" s="277" t="s">
        <v>14</v>
      </c>
      <c r="F729" s="276">
        <v>2.5</v>
      </c>
      <c r="G729" s="276">
        <v>0.6</v>
      </c>
      <c r="H729" s="197">
        <f>-2*F729*G729</f>
        <v>-3</v>
      </c>
    </row>
    <row r="730" spans="2:8" s="102" customFormat="1" ht="20.100000000000001" customHeight="1" x14ac:dyDescent="0.25">
      <c r="B730" s="365"/>
      <c r="C730" s="366"/>
      <c r="D730" s="70" t="s">
        <v>74</v>
      </c>
      <c r="E730" s="277" t="s">
        <v>14</v>
      </c>
      <c r="F730" s="276">
        <v>18.23</v>
      </c>
      <c r="G730" s="276">
        <v>1.5</v>
      </c>
      <c r="H730" s="197">
        <f>G730*F730</f>
        <v>27.344999999999999</v>
      </c>
    </row>
    <row r="731" spans="2:8" s="102" customFormat="1" ht="20.100000000000001" customHeight="1" x14ac:dyDescent="0.25">
      <c r="B731" s="365"/>
      <c r="C731" s="366"/>
      <c r="D731" s="70" t="s">
        <v>51</v>
      </c>
      <c r="E731" s="277" t="s">
        <v>14</v>
      </c>
      <c r="F731" s="276">
        <v>0.8</v>
      </c>
      <c r="G731" s="276">
        <v>1.5</v>
      </c>
      <c r="H731" s="197">
        <f>G731*F731*-1</f>
        <v>-1.2000000000000002</v>
      </c>
    </row>
    <row r="732" spans="2:8" s="102" customFormat="1" ht="20.100000000000001" customHeight="1" x14ac:dyDescent="0.25">
      <c r="B732" s="365"/>
      <c r="C732" s="366"/>
      <c r="D732" s="70" t="s">
        <v>70</v>
      </c>
      <c r="E732" s="277" t="s">
        <v>14</v>
      </c>
      <c r="F732" s="276">
        <v>2.5</v>
      </c>
      <c r="G732" s="276">
        <v>0.6</v>
      </c>
      <c r="H732" s="197">
        <f>-2*F732*G732</f>
        <v>-3</v>
      </c>
    </row>
    <row r="733" spans="2:8" s="102" customFormat="1" ht="20.100000000000001" customHeight="1" x14ac:dyDescent="0.25">
      <c r="B733" s="365"/>
      <c r="C733" s="366"/>
      <c r="D733" s="70" t="s">
        <v>75</v>
      </c>
      <c r="E733" s="277" t="s">
        <v>14</v>
      </c>
      <c r="F733" s="276">
        <f>7.51+7.51+4.97+4.97</f>
        <v>24.959999999999997</v>
      </c>
      <c r="G733" s="276">
        <v>1.5</v>
      </c>
      <c r="H733" s="197">
        <f>G733*F733</f>
        <v>37.44</v>
      </c>
    </row>
    <row r="734" spans="2:8" s="102" customFormat="1" ht="20.100000000000001" customHeight="1" x14ac:dyDescent="0.25">
      <c r="B734" s="365"/>
      <c r="C734" s="366"/>
      <c r="D734" s="70" t="s">
        <v>51</v>
      </c>
      <c r="E734" s="277" t="s">
        <v>14</v>
      </c>
      <c r="F734" s="276">
        <v>0.8</v>
      </c>
      <c r="G734" s="276">
        <v>1.5</v>
      </c>
      <c r="H734" s="197">
        <f>G734*F734*-1</f>
        <v>-1.2000000000000002</v>
      </c>
    </row>
    <row r="735" spans="2:8" s="102" customFormat="1" ht="20.100000000000001" customHeight="1" x14ac:dyDescent="0.25">
      <c r="B735" s="365"/>
      <c r="C735" s="366"/>
      <c r="D735" s="70" t="s">
        <v>70</v>
      </c>
      <c r="E735" s="277" t="s">
        <v>14</v>
      </c>
      <c r="F735" s="276">
        <v>2.5</v>
      </c>
      <c r="G735" s="276">
        <v>0.6</v>
      </c>
      <c r="H735" s="197">
        <f>-2*F735*G735</f>
        <v>-3</v>
      </c>
    </row>
    <row r="736" spans="2:8" s="102" customFormat="1" ht="20.100000000000001" customHeight="1" x14ac:dyDescent="0.25">
      <c r="B736" s="365"/>
      <c r="C736" s="366"/>
      <c r="D736" s="70" t="s">
        <v>76</v>
      </c>
      <c r="E736" s="277" t="s">
        <v>14</v>
      </c>
      <c r="F736" s="276">
        <f>1.41+7.72+5.22</f>
        <v>14.349999999999998</v>
      </c>
      <c r="G736" s="276">
        <v>1.5</v>
      </c>
      <c r="H736" s="197">
        <f>G736*F736</f>
        <v>21.524999999999999</v>
      </c>
    </row>
    <row r="737" spans="2:8" s="102" customFormat="1" ht="20.100000000000001" customHeight="1" x14ac:dyDescent="0.25">
      <c r="B737" s="365"/>
      <c r="C737" s="366"/>
      <c r="D737" s="70" t="s">
        <v>51</v>
      </c>
      <c r="E737" s="277" t="s">
        <v>14</v>
      </c>
      <c r="F737" s="276">
        <v>0.8</v>
      </c>
      <c r="G737" s="276">
        <v>1.5</v>
      </c>
      <c r="H737" s="197">
        <f>G737*F737*-1</f>
        <v>-1.2000000000000002</v>
      </c>
    </row>
    <row r="738" spans="2:8" s="102" customFormat="1" ht="20.100000000000001" customHeight="1" x14ac:dyDescent="0.25">
      <c r="B738" s="365"/>
      <c r="C738" s="366"/>
      <c r="D738" s="70" t="s">
        <v>70</v>
      </c>
      <c r="E738" s="277" t="s">
        <v>14</v>
      </c>
      <c r="F738" s="276">
        <v>2.5</v>
      </c>
      <c r="G738" s="276">
        <v>0.6</v>
      </c>
      <c r="H738" s="197">
        <f>-2*F738*G738</f>
        <v>-3</v>
      </c>
    </row>
    <row r="739" spans="2:8" s="102" customFormat="1" ht="20.100000000000001" customHeight="1" x14ac:dyDescent="0.25">
      <c r="B739" s="365"/>
      <c r="C739" s="366"/>
      <c r="D739" s="70" t="s">
        <v>77</v>
      </c>
      <c r="E739" s="277" t="s">
        <v>14</v>
      </c>
      <c r="F739" s="276">
        <f>5.98+5.93+5.98+5.93</f>
        <v>23.82</v>
      </c>
      <c r="G739" s="276">
        <v>1.5</v>
      </c>
      <c r="H739" s="197">
        <f>G739*F739</f>
        <v>35.730000000000004</v>
      </c>
    </row>
    <row r="740" spans="2:8" s="102" customFormat="1" ht="20.100000000000001" customHeight="1" x14ac:dyDescent="0.25">
      <c r="B740" s="365"/>
      <c r="C740" s="366"/>
      <c r="D740" s="70" t="s">
        <v>51</v>
      </c>
      <c r="E740" s="277" t="s">
        <v>14</v>
      </c>
      <c r="F740" s="276">
        <v>0.8</v>
      </c>
      <c r="G740" s="276">
        <v>1.5</v>
      </c>
      <c r="H740" s="197">
        <f>G740*F740*-1</f>
        <v>-1.2000000000000002</v>
      </c>
    </row>
    <row r="741" spans="2:8" s="102" customFormat="1" ht="20.100000000000001" customHeight="1" x14ac:dyDescent="0.25">
      <c r="B741" s="365"/>
      <c r="C741" s="366"/>
      <c r="D741" s="70" t="s">
        <v>65</v>
      </c>
      <c r="E741" s="277" t="s">
        <v>14</v>
      </c>
      <c r="F741" s="276">
        <v>2</v>
      </c>
      <c r="G741" s="276">
        <v>0.6</v>
      </c>
      <c r="H741" s="197">
        <f>-2*G741*F741</f>
        <v>-2.4</v>
      </c>
    </row>
    <row r="742" spans="2:8" s="102" customFormat="1" ht="20.100000000000001" customHeight="1" x14ac:dyDescent="0.25">
      <c r="B742" s="365"/>
      <c r="C742" s="366"/>
      <c r="D742" s="70" t="s">
        <v>78</v>
      </c>
      <c r="E742" s="277" t="s">
        <v>14</v>
      </c>
      <c r="F742" s="276">
        <f>6.13+6.13</f>
        <v>12.26</v>
      </c>
      <c r="G742" s="276">
        <v>1.5</v>
      </c>
      <c r="H742" s="197">
        <f>G742*F742</f>
        <v>18.39</v>
      </c>
    </row>
    <row r="743" spans="2:8" s="102" customFormat="1" ht="20.100000000000001" customHeight="1" x14ac:dyDescent="0.25">
      <c r="B743" s="365"/>
      <c r="C743" s="366"/>
      <c r="D743" s="70" t="s">
        <v>51</v>
      </c>
      <c r="E743" s="277" t="s">
        <v>14</v>
      </c>
      <c r="F743" s="276">
        <v>0.8</v>
      </c>
      <c r="G743" s="276">
        <v>1.5</v>
      </c>
      <c r="H743" s="197">
        <f>G743*F743*-1</f>
        <v>-1.2000000000000002</v>
      </c>
    </row>
    <row r="744" spans="2:8" s="102" customFormat="1" ht="20.100000000000001" customHeight="1" x14ac:dyDescent="0.25">
      <c r="B744" s="365"/>
      <c r="C744" s="366"/>
      <c r="D744" s="70" t="s">
        <v>65</v>
      </c>
      <c r="E744" s="277" t="s">
        <v>14</v>
      </c>
      <c r="F744" s="276">
        <v>2.1</v>
      </c>
      <c r="G744" s="276">
        <v>0.6</v>
      </c>
      <c r="H744" s="197">
        <f>-2*G744*F744</f>
        <v>-2.52</v>
      </c>
    </row>
    <row r="745" spans="2:8" s="102" customFormat="1" ht="20.100000000000001" customHeight="1" x14ac:dyDescent="0.25">
      <c r="B745" s="365"/>
      <c r="C745" s="366"/>
      <c r="D745" s="70" t="s">
        <v>79</v>
      </c>
      <c r="E745" s="277" t="s">
        <v>14</v>
      </c>
      <c r="F745" s="276">
        <f>0.85+0.85+5.26+5.26+1.35+1.35</f>
        <v>14.919999999999998</v>
      </c>
      <c r="G745" s="276">
        <v>1.5</v>
      </c>
      <c r="H745" s="197">
        <f>G745*F745</f>
        <v>22.379999999999995</v>
      </c>
    </row>
    <row r="746" spans="2:8" s="102" customFormat="1" ht="20.100000000000001" customHeight="1" x14ac:dyDescent="0.25">
      <c r="B746" s="365"/>
      <c r="C746" s="366"/>
      <c r="D746" s="70" t="s">
        <v>72</v>
      </c>
      <c r="E746" s="277" t="s">
        <v>14</v>
      </c>
      <c r="F746" s="276">
        <v>0.7</v>
      </c>
      <c r="G746" s="276">
        <v>1.5</v>
      </c>
      <c r="H746" s="197">
        <f>-2*G746*F746</f>
        <v>-2.0999999999999996</v>
      </c>
    </row>
    <row r="747" spans="2:8" s="102" customFormat="1" ht="20.100000000000001" customHeight="1" x14ac:dyDescent="0.25">
      <c r="B747" s="365"/>
      <c r="C747" s="366"/>
      <c r="D747" s="70" t="s">
        <v>80</v>
      </c>
      <c r="E747" s="277" t="s">
        <v>14</v>
      </c>
      <c r="F747" s="276">
        <f>5.9+6.02+5.9+6.02</f>
        <v>23.84</v>
      </c>
      <c r="G747" s="276">
        <v>1.5</v>
      </c>
      <c r="H747" s="197">
        <f>G747*F747</f>
        <v>35.76</v>
      </c>
    </row>
    <row r="748" spans="2:8" s="102" customFormat="1" ht="20.100000000000001" customHeight="1" x14ac:dyDescent="0.25">
      <c r="B748" s="365"/>
      <c r="C748" s="366"/>
      <c r="D748" s="70" t="s">
        <v>51</v>
      </c>
      <c r="E748" s="277" t="s">
        <v>14</v>
      </c>
      <c r="F748" s="276">
        <v>0.8</v>
      </c>
      <c r="G748" s="276">
        <v>1.5</v>
      </c>
      <c r="H748" s="197">
        <f>G748*F748*-1</f>
        <v>-1.2000000000000002</v>
      </c>
    </row>
    <row r="749" spans="2:8" s="102" customFormat="1" ht="20.100000000000001" customHeight="1" x14ac:dyDescent="0.25">
      <c r="B749" s="365"/>
      <c r="C749" s="366"/>
      <c r="D749" s="70" t="s">
        <v>65</v>
      </c>
      <c r="E749" s="277" t="s">
        <v>14</v>
      </c>
      <c r="F749" s="276">
        <v>2</v>
      </c>
      <c r="G749" s="276">
        <v>0.6</v>
      </c>
      <c r="H749" s="197">
        <f>-2*G749*F749</f>
        <v>-2.4</v>
      </c>
    </row>
    <row r="750" spans="2:8" s="102" customFormat="1" ht="20.100000000000001" customHeight="1" x14ac:dyDescent="0.25">
      <c r="B750" s="365"/>
      <c r="C750" s="366"/>
      <c r="D750" s="70" t="s">
        <v>81</v>
      </c>
      <c r="E750" s="277" t="s">
        <v>14</v>
      </c>
      <c r="F750" s="276">
        <f>6.06+6.06+6.33</f>
        <v>18.45</v>
      </c>
      <c r="G750" s="276">
        <v>1.5</v>
      </c>
      <c r="H750" s="197">
        <f>G750*F750</f>
        <v>27.674999999999997</v>
      </c>
    </row>
    <row r="751" spans="2:8" s="102" customFormat="1" ht="20.100000000000001" customHeight="1" x14ac:dyDescent="0.25">
      <c r="B751" s="365"/>
      <c r="C751" s="366"/>
      <c r="D751" s="70" t="s">
        <v>51</v>
      </c>
      <c r="E751" s="277" t="s">
        <v>14</v>
      </c>
      <c r="F751" s="276">
        <v>0.8</v>
      </c>
      <c r="G751" s="276">
        <v>1.5</v>
      </c>
      <c r="H751" s="197">
        <f>G751*F751*-1</f>
        <v>-1.2000000000000002</v>
      </c>
    </row>
    <row r="752" spans="2:8" s="102" customFormat="1" ht="20.100000000000001" customHeight="1" x14ac:dyDescent="0.25">
      <c r="B752" s="365"/>
      <c r="C752" s="366"/>
      <c r="D752" s="70" t="s">
        <v>65</v>
      </c>
      <c r="E752" s="277" t="s">
        <v>14</v>
      </c>
      <c r="F752" s="276">
        <v>2</v>
      </c>
      <c r="G752" s="276">
        <v>0.6</v>
      </c>
      <c r="H752" s="197">
        <f>-2*G752*F752</f>
        <v>-2.4</v>
      </c>
    </row>
    <row r="753" spans="2:8" s="102" customFormat="1" ht="20.100000000000001" customHeight="1" x14ac:dyDescent="0.25">
      <c r="B753" s="365"/>
      <c r="C753" s="366"/>
      <c r="D753" s="70" t="s">
        <v>387</v>
      </c>
      <c r="E753" s="277" t="s">
        <v>14</v>
      </c>
      <c r="F753" s="303">
        <v>2.2999999999999998</v>
      </c>
      <c r="G753" s="303">
        <v>1.5</v>
      </c>
      <c r="H753" s="197">
        <f>G753*F753+(1.63*0.09)</f>
        <v>3.5966999999999998</v>
      </c>
    </row>
    <row r="754" spans="2:8" s="102" customFormat="1" ht="20.100000000000001" customHeight="1" x14ac:dyDescent="0.25">
      <c r="B754" s="365"/>
      <c r="C754" s="366"/>
      <c r="D754" s="70" t="s">
        <v>388</v>
      </c>
      <c r="E754" s="277" t="s">
        <v>14</v>
      </c>
      <c r="F754" s="303">
        <v>0.15</v>
      </c>
      <c r="G754" s="303">
        <v>0.4</v>
      </c>
      <c r="H754" s="197">
        <f>-1*G754*F754</f>
        <v>-0.06</v>
      </c>
    </row>
    <row r="755" spans="2:8" s="102" customFormat="1" ht="20.100000000000001" customHeight="1" x14ac:dyDescent="0.25">
      <c r="B755" s="365"/>
      <c r="C755" s="366"/>
      <c r="D755" s="70" t="s">
        <v>389</v>
      </c>
      <c r="E755" s="277" t="s">
        <v>14</v>
      </c>
      <c r="F755" s="303">
        <v>2.2999999999999998</v>
      </c>
      <c r="G755" s="303">
        <v>1.5</v>
      </c>
      <c r="H755" s="197">
        <f>G755*F755+(1.63*0.09)</f>
        <v>3.5966999999999998</v>
      </c>
    </row>
    <row r="756" spans="2:8" s="102" customFormat="1" ht="20.100000000000001" customHeight="1" x14ac:dyDescent="0.25">
      <c r="B756" s="365"/>
      <c r="C756" s="366"/>
      <c r="D756" s="70" t="s">
        <v>388</v>
      </c>
      <c r="E756" s="277" t="s">
        <v>14</v>
      </c>
      <c r="F756" s="303">
        <v>0.15</v>
      </c>
      <c r="G756" s="303">
        <v>0.4</v>
      </c>
      <c r="H756" s="197">
        <f>-1*G756*F756</f>
        <v>-0.06</v>
      </c>
    </row>
    <row r="757" spans="2:8" s="102" customFormat="1" ht="20.100000000000001" customHeight="1" x14ac:dyDescent="0.25">
      <c r="B757" s="365"/>
      <c r="C757" s="366"/>
      <c r="D757" s="70" t="s">
        <v>390</v>
      </c>
      <c r="E757" s="277" t="s">
        <v>14</v>
      </c>
      <c r="F757" s="303">
        <v>4.66</v>
      </c>
      <c r="G757" s="303">
        <v>3</v>
      </c>
      <c r="H757" s="197">
        <f>G757*F757</f>
        <v>13.98</v>
      </c>
    </row>
    <row r="758" spans="2:8" s="102" customFormat="1" ht="20.100000000000001" customHeight="1" x14ac:dyDescent="0.25">
      <c r="B758" s="365"/>
      <c r="C758" s="366"/>
      <c r="D758" s="70" t="s">
        <v>161</v>
      </c>
      <c r="E758" s="277" t="s">
        <v>14</v>
      </c>
      <c r="F758" s="384">
        <f>(0.4*0.4)+(0.4*0.6)</f>
        <v>0.4</v>
      </c>
      <c r="G758" s="385"/>
      <c r="H758" s="197">
        <f>F758</f>
        <v>0.4</v>
      </c>
    </row>
    <row r="759" spans="2:8" s="102" customFormat="1" ht="20.100000000000001" customHeight="1" x14ac:dyDescent="0.25">
      <c r="B759" s="367"/>
      <c r="C759" s="368"/>
      <c r="D759" s="70" t="s">
        <v>160</v>
      </c>
      <c r="E759" s="277" t="s">
        <v>14</v>
      </c>
      <c r="F759" s="303">
        <v>7.85</v>
      </c>
      <c r="G759" s="276">
        <v>1</v>
      </c>
      <c r="H759" s="197">
        <f>G759*F759</f>
        <v>7.85</v>
      </c>
    </row>
    <row r="760" spans="2:8" s="102" customFormat="1" ht="20.100000000000001" customHeight="1" x14ac:dyDescent="0.25">
      <c r="B760" s="198" t="s">
        <v>456</v>
      </c>
      <c r="C760" s="107">
        <v>201302</v>
      </c>
      <c r="D760" s="75" t="s">
        <v>457</v>
      </c>
      <c r="E760" s="107" t="s">
        <v>14</v>
      </c>
      <c r="F760" s="304" t="s">
        <v>15</v>
      </c>
      <c r="G760" s="304" t="s">
        <v>16</v>
      </c>
      <c r="H760" s="199">
        <f>SUM(H761:H787)</f>
        <v>388.07380000000018</v>
      </c>
    </row>
    <row r="761" spans="2:8" s="102" customFormat="1" ht="20.100000000000001" customHeight="1" x14ac:dyDescent="0.25">
      <c r="B761" s="363"/>
      <c r="C761" s="364"/>
      <c r="D761" s="70" t="s">
        <v>116</v>
      </c>
      <c r="E761" s="277" t="s">
        <v>14</v>
      </c>
      <c r="F761" s="276">
        <v>13.54</v>
      </c>
      <c r="G761" s="276">
        <v>3</v>
      </c>
      <c r="H761" s="197">
        <f>G761*F761</f>
        <v>40.619999999999997</v>
      </c>
    </row>
    <row r="762" spans="2:8" s="102" customFormat="1" ht="20.100000000000001" customHeight="1" x14ac:dyDescent="0.25">
      <c r="B762" s="365"/>
      <c r="C762" s="366"/>
      <c r="D762" s="70" t="s">
        <v>20</v>
      </c>
      <c r="E762" s="277" t="s">
        <v>14</v>
      </c>
      <c r="F762" s="276">
        <v>0.8</v>
      </c>
      <c r="G762" s="276">
        <v>2.1</v>
      </c>
      <c r="H762" s="197">
        <f>G762*F762*-1</f>
        <v>-1.6800000000000002</v>
      </c>
    </row>
    <row r="763" spans="2:8" s="102" customFormat="1" ht="20.100000000000001" customHeight="1" x14ac:dyDescent="0.25">
      <c r="B763" s="365"/>
      <c r="C763" s="366"/>
      <c r="D763" s="70" t="s">
        <v>117</v>
      </c>
      <c r="E763" s="277" t="s">
        <v>14</v>
      </c>
      <c r="F763" s="276">
        <v>31.02</v>
      </c>
      <c r="G763" s="276">
        <v>3</v>
      </c>
      <c r="H763" s="197">
        <f>G763*F763</f>
        <v>93.06</v>
      </c>
    </row>
    <row r="764" spans="2:8" s="102" customFormat="1" ht="20.100000000000001" customHeight="1" x14ac:dyDescent="0.25">
      <c r="B764" s="365"/>
      <c r="C764" s="366"/>
      <c r="D764" s="70" t="s">
        <v>30</v>
      </c>
      <c r="E764" s="277" t="s">
        <v>14</v>
      </c>
      <c r="F764" s="276">
        <v>0.8</v>
      </c>
      <c r="G764" s="276">
        <v>2.1</v>
      </c>
      <c r="H764" s="197">
        <f>G764*F764*-3</f>
        <v>-5.0400000000000009</v>
      </c>
    </row>
    <row r="765" spans="2:8" s="102" customFormat="1" ht="20.100000000000001" customHeight="1" x14ac:dyDescent="0.25">
      <c r="B765" s="365"/>
      <c r="C765" s="366"/>
      <c r="D765" s="70" t="s">
        <v>118</v>
      </c>
      <c r="E765" s="277" t="s">
        <v>14</v>
      </c>
      <c r="F765" s="276">
        <v>1.55</v>
      </c>
      <c r="G765" s="276">
        <v>0.75</v>
      </c>
      <c r="H765" s="197">
        <f>G765*F765*-1</f>
        <v>-1.1625000000000001</v>
      </c>
    </row>
    <row r="766" spans="2:8" s="102" customFormat="1" ht="20.100000000000001" customHeight="1" x14ac:dyDescent="0.25">
      <c r="B766" s="365"/>
      <c r="C766" s="366"/>
      <c r="D766" s="70" t="s">
        <v>119</v>
      </c>
      <c r="E766" s="277" t="s">
        <v>14</v>
      </c>
      <c r="F766" s="276">
        <v>1.5</v>
      </c>
      <c r="G766" s="276">
        <v>1</v>
      </c>
      <c r="H766" s="197">
        <f>G766*F766*-3</f>
        <v>-4.5</v>
      </c>
    </row>
    <row r="767" spans="2:8" s="102" customFormat="1" ht="20.100000000000001" customHeight="1" x14ac:dyDescent="0.25">
      <c r="B767" s="365"/>
      <c r="C767" s="366"/>
      <c r="D767" s="70" t="s">
        <v>120</v>
      </c>
      <c r="E767" s="277" t="s">
        <v>14</v>
      </c>
      <c r="F767" s="276">
        <v>12.02</v>
      </c>
      <c r="G767" s="276">
        <v>3.18</v>
      </c>
      <c r="H767" s="197">
        <f>G767*F767</f>
        <v>38.223599999999998</v>
      </c>
    </row>
    <row r="768" spans="2:8" s="102" customFormat="1" ht="20.100000000000001" customHeight="1" x14ac:dyDescent="0.25">
      <c r="B768" s="365"/>
      <c r="C768" s="366"/>
      <c r="D768" s="70" t="s">
        <v>20</v>
      </c>
      <c r="E768" s="277" t="s">
        <v>14</v>
      </c>
      <c r="F768" s="276">
        <v>0.8</v>
      </c>
      <c r="G768" s="276">
        <v>2.1</v>
      </c>
      <c r="H768" s="197">
        <f>G768*F768*-1</f>
        <v>-1.6800000000000002</v>
      </c>
    </row>
    <row r="769" spans="2:8" s="102" customFormat="1" ht="20.100000000000001" customHeight="1" x14ac:dyDescent="0.25">
      <c r="B769" s="365"/>
      <c r="C769" s="366"/>
      <c r="D769" s="70" t="s">
        <v>121</v>
      </c>
      <c r="E769" s="277" t="s">
        <v>14</v>
      </c>
      <c r="F769" s="276">
        <v>8.51</v>
      </c>
      <c r="G769" s="276">
        <f>(2.8+3.3)/2</f>
        <v>3.05</v>
      </c>
      <c r="H769" s="197">
        <f>G769*F769</f>
        <v>25.955499999999997</v>
      </c>
    </row>
    <row r="770" spans="2:8" s="102" customFormat="1" ht="20.100000000000001" customHeight="1" x14ac:dyDescent="0.25">
      <c r="B770" s="365"/>
      <c r="C770" s="366"/>
      <c r="D770" s="70" t="s">
        <v>23</v>
      </c>
      <c r="E770" s="277" t="s">
        <v>14</v>
      </c>
      <c r="F770" s="276">
        <v>0.8</v>
      </c>
      <c r="G770" s="276">
        <v>2.1</v>
      </c>
      <c r="H770" s="197">
        <f>G770*F770*-1</f>
        <v>-1.6800000000000002</v>
      </c>
    </row>
    <row r="771" spans="2:8" s="102" customFormat="1" ht="20.100000000000001" customHeight="1" x14ac:dyDescent="0.25">
      <c r="B771" s="365"/>
      <c r="C771" s="366"/>
      <c r="D771" s="70" t="s">
        <v>122</v>
      </c>
      <c r="E771" s="277" t="s">
        <v>14</v>
      </c>
      <c r="F771" s="276">
        <v>0.8</v>
      </c>
      <c r="G771" s="276">
        <v>0.6</v>
      </c>
      <c r="H771" s="197">
        <f>G771*F771*-1</f>
        <v>-0.48</v>
      </c>
    </row>
    <row r="772" spans="2:8" s="102" customFormat="1" ht="20.100000000000001" customHeight="1" x14ac:dyDescent="0.25">
      <c r="B772" s="365"/>
      <c r="C772" s="366"/>
      <c r="D772" s="70" t="s">
        <v>123</v>
      </c>
      <c r="E772" s="277" t="s">
        <v>14</v>
      </c>
      <c r="F772" s="276">
        <v>7.54</v>
      </c>
      <c r="G772" s="276">
        <v>3.05</v>
      </c>
      <c r="H772" s="197">
        <f>G772*F772*1</f>
        <v>22.997</v>
      </c>
    </row>
    <row r="773" spans="2:8" s="102" customFormat="1" ht="20.100000000000001" customHeight="1" x14ac:dyDescent="0.25">
      <c r="B773" s="365"/>
      <c r="C773" s="366"/>
      <c r="D773" s="70" t="s">
        <v>23</v>
      </c>
      <c r="E773" s="277" t="s">
        <v>14</v>
      </c>
      <c r="F773" s="276">
        <v>0.8</v>
      </c>
      <c r="G773" s="276">
        <v>2.1</v>
      </c>
      <c r="H773" s="197">
        <f>G773*F773*-1</f>
        <v>-1.6800000000000002</v>
      </c>
    </row>
    <row r="774" spans="2:8" s="102" customFormat="1" ht="20.100000000000001" customHeight="1" x14ac:dyDescent="0.25">
      <c r="B774" s="365"/>
      <c r="C774" s="366"/>
      <c r="D774" s="70" t="s">
        <v>122</v>
      </c>
      <c r="E774" s="277" t="s">
        <v>14</v>
      </c>
      <c r="F774" s="276">
        <v>0.8</v>
      </c>
      <c r="G774" s="276">
        <v>0.6</v>
      </c>
      <c r="H774" s="197">
        <f>G774*F774*-1</f>
        <v>-0.48</v>
      </c>
    </row>
    <row r="775" spans="2:8" s="102" customFormat="1" ht="20.100000000000001" customHeight="1" x14ac:dyDescent="0.25">
      <c r="B775" s="365"/>
      <c r="C775" s="366"/>
      <c r="D775" s="70" t="s">
        <v>129</v>
      </c>
      <c r="E775" s="277" t="s">
        <v>14</v>
      </c>
      <c r="F775" s="276">
        <v>15.63</v>
      </c>
      <c r="G775" s="276">
        <v>3</v>
      </c>
      <c r="H775" s="197">
        <f>G775*F775</f>
        <v>46.89</v>
      </c>
    </row>
    <row r="776" spans="2:8" s="102" customFormat="1" ht="20.100000000000001" customHeight="1" x14ac:dyDescent="0.25">
      <c r="B776" s="365"/>
      <c r="C776" s="366"/>
      <c r="D776" s="70" t="s">
        <v>23</v>
      </c>
      <c r="E776" s="277" t="s">
        <v>14</v>
      </c>
      <c r="F776" s="276">
        <v>0.8</v>
      </c>
      <c r="G776" s="276">
        <v>2.1</v>
      </c>
      <c r="H776" s="197">
        <f>G776*F776*-1</f>
        <v>-1.6800000000000002</v>
      </c>
    </row>
    <row r="777" spans="2:8" s="102" customFormat="1" ht="20.100000000000001" customHeight="1" x14ac:dyDescent="0.25">
      <c r="B777" s="365"/>
      <c r="C777" s="366"/>
      <c r="D777" s="70" t="s">
        <v>458</v>
      </c>
      <c r="E777" s="277" t="s">
        <v>14</v>
      </c>
      <c r="F777" s="276">
        <v>1.45</v>
      </c>
      <c r="G777" s="276">
        <v>0.5</v>
      </c>
      <c r="H777" s="197">
        <f>G777*F777*-1</f>
        <v>-0.72499999999999998</v>
      </c>
    </row>
    <row r="778" spans="2:8" s="102" customFormat="1" ht="20.100000000000001" customHeight="1" x14ac:dyDescent="0.25">
      <c r="B778" s="365"/>
      <c r="C778" s="366"/>
      <c r="D778" s="70" t="s">
        <v>166</v>
      </c>
      <c r="E778" s="277" t="s">
        <v>14</v>
      </c>
      <c r="F778" s="276">
        <v>35.65</v>
      </c>
      <c r="G778" s="276">
        <v>1.2</v>
      </c>
      <c r="H778" s="197">
        <f>G778*F778</f>
        <v>42.779999999999994</v>
      </c>
    </row>
    <row r="779" spans="2:8" s="102" customFormat="1" ht="20.100000000000001" customHeight="1" x14ac:dyDescent="0.25">
      <c r="B779" s="365"/>
      <c r="C779" s="366"/>
      <c r="D779" s="70" t="s">
        <v>23</v>
      </c>
      <c r="E779" s="277" t="s">
        <v>14</v>
      </c>
      <c r="F779" s="276">
        <v>0.8</v>
      </c>
      <c r="G779" s="276">
        <v>1.2</v>
      </c>
      <c r="H779" s="197">
        <f>G779*F779*-1</f>
        <v>-0.96</v>
      </c>
    </row>
    <row r="780" spans="2:8" s="102" customFormat="1" ht="20.100000000000001" customHeight="1" x14ac:dyDescent="0.25">
      <c r="B780" s="365"/>
      <c r="C780" s="366"/>
      <c r="D780" s="70" t="s">
        <v>459</v>
      </c>
      <c r="E780" s="277" t="s">
        <v>14</v>
      </c>
      <c r="F780" s="276">
        <v>17.84</v>
      </c>
      <c r="G780" s="276">
        <v>1.2</v>
      </c>
      <c r="H780" s="197">
        <f>G780*F780</f>
        <v>21.407999999999998</v>
      </c>
    </row>
    <row r="781" spans="2:8" s="102" customFormat="1" ht="20.100000000000001" customHeight="1" x14ac:dyDescent="0.25">
      <c r="B781" s="367"/>
      <c r="C781" s="368"/>
      <c r="D781" s="70" t="s">
        <v>23</v>
      </c>
      <c r="E781" s="277" t="s">
        <v>14</v>
      </c>
      <c r="F781" s="276">
        <v>0.8</v>
      </c>
      <c r="G781" s="276">
        <v>1.2</v>
      </c>
      <c r="H781" s="197">
        <f>G781*F781*-1</f>
        <v>-0.96</v>
      </c>
    </row>
    <row r="782" spans="2:8" s="102" customFormat="1" ht="20.100000000000001" customHeight="1" x14ac:dyDescent="0.25">
      <c r="B782" s="316"/>
      <c r="C782" s="142"/>
      <c r="D782" s="70" t="s">
        <v>187</v>
      </c>
      <c r="E782" s="277" t="s">
        <v>14</v>
      </c>
      <c r="F782" s="276">
        <v>30.54</v>
      </c>
      <c r="G782" s="276">
        <v>1.2</v>
      </c>
      <c r="H782" s="197">
        <f>G782*F782</f>
        <v>36.647999999999996</v>
      </c>
    </row>
    <row r="783" spans="2:8" s="102" customFormat="1" ht="20.100000000000001" customHeight="1" x14ac:dyDescent="0.25">
      <c r="B783" s="316"/>
      <c r="C783" s="142"/>
      <c r="D783" s="70" t="s">
        <v>30</v>
      </c>
      <c r="E783" s="277" t="s">
        <v>14</v>
      </c>
      <c r="F783" s="276">
        <v>0.9</v>
      </c>
      <c r="G783" s="276">
        <v>1.2</v>
      </c>
      <c r="H783" s="197">
        <f>G783*F783*-3</f>
        <v>-3.24</v>
      </c>
    </row>
    <row r="784" spans="2:8" s="102" customFormat="1" ht="20.100000000000001" customHeight="1" x14ac:dyDescent="0.25">
      <c r="B784" s="316"/>
      <c r="C784" s="142"/>
      <c r="D784" s="70" t="s">
        <v>460</v>
      </c>
      <c r="E784" s="277" t="s">
        <v>14</v>
      </c>
      <c r="F784" s="276">
        <v>20.366</v>
      </c>
      <c r="G784" s="276">
        <v>1.2</v>
      </c>
      <c r="H784" s="197">
        <f>G784*F784</f>
        <v>24.4392</v>
      </c>
    </row>
    <row r="785" spans="1:8" s="102" customFormat="1" ht="20.100000000000001" customHeight="1" x14ac:dyDescent="0.25">
      <c r="B785" s="316"/>
      <c r="C785" s="142"/>
      <c r="D785" s="70" t="s">
        <v>23</v>
      </c>
      <c r="E785" s="277" t="s">
        <v>14</v>
      </c>
      <c r="F785" s="276">
        <v>0.8</v>
      </c>
      <c r="G785" s="276">
        <v>1.2</v>
      </c>
      <c r="H785" s="197">
        <f>G785*F785*-1</f>
        <v>-0.96</v>
      </c>
    </row>
    <row r="786" spans="1:8" s="102" customFormat="1" ht="20.100000000000001" customHeight="1" x14ac:dyDescent="0.25">
      <c r="B786" s="316"/>
      <c r="C786" s="142"/>
      <c r="D786" s="70" t="s">
        <v>172</v>
      </c>
      <c r="E786" s="277" t="s">
        <v>14</v>
      </c>
      <c r="F786" s="276">
        <f>5.55+5.55+4+4</f>
        <v>19.100000000000001</v>
      </c>
      <c r="G786" s="276">
        <v>1.2</v>
      </c>
      <c r="H786" s="197">
        <f>G786*F786</f>
        <v>22.92</v>
      </c>
    </row>
    <row r="787" spans="1:8" s="102" customFormat="1" ht="20.100000000000001" customHeight="1" x14ac:dyDescent="0.25">
      <c r="B787" s="316"/>
      <c r="C787" s="142"/>
      <c r="D787" s="70" t="s">
        <v>23</v>
      </c>
      <c r="E787" s="277" t="s">
        <v>14</v>
      </c>
      <c r="F787" s="276">
        <v>0.8</v>
      </c>
      <c r="G787" s="276">
        <v>1.2</v>
      </c>
      <c r="H787" s="197">
        <f>G787*F787*-1</f>
        <v>-0.96</v>
      </c>
    </row>
    <row r="788" spans="1:8" s="102" customFormat="1" ht="20.100000000000001" customHeight="1" x14ac:dyDescent="0.25">
      <c r="A788" s="71"/>
      <c r="B788" s="198" t="s">
        <v>461</v>
      </c>
      <c r="C788" s="108">
        <v>200101</v>
      </c>
      <c r="D788" s="75" t="s">
        <v>462</v>
      </c>
      <c r="E788" s="107" t="s">
        <v>14</v>
      </c>
      <c r="F788" s="304" t="s">
        <v>15</v>
      </c>
      <c r="G788" s="304" t="s">
        <v>16</v>
      </c>
      <c r="H788" s="199">
        <f>SUM(H789:H795)</f>
        <v>33.062240000000003</v>
      </c>
    </row>
    <row r="789" spans="1:8" s="102" customFormat="1" ht="20.100000000000001" customHeight="1" x14ac:dyDescent="0.25">
      <c r="B789" s="316"/>
      <c r="C789" s="142"/>
      <c r="D789" s="70" t="s">
        <v>387</v>
      </c>
      <c r="E789" s="277" t="s">
        <v>14</v>
      </c>
      <c r="F789" s="303">
        <v>2.2999999999999998</v>
      </c>
      <c r="G789" s="303">
        <v>1.5</v>
      </c>
      <c r="H789" s="197">
        <f>G789*F789+(1.63*0.09)</f>
        <v>3.5966999999999998</v>
      </c>
    </row>
    <row r="790" spans="1:8" s="102" customFormat="1" ht="20.100000000000001" customHeight="1" x14ac:dyDescent="0.25">
      <c r="B790" s="316"/>
      <c r="C790" s="142"/>
      <c r="D790" s="70" t="s">
        <v>388</v>
      </c>
      <c r="E790" s="277" t="s">
        <v>14</v>
      </c>
      <c r="F790" s="303">
        <v>0.15</v>
      </c>
      <c r="G790" s="303">
        <v>0.4</v>
      </c>
      <c r="H790" s="197">
        <f>-1*G790*F790</f>
        <v>-0.06</v>
      </c>
    </row>
    <row r="791" spans="1:8" s="102" customFormat="1" ht="20.100000000000001" customHeight="1" x14ac:dyDescent="0.25">
      <c r="B791" s="316"/>
      <c r="C791" s="142"/>
      <c r="D791" s="70" t="s">
        <v>389</v>
      </c>
      <c r="E791" s="277" t="s">
        <v>14</v>
      </c>
      <c r="F791" s="303">
        <v>2.2999999999999998</v>
      </c>
      <c r="G791" s="303">
        <v>1.5</v>
      </c>
      <c r="H791" s="197">
        <f>G791*F791+(1.63*0.09)</f>
        <v>3.5966999999999998</v>
      </c>
    </row>
    <row r="792" spans="1:8" s="102" customFormat="1" ht="20.100000000000001" customHeight="1" x14ac:dyDescent="0.25">
      <c r="B792" s="316"/>
      <c r="C792" s="142"/>
      <c r="D792" s="70" t="s">
        <v>388</v>
      </c>
      <c r="E792" s="277" t="s">
        <v>14</v>
      </c>
      <c r="F792" s="303">
        <v>0.15</v>
      </c>
      <c r="G792" s="303">
        <v>0.4</v>
      </c>
      <c r="H792" s="197">
        <f>-1*G792*F792</f>
        <v>-0.06</v>
      </c>
    </row>
    <row r="793" spans="1:8" s="102" customFormat="1" ht="20.100000000000001" customHeight="1" x14ac:dyDescent="0.25">
      <c r="B793" s="316"/>
      <c r="C793" s="142"/>
      <c r="D793" s="70" t="s">
        <v>390</v>
      </c>
      <c r="E793" s="277" t="s">
        <v>14</v>
      </c>
      <c r="F793" s="303">
        <v>4.66</v>
      </c>
      <c r="G793" s="303">
        <v>3</v>
      </c>
      <c r="H793" s="197">
        <f>G793*F793</f>
        <v>13.98</v>
      </c>
    </row>
    <row r="794" spans="1:8" s="102" customFormat="1" ht="20.100000000000001" customHeight="1" x14ac:dyDescent="0.25">
      <c r="B794" s="316"/>
      <c r="C794" s="142"/>
      <c r="D794" s="70" t="s">
        <v>398</v>
      </c>
      <c r="E794" s="277" t="s">
        <v>14</v>
      </c>
      <c r="F794" s="424">
        <f>2.3*1.2+(0.58*1.1)+(1.25*1.1)+(1.26*0.017)+(1.1*1.1)</f>
        <v>6.0044199999999996</v>
      </c>
      <c r="G794" s="424"/>
      <c r="H794" s="220">
        <f>F794</f>
        <v>6.0044199999999996</v>
      </c>
    </row>
    <row r="795" spans="1:8" s="102" customFormat="1" ht="20.100000000000001" customHeight="1" x14ac:dyDescent="0.25">
      <c r="B795" s="316"/>
      <c r="C795" s="142"/>
      <c r="D795" s="70" t="s">
        <v>399</v>
      </c>
      <c r="E795" s="277" t="s">
        <v>14</v>
      </c>
      <c r="F795" s="424">
        <f>2.3*1.2+(0.58*1.1)+(1.25*1.1)+(1.26*0.017)+(1.1*1.1)</f>
        <v>6.0044199999999996</v>
      </c>
      <c r="G795" s="424"/>
      <c r="H795" s="220">
        <f>F795</f>
        <v>6.0044199999999996</v>
      </c>
    </row>
    <row r="796" spans="1:8" s="71" customFormat="1" ht="20.100000000000001" customHeight="1" x14ac:dyDescent="0.25">
      <c r="B796" s="198" t="s">
        <v>463</v>
      </c>
      <c r="C796" s="108">
        <v>200201</v>
      </c>
      <c r="D796" s="75" t="s">
        <v>464</v>
      </c>
      <c r="E796" s="107" t="s">
        <v>14</v>
      </c>
      <c r="F796" s="304" t="s">
        <v>15</v>
      </c>
      <c r="G796" s="304" t="s">
        <v>16</v>
      </c>
      <c r="H796" s="199">
        <f>SUM(H797:H799)</f>
        <v>25.98884</v>
      </c>
    </row>
    <row r="797" spans="1:8" s="102" customFormat="1" ht="20.100000000000001" customHeight="1" x14ac:dyDescent="0.25">
      <c r="B797" s="316"/>
      <c r="C797" s="142"/>
      <c r="D797" s="70" t="s">
        <v>390</v>
      </c>
      <c r="E797" s="277" t="s">
        <v>14</v>
      </c>
      <c r="F797" s="303">
        <v>4.66</v>
      </c>
      <c r="G797" s="303">
        <v>3</v>
      </c>
      <c r="H797" s="197">
        <f>G797*F797</f>
        <v>13.98</v>
      </c>
    </row>
    <row r="798" spans="1:8" s="102" customFormat="1" ht="20.100000000000001" customHeight="1" x14ac:dyDescent="0.25">
      <c r="B798" s="316"/>
      <c r="C798" s="142"/>
      <c r="D798" s="70" t="s">
        <v>398</v>
      </c>
      <c r="E798" s="277" t="s">
        <v>14</v>
      </c>
      <c r="F798" s="404">
        <f>2.3*1.2+(0.58*1.1)+(1.25*1.1)+(1.26*0.017)+(1.1*1.1)</f>
        <v>6.0044199999999996</v>
      </c>
      <c r="G798" s="405"/>
      <c r="H798" s="220">
        <f>F798</f>
        <v>6.0044199999999996</v>
      </c>
    </row>
    <row r="799" spans="1:8" s="102" customFormat="1" ht="20.100000000000001" customHeight="1" x14ac:dyDescent="0.25">
      <c r="B799" s="316"/>
      <c r="C799" s="142"/>
      <c r="D799" s="70" t="s">
        <v>399</v>
      </c>
      <c r="E799" s="277" t="s">
        <v>14</v>
      </c>
      <c r="F799" s="404">
        <f>2.3*1.2+(0.58*1.1)+(1.25*1.1)+(1.26*0.017)+(1.1*1.1)</f>
        <v>6.0044199999999996</v>
      </c>
      <c r="G799" s="405"/>
      <c r="H799" s="220">
        <f>F799</f>
        <v>6.0044199999999996</v>
      </c>
    </row>
    <row r="800" spans="1:8" s="102" customFormat="1" ht="20.100000000000001" customHeight="1" x14ac:dyDescent="0.25">
      <c r="B800" s="316"/>
      <c r="C800" s="142"/>
      <c r="D800" s="206"/>
      <c r="E800" s="320"/>
      <c r="F800" s="344"/>
      <c r="G800" s="344"/>
      <c r="H800" s="345"/>
    </row>
    <row r="801" spans="1:8" s="102" customFormat="1" ht="20.100000000000001" customHeight="1" x14ac:dyDescent="0.25">
      <c r="B801" s="421" t="s">
        <v>465</v>
      </c>
      <c r="C801" s="422"/>
      <c r="D801" s="422"/>
      <c r="E801" s="422"/>
      <c r="F801" s="422"/>
      <c r="G801" s="422"/>
      <c r="H801" s="423"/>
    </row>
    <row r="802" spans="1:8" s="102" customFormat="1" ht="20.100000000000001" customHeight="1" x14ac:dyDescent="0.25">
      <c r="B802" s="208">
        <v>16</v>
      </c>
      <c r="C802" s="209">
        <v>210000</v>
      </c>
      <c r="D802" s="436" t="s">
        <v>466</v>
      </c>
      <c r="E802" s="422"/>
      <c r="F802" s="422"/>
      <c r="G802" s="437"/>
      <c r="H802" s="210" t="s">
        <v>227</v>
      </c>
    </row>
    <row r="803" spans="1:8" s="71" customFormat="1" ht="20.100000000000001" customHeight="1" x14ac:dyDescent="0.25">
      <c r="A803" s="102"/>
      <c r="B803" s="198" t="s">
        <v>467</v>
      </c>
      <c r="C803" s="108">
        <v>210499</v>
      </c>
      <c r="D803" s="75" t="s">
        <v>468</v>
      </c>
      <c r="E803" s="304" t="s">
        <v>14</v>
      </c>
      <c r="F803" s="304" t="s">
        <v>15</v>
      </c>
      <c r="G803" s="304" t="s">
        <v>100</v>
      </c>
      <c r="H803" s="199">
        <f>SUM(H804:H806)</f>
        <v>101.91999999999999</v>
      </c>
    </row>
    <row r="804" spans="1:8" s="102" customFormat="1" ht="20.100000000000001" customHeight="1" x14ac:dyDescent="0.25">
      <c r="B804" s="316"/>
      <c r="C804" s="142"/>
      <c r="D804" s="70" t="s">
        <v>117</v>
      </c>
      <c r="E804" s="277" t="s">
        <v>14</v>
      </c>
      <c r="F804" s="276">
        <v>6</v>
      </c>
      <c r="G804" s="276">
        <v>5.99</v>
      </c>
      <c r="H804" s="197">
        <f>G804*F804</f>
        <v>35.94</v>
      </c>
    </row>
    <row r="805" spans="1:8" s="102" customFormat="1" ht="20.100000000000001" customHeight="1" x14ac:dyDescent="0.25">
      <c r="B805" s="316"/>
      <c r="C805" s="142"/>
      <c r="D805" s="70" t="s">
        <v>128</v>
      </c>
      <c r="E805" s="277" t="s">
        <v>14</v>
      </c>
      <c r="F805" s="276">
        <v>6</v>
      </c>
      <c r="G805" s="276">
        <v>9.5299999999999994</v>
      </c>
      <c r="H805" s="197">
        <f>G805*F805</f>
        <v>57.179999999999993</v>
      </c>
    </row>
    <row r="806" spans="1:8" s="102" customFormat="1" ht="20.100000000000001" customHeight="1" x14ac:dyDescent="0.25">
      <c r="B806" s="316"/>
      <c r="C806" s="142"/>
      <c r="D806" s="70" t="s">
        <v>129</v>
      </c>
      <c r="E806" s="277" t="s">
        <v>14</v>
      </c>
      <c r="F806" s="276">
        <v>2.2000000000000002</v>
      </c>
      <c r="G806" s="276">
        <v>4</v>
      </c>
      <c r="H806" s="197">
        <f>G806*F806</f>
        <v>8.8000000000000007</v>
      </c>
    </row>
    <row r="807" spans="1:8" s="71" customFormat="1" ht="20.100000000000001" customHeight="1" x14ac:dyDescent="0.25">
      <c r="B807" s="198" t="s">
        <v>469</v>
      </c>
      <c r="C807" s="108">
        <v>210505</v>
      </c>
      <c r="D807" s="75" t="s">
        <v>470</v>
      </c>
      <c r="E807" s="304" t="s">
        <v>287</v>
      </c>
      <c r="F807" s="383" t="s">
        <v>15</v>
      </c>
      <c r="G807" s="383"/>
      <c r="H807" s="199">
        <f>SUM(H808:H810)</f>
        <v>72.14</v>
      </c>
    </row>
    <row r="808" spans="1:8" s="102" customFormat="1" ht="20.100000000000001" customHeight="1" x14ac:dyDescent="0.25">
      <c r="B808" s="316"/>
      <c r="C808" s="142"/>
      <c r="D808" s="70" t="s">
        <v>117</v>
      </c>
      <c r="E808" s="277" t="s">
        <v>287</v>
      </c>
      <c r="F808" s="425">
        <v>25.68</v>
      </c>
      <c r="G808" s="425"/>
      <c r="H808" s="197">
        <f>F808</f>
        <v>25.68</v>
      </c>
    </row>
    <row r="809" spans="1:8" s="102" customFormat="1" ht="20.100000000000001" customHeight="1" x14ac:dyDescent="0.25">
      <c r="B809" s="316"/>
      <c r="C809" s="142"/>
      <c r="D809" s="70" t="s">
        <v>128</v>
      </c>
      <c r="E809" s="277" t="s">
        <v>287</v>
      </c>
      <c r="F809" s="425">
        <v>33.06</v>
      </c>
      <c r="G809" s="425"/>
      <c r="H809" s="197">
        <f>F809</f>
        <v>33.06</v>
      </c>
    </row>
    <row r="810" spans="1:8" s="102" customFormat="1" ht="20.100000000000001" customHeight="1" x14ac:dyDescent="0.25">
      <c r="B810" s="316"/>
      <c r="C810" s="142"/>
      <c r="D810" s="70" t="s">
        <v>129</v>
      </c>
      <c r="E810" s="277" t="s">
        <v>287</v>
      </c>
      <c r="F810" s="425">
        <v>13.4</v>
      </c>
      <c r="G810" s="425"/>
      <c r="H810" s="197">
        <f>F810</f>
        <v>13.4</v>
      </c>
    </row>
    <row r="811" spans="1:8" s="102" customFormat="1" ht="20.100000000000001" customHeight="1" x14ac:dyDescent="0.25">
      <c r="B811" s="316"/>
      <c r="C811" s="142"/>
      <c r="D811" s="70" t="s">
        <v>132</v>
      </c>
      <c r="E811" s="277" t="s">
        <v>287</v>
      </c>
      <c r="F811" s="425">
        <v>32.159999999999997</v>
      </c>
      <c r="G811" s="425"/>
      <c r="H811" s="197">
        <f t="shared" ref="H811:H812" si="21">F811</f>
        <v>32.159999999999997</v>
      </c>
    </row>
    <row r="812" spans="1:8" s="102" customFormat="1" ht="20.100000000000001" customHeight="1" x14ac:dyDescent="0.25">
      <c r="B812" s="316"/>
      <c r="C812" s="142"/>
      <c r="D812" s="70" t="s">
        <v>133</v>
      </c>
      <c r="E812" s="277" t="s">
        <v>287</v>
      </c>
      <c r="F812" s="425">
        <v>17.3</v>
      </c>
      <c r="G812" s="425"/>
      <c r="H812" s="197">
        <f t="shared" si="21"/>
        <v>17.3</v>
      </c>
    </row>
    <row r="813" spans="1:8" s="71" customFormat="1" ht="20.100000000000001" customHeight="1" x14ac:dyDescent="0.25">
      <c r="B813" s="198" t="s">
        <v>471</v>
      </c>
      <c r="C813" s="108">
        <v>210460</v>
      </c>
      <c r="D813" s="75" t="s">
        <v>472</v>
      </c>
      <c r="E813" s="304" t="s">
        <v>14</v>
      </c>
      <c r="F813" s="304" t="s">
        <v>15</v>
      </c>
      <c r="G813" s="304" t="s">
        <v>100</v>
      </c>
      <c r="H813" s="199">
        <f>SUM(H814:H815)</f>
        <v>6.3419999999999996</v>
      </c>
    </row>
    <row r="814" spans="1:8" s="102" customFormat="1" ht="20.100000000000001" customHeight="1" x14ac:dyDescent="0.25">
      <c r="B814" s="316"/>
      <c r="C814" s="142"/>
      <c r="D814" s="70" t="s">
        <v>134</v>
      </c>
      <c r="E814" s="277" t="s">
        <v>14</v>
      </c>
      <c r="F814" s="276">
        <v>1.4</v>
      </c>
      <c r="G814" s="276">
        <v>1.8</v>
      </c>
      <c r="H814" s="197">
        <f t="shared" ref="H814:H815" si="22">G814*F814</f>
        <v>2.52</v>
      </c>
    </row>
    <row r="815" spans="1:8" s="102" customFormat="1" ht="20.100000000000001" customHeight="1" x14ac:dyDescent="0.25">
      <c r="B815" s="316"/>
      <c r="C815" s="142"/>
      <c r="D815" s="70" t="s">
        <v>135</v>
      </c>
      <c r="E815" s="277" t="s">
        <v>14</v>
      </c>
      <c r="F815" s="276">
        <v>1.4</v>
      </c>
      <c r="G815" s="276">
        <v>2.73</v>
      </c>
      <c r="H815" s="197">
        <f t="shared" si="22"/>
        <v>3.8219999999999996</v>
      </c>
    </row>
    <row r="816" spans="1:8" s="71" customFormat="1" ht="20.100000000000001" customHeight="1" x14ac:dyDescent="0.25">
      <c r="B816" s="198" t="s">
        <v>473</v>
      </c>
      <c r="C816" s="108">
        <v>210498</v>
      </c>
      <c r="D816" s="75" t="s">
        <v>474</v>
      </c>
      <c r="E816" s="304" t="s">
        <v>14</v>
      </c>
      <c r="F816" s="304" t="s">
        <v>15</v>
      </c>
      <c r="G816" s="304" t="s">
        <v>100</v>
      </c>
      <c r="H816" s="199">
        <f>SUM(H817:H818)</f>
        <v>74.801999999999992</v>
      </c>
    </row>
    <row r="817" spans="2:8" s="102" customFormat="1" ht="20.100000000000001" customHeight="1" x14ac:dyDescent="0.25">
      <c r="B817" s="316"/>
      <c r="C817" s="142"/>
      <c r="D817" s="70" t="s">
        <v>132</v>
      </c>
      <c r="E817" s="277" t="s">
        <v>14</v>
      </c>
      <c r="F817" s="276">
        <v>12.65</v>
      </c>
      <c r="G817" s="276">
        <v>4.68</v>
      </c>
      <c r="H817" s="197">
        <f>G817*F817</f>
        <v>59.201999999999998</v>
      </c>
    </row>
    <row r="818" spans="2:8" s="102" customFormat="1" ht="20.100000000000001" customHeight="1" x14ac:dyDescent="0.25">
      <c r="B818" s="316"/>
      <c r="C818" s="142"/>
      <c r="D818" s="70" t="s">
        <v>133</v>
      </c>
      <c r="E818" s="277" t="s">
        <v>14</v>
      </c>
      <c r="F818" s="276">
        <v>3.9</v>
      </c>
      <c r="G818" s="276">
        <v>4</v>
      </c>
      <c r="H818" s="197">
        <f>G818*F818</f>
        <v>15.6</v>
      </c>
    </row>
    <row r="819" spans="2:8" s="102" customFormat="1" ht="20.100000000000001" customHeight="1" x14ac:dyDescent="0.25">
      <c r="B819" s="316"/>
      <c r="C819" s="142"/>
      <c r="D819" s="206"/>
      <c r="E819" s="320"/>
      <c r="F819" s="314"/>
      <c r="G819" s="314"/>
      <c r="H819" s="213"/>
    </row>
    <row r="820" spans="2:8" s="102" customFormat="1" ht="20.100000000000001" customHeight="1" x14ac:dyDescent="0.25">
      <c r="B820" s="409" t="s">
        <v>475</v>
      </c>
      <c r="C820" s="391"/>
      <c r="D820" s="391"/>
      <c r="E820" s="391"/>
      <c r="F820" s="391"/>
      <c r="G820" s="391"/>
      <c r="H820" s="410"/>
    </row>
    <row r="821" spans="2:8" s="102" customFormat="1" ht="20.100000000000001" customHeight="1" x14ac:dyDescent="0.25">
      <c r="B821" s="319">
        <v>17</v>
      </c>
      <c r="C821" s="115">
        <v>220000</v>
      </c>
      <c r="D821" s="390" t="s">
        <v>476</v>
      </c>
      <c r="E821" s="391"/>
      <c r="F821" s="391"/>
      <c r="G821" s="392"/>
      <c r="H821" s="201" t="s">
        <v>227</v>
      </c>
    </row>
    <row r="822" spans="2:8" s="102" customFormat="1" ht="20.100000000000001" customHeight="1" x14ac:dyDescent="0.25">
      <c r="B822" s="198" t="s">
        <v>477</v>
      </c>
      <c r="C822" s="108">
        <v>220102</v>
      </c>
      <c r="D822" s="78" t="s">
        <v>478</v>
      </c>
      <c r="E822" s="107" t="s">
        <v>14</v>
      </c>
      <c r="F822" s="304" t="s">
        <v>15</v>
      </c>
      <c r="G822" s="304" t="s">
        <v>100</v>
      </c>
      <c r="H822" s="199">
        <f>SUM(H823:H837)</f>
        <v>456.00919999999996</v>
      </c>
    </row>
    <row r="823" spans="2:8" s="102" customFormat="1" ht="20.100000000000001" customHeight="1" x14ac:dyDescent="0.25">
      <c r="B823" s="363"/>
      <c r="C823" s="364"/>
      <c r="D823" s="70" t="s">
        <v>101</v>
      </c>
      <c r="E823" s="277" t="s">
        <v>14</v>
      </c>
      <c r="F823" s="28">
        <v>19.54</v>
      </c>
      <c r="G823" s="276">
        <f>5.26+1.6</f>
        <v>6.8599999999999994</v>
      </c>
      <c r="H823" s="197">
        <f>G823*F823</f>
        <v>134.0444</v>
      </c>
    </row>
    <row r="824" spans="2:8" s="102" customFormat="1" ht="20.100000000000001" customHeight="1" x14ac:dyDescent="0.25">
      <c r="B824" s="365"/>
      <c r="C824" s="366"/>
      <c r="D824" s="70" t="s">
        <v>102</v>
      </c>
      <c r="E824" s="277" t="s">
        <v>14</v>
      </c>
      <c r="F824" s="276">
        <v>5.2</v>
      </c>
      <c r="G824" s="276">
        <v>0.62</v>
      </c>
      <c r="H824" s="197">
        <f t="shared" ref="H824" si="23">G824*F824</f>
        <v>3.2240000000000002</v>
      </c>
    </row>
    <row r="825" spans="2:8" s="102" customFormat="1" ht="20.100000000000001" customHeight="1" x14ac:dyDescent="0.25">
      <c r="B825" s="365"/>
      <c r="C825" s="366"/>
      <c r="D825" s="70" t="s">
        <v>103</v>
      </c>
      <c r="E825" s="277" t="s">
        <v>14</v>
      </c>
      <c r="F825" s="276">
        <v>9.8699999999999992</v>
      </c>
      <c r="G825" s="276">
        <v>1.49</v>
      </c>
      <c r="H825" s="197">
        <f>G825*F825+ (0.49*4.58)</f>
        <v>16.950499999999998</v>
      </c>
    </row>
    <row r="826" spans="2:8" s="102" customFormat="1" ht="20.100000000000001" customHeight="1" x14ac:dyDescent="0.25">
      <c r="B826" s="365"/>
      <c r="C826" s="366"/>
      <c r="D826" s="70" t="s">
        <v>104</v>
      </c>
      <c r="E826" s="277" t="s">
        <v>14</v>
      </c>
      <c r="F826" s="276">
        <v>1</v>
      </c>
      <c r="G826" s="276">
        <v>22.350999999999999</v>
      </c>
      <c r="H826" s="197">
        <f t="shared" ref="H826:H830" si="24">G826*F826</f>
        <v>22.350999999999999</v>
      </c>
    </row>
    <row r="827" spans="2:8" s="102" customFormat="1" ht="20.100000000000001" customHeight="1" x14ac:dyDescent="0.25">
      <c r="B827" s="365"/>
      <c r="C827" s="366"/>
      <c r="D827" s="70" t="s">
        <v>105</v>
      </c>
      <c r="E827" s="277" t="s">
        <v>14</v>
      </c>
      <c r="F827" s="276">
        <v>7.3</v>
      </c>
      <c r="G827" s="276">
        <v>16.57</v>
      </c>
      <c r="H827" s="197">
        <f t="shared" si="24"/>
        <v>120.961</v>
      </c>
    </row>
    <row r="828" spans="2:8" s="102" customFormat="1" ht="20.100000000000001" customHeight="1" x14ac:dyDescent="0.25">
      <c r="B828" s="365"/>
      <c r="C828" s="366"/>
      <c r="D828" s="70" t="s">
        <v>106</v>
      </c>
      <c r="E828" s="277" t="s">
        <v>14</v>
      </c>
      <c r="F828" s="276">
        <v>36.546999999999997</v>
      </c>
      <c r="G828" s="276">
        <v>0.9</v>
      </c>
      <c r="H828" s="197">
        <f t="shared" si="24"/>
        <v>32.892299999999999</v>
      </c>
    </row>
    <row r="829" spans="2:8" s="102" customFormat="1" ht="20.100000000000001" customHeight="1" x14ac:dyDescent="0.25">
      <c r="B829" s="365"/>
      <c r="C829" s="366"/>
      <c r="D829" s="70" t="s">
        <v>107</v>
      </c>
      <c r="E829" s="277" t="s">
        <v>14</v>
      </c>
      <c r="F829" s="276">
        <v>25.64</v>
      </c>
      <c r="G829" s="276">
        <v>1</v>
      </c>
      <c r="H829" s="197">
        <f t="shared" si="24"/>
        <v>25.64</v>
      </c>
    </row>
    <row r="830" spans="2:8" s="102" customFormat="1" ht="20.100000000000001" customHeight="1" x14ac:dyDescent="0.25">
      <c r="B830" s="365"/>
      <c r="C830" s="366"/>
      <c r="D830" s="70" t="s">
        <v>108</v>
      </c>
      <c r="E830" s="277" t="s">
        <v>14</v>
      </c>
      <c r="F830" s="276">
        <v>13.54</v>
      </c>
      <c r="G830" s="276">
        <v>1</v>
      </c>
      <c r="H830" s="197">
        <f t="shared" si="24"/>
        <v>13.54</v>
      </c>
    </row>
    <row r="831" spans="2:8" s="102" customFormat="1" ht="20.100000000000001" customHeight="1" x14ac:dyDescent="0.25">
      <c r="B831" s="365"/>
      <c r="C831" s="366"/>
      <c r="D831" s="70" t="s">
        <v>109</v>
      </c>
      <c r="E831" s="277" t="s">
        <v>14</v>
      </c>
      <c r="F831" s="276">
        <v>7.48</v>
      </c>
      <c r="G831" s="276">
        <v>1</v>
      </c>
      <c r="H831" s="197">
        <f>G831*F831+(0.77*0.6*2)</f>
        <v>8.4039999999999999</v>
      </c>
    </row>
    <row r="832" spans="2:8" s="102" customFormat="1" ht="20.100000000000001" customHeight="1" x14ac:dyDescent="0.25">
      <c r="B832" s="365"/>
      <c r="C832" s="366"/>
      <c r="D832" s="70" t="s">
        <v>110</v>
      </c>
      <c r="E832" s="277" t="s">
        <v>14</v>
      </c>
      <c r="F832" s="276">
        <v>19.001000000000001</v>
      </c>
      <c r="G832" s="276">
        <v>1</v>
      </c>
      <c r="H832" s="197">
        <f t="shared" ref="H832:H835" si="25">G832*F832</f>
        <v>19.001000000000001</v>
      </c>
    </row>
    <row r="833" spans="2:8" s="102" customFormat="1" ht="20.100000000000001" customHeight="1" x14ac:dyDescent="0.25">
      <c r="B833" s="365"/>
      <c r="C833" s="366"/>
      <c r="D833" s="70" t="s">
        <v>111</v>
      </c>
      <c r="E833" s="277" t="s">
        <v>14</v>
      </c>
      <c r="F833" s="276">
        <v>6.48</v>
      </c>
      <c r="G833" s="276">
        <v>1</v>
      </c>
      <c r="H833" s="197">
        <f t="shared" si="25"/>
        <v>6.48</v>
      </c>
    </row>
    <row r="834" spans="2:8" s="102" customFormat="1" ht="20.100000000000001" customHeight="1" x14ac:dyDescent="0.25">
      <c r="B834" s="365"/>
      <c r="C834" s="366"/>
      <c r="D834" s="70" t="s">
        <v>112</v>
      </c>
      <c r="E834" s="277" t="s">
        <v>14</v>
      </c>
      <c r="F834" s="276">
        <v>18.420000000000002</v>
      </c>
      <c r="G834" s="276">
        <v>1</v>
      </c>
      <c r="H834" s="197">
        <f t="shared" si="25"/>
        <v>18.420000000000002</v>
      </c>
    </row>
    <row r="835" spans="2:8" s="102" customFormat="1" ht="20.100000000000001" customHeight="1" x14ac:dyDescent="0.25">
      <c r="B835" s="365"/>
      <c r="C835" s="366"/>
      <c r="D835" s="70" t="s">
        <v>479</v>
      </c>
      <c r="E835" s="277" t="s">
        <v>14</v>
      </c>
      <c r="F835" s="276">
        <v>18.54</v>
      </c>
      <c r="G835" s="276">
        <v>2.15</v>
      </c>
      <c r="H835" s="197">
        <f t="shared" si="25"/>
        <v>39.860999999999997</v>
      </c>
    </row>
    <row r="836" spans="2:8" s="102" customFormat="1" ht="20.100000000000001" customHeight="1" x14ac:dyDescent="0.25">
      <c r="B836" s="365"/>
      <c r="C836" s="366"/>
      <c r="D836" s="70" t="s">
        <v>480</v>
      </c>
      <c r="E836" s="277" t="s">
        <v>14</v>
      </c>
      <c r="F836" s="276">
        <v>1.7</v>
      </c>
      <c r="G836" s="276">
        <v>1.8</v>
      </c>
      <c r="H836" s="197">
        <f>G836*F836*-1</f>
        <v>-3.06</v>
      </c>
    </row>
    <row r="837" spans="2:8" s="102" customFormat="1" ht="20.100000000000001" customHeight="1" x14ac:dyDescent="0.25">
      <c r="B837" s="367"/>
      <c r="C837" s="368"/>
      <c r="D837" s="70" t="s">
        <v>481</v>
      </c>
      <c r="E837" s="277" t="s">
        <v>14</v>
      </c>
      <c r="F837" s="276">
        <v>1.5</v>
      </c>
      <c r="G837" s="276">
        <v>1.8</v>
      </c>
      <c r="H837" s="197">
        <f>G837*F837*-1</f>
        <v>-2.7</v>
      </c>
    </row>
    <row r="838" spans="2:8" ht="35.25" customHeight="1" x14ac:dyDescent="0.25">
      <c r="B838" s="198" t="s">
        <v>482</v>
      </c>
      <c r="C838" s="108">
        <v>220311</v>
      </c>
      <c r="D838" s="78" t="s">
        <v>483</v>
      </c>
      <c r="E838" s="107" t="s">
        <v>14</v>
      </c>
      <c r="F838" s="304" t="s">
        <v>15</v>
      </c>
      <c r="G838" s="304" t="s">
        <v>100</v>
      </c>
      <c r="H838" s="199">
        <f>SUM(H839:H848)</f>
        <v>153.27224000000001</v>
      </c>
    </row>
    <row r="839" spans="2:8" ht="20.100000000000001" customHeight="1" x14ac:dyDescent="0.25">
      <c r="B839" s="430"/>
      <c r="C839" s="431"/>
      <c r="D839" s="70" t="s">
        <v>117</v>
      </c>
      <c r="E839" s="277" t="s">
        <v>14</v>
      </c>
      <c r="F839" s="276">
        <v>6.5</v>
      </c>
      <c r="G839" s="276">
        <v>5.99</v>
      </c>
      <c r="H839" s="197">
        <f>G839*F839</f>
        <v>38.935000000000002</v>
      </c>
    </row>
    <row r="840" spans="2:8" ht="20.100000000000001" customHeight="1" x14ac:dyDescent="0.25">
      <c r="B840" s="432"/>
      <c r="C840" s="433"/>
      <c r="D840" s="70" t="s">
        <v>128</v>
      </c>
      <c r="E840" s="277" t="s">
        <v>14</v>
      </c>
      <c r="F840" s="276">
        <v>7</v>
      </c>
      <c r="G840" s="276">
        <v>9.5299999999999994</v>
      </c>
      <c r="H840" s="197">
        <f>G840*F840</f>
        <v>66.709999999999994</v>
      </c>
    </row>
    <row r="841" spans="2:8" s="102" customFormat="1" ht="20.100000000000001" customHeight="1" x14ac:dyDescent="0.25">
      <c r="B841" s="432"/>
      <c r="C841" s="433"/>
      <c r="D841" s="70" t="s">
        <v>129</v>
      </c>
      <c r="E841" s="277" t="s">
        <v>14</v>
      </c>
      <c r="F841" s="276">
        <v>2.2000000000000002</v>
      </c>
      <c r="G841" s="276">
        <v>4</v>
      </c>
      <c r="H841" s="197">
        <f>G841*F841</f>
        <v>8.8000000000000007</v>
      </c>
    </row>
    <row r="842" spans="2:8" s="102" customFormat="1" ht="20.100000000000001" customHeight="1" x14ac:dyDescent="0.25">
      <c r="B842" s="432"/>
      <c r="C842" s="433"/>
      <c r="D842" s="70" t="s">
        <v>116</v>
      </c>
      <c r="E842" s="277" t="s">
        <v>14</v>
      </c>
      <c r="F842" s="276">
        <v>4.25</v>
      </c>
      <c r="G842" s="276">
        <v>4</v>
      </c>
      <c r="H842" s="197">
        <f>G842*F842</f>
        <v>17</v>
      </c>
    </row>
    <row r="843" spans="2:8" s="102" customFormat="1" ht="20.100000000000001" customHeight="1" x14ac:dyDescent="0.25">
      <c r="B843" s="432"/>
      <c r="C843" s="433"/>
      <c r="D843" s="70" t="s">
        <v>387</v>
      </c>
      <c r="E843" s="277" t="s">
        <v>14</v>
      </c>
      <c r="F843" s="205">
        <v>3.21</v>
      </c>
      <c r="G843" s="205">
        <v>1.5</v>
      </c>
      <c r="H843" s="197">
        <f>G843*F843+(1.63*0.09)</f>
        <v>4.9616999999999996</v>
      </c>
    </row>
    <row r="844" spans="2:8" s="102" customFormat="1" ht="20.100000000000001" customHeight="1" x14ac:dyDescent="0.25">
      <c r="B844" s="432"/>
      <c r="C844" s="433"/>
      <c r="D844" s="70" t="s">
        <v>388</v>
      </c>
      <c r="E844" s="277" t="s">
        <v>14</v>
      </c>
      <c r="F844" s="205">
        <v>0.15</v>
      </c>
      <c r="G844" s="205">
        <v>0.4</v>
      </c>
      <c r="H844" s="197">
        <f>-1*G844*F844</f>
        <v>-0.06</v>
      </c>
    </row>
    <row r="845" spans="2:8" s="102" customFormat="1" ht="20.100000000000001" customHeight="1" x14ac:dyDescent="0.25">
      <c r="B845" s="432"/>
      <c r="C845" s="433"/>
      <c r="D845" s="70" t="s">
        <v>389</v>
      </c>
      <c r="E845" s="277" t="s">
        <v>14</v>
      </c>
      <c r="F845" s="205">
        <v>3.22</v>
      </c>
      <c r="G845" s="205">
        <v>1.5</v>
      </c>
      <c r="H845" s="197">
        <f>G845*F845+(1.63*0.09)</f>
        <v>4.9767000000000001</v>
      </c>
    </row>
    <row r="846" spans="2:8" s="102" customFormat="1" ht="20.100000000000001" customHeight="1" x14ac:dyDescent="0.25">
      <c r="B846" s="432"/>
      <c r="C846" s="433"/>
      <c r="D846" s="70" t="s">
        <v>388</v>
      </c>
      <c r="E846" s="277" t="s">
        <v>14</v>
      </c>
      <c r="F846" s="205">
        <v>0.15</v>
      </c>
      <c r="G846" s="205">
        <v>0.4</v>
      </c>
      <c r="H846" s="197">
        <f>-1*G846*F846</f>
        <v>-0.06</v>
      </c>
    </row>
    <row r="847" spans="2:8" s="102" customFormat="1" ht="20.100000000000001" customHeight="1" x14ac:dyDescent="0.25">
      <c r="B847" s="432"/>
      <c r="C847" s="433"/>
      <c r="D847" s="70" t="s">
        <v>398</v>
      </c>
      <c r="E847" s="277" t="s">
        <v>14</v>
      </c>
      <c r="F847" s="404">
        <f>2.3*1.2+(0.58*1.1)+(1.25*1.1)+(1.26*0.017)+(1.1*1.1)</f>
        <v>6.0044199999999996</v>
      </c>
      <c r="G847" s="405"/>
      <c r="H847" s="220">
        <f>F847</f>
        <v>6.0044199999999996</v>
      </c>
    </row>
    <row r="848" spans="2:8" s="102" customFormat="1" ht="20.100000000000001" customHeight="1" x14ac:dyDescent="0.25">
      <c r="B848" s="434"/>
      <c r="C848" s="435"/>
      <c r="D848" s="70" t="s">
        <v>399</v>
      </c>
      <c r="E848" s="277" t="s">
        <v>14</v>
      </c>
      <c r="F848" s="404">
        <f>2.3*1.2+(0.58*1.1)+(1.25*1.1)+(1.26*0.017)+(1.1*1.1)</f>
        <v>6.0044199999999996</v>
      </c>
      <c r="G848" s="405"/>
      <c r="H848" s="220">
        <f>F848</f>
        <v>6.0044199999999996</v>
      </c>
    </row>
    <row r="849" spans="2:8" s="71" customFormat="1" ht="18.75" customHeight="1" x14ac:dyDescent="0.25">
      <c r="B849" s="198" t="s">
        <v>484</v>
      </c>
      <c r="C849" s="108">
        <v>220312</v>
      </c>
      <c r="D849" s="78" t="s">
        <v>485</v>
      </c>
      <c r="E849" s="107" t="s">
        <v>287</v>
      </c>
      <c r="F849" s="383" t="s">
        <v>15</v>
      </c>
      <c r="G849" s="383"/>
      <c r="H849" s="199">
        <f>SUM(H850:H858)</f>
        <v>87.3</v>
      </c>
    </row>
    <row r="850" spans="2:8" s="102" customFormat="1" ht="20.100000000000001" customHeight="1" x14ac:dyDescent="0.25">
      <c r="B850" s="363"/>
      <c r="C850" s="418"/>
      <c r="D850" s="70" t="s">
        <v>117</v>
      </c>
      <c r="E850" s="277" t="s">
        <v>287</v>
      </c>
      <c r="F850" s="395">
        <v>26.55</v>
      </c>
      <c r="G850" s="406"/>
      <c r="H850" s="197">
        <f>F850</f>
        <v>26.55</v>
      </c>
    </row>
    <row r="851" spans="2:8" s="102" customFormat="1" ht="20.100000000000001" customHeight="1" x14ac:dyDescent="0.25">
      <c r="B851" s="365"/>
      <c r="C851" s="419"/>
      <c r="D851" s="70" t="s">
        <v>30</v>
      </c>
      <c r="E851" s="277" t="s">
        <v>287</v>
      </c>
      <c r="F851" s="395">
        <f>0.8*3</f>
        <v>2.4000000000000004</v>
      </c>
      <c r="G851" s="406"/>
      <c r="H851" s="197">
        <f>-1*F851</f>
        <v>-2.4000000000000004</v>
      </c>
    </row>
    <row r="852" spans="2:8" s="102" customFormat="1" ht="20.100000000000001" customHeight="1" x14ac:dyDescent="0.25">
      <c r="B852" s="365"/>
      <c r="C852" s="419"/>
      <c r="D852" s="70" t="s">
        <v>128</v>
      </c>
      <c r="E852" s="277" t="s">
        <v>287</v>
      </c>
      <c r="F852" s="395">
        <v>33.54</v>
      </c>
      <c r="G852" s="406"/>
      <c r="H852" s="197">
        <f>F852</f>
        <v>33.54</v>
      </c>
    </row>
    <row r="853" spans="2:8" s="102" customFormat="1" ht="20.100000000000001" customHeight="1" x14ac:dyDescent="0.25">
      <c r="B853" s="365"/>
      <c r="C853" s="419"/>
      <c r="D853" s="70" t="s">
        <v>23</v>
      </c>
      <c r="E853" s="277" t="s">
        <v>287</v>
      </c>
      <c r="F853" s="395">
        <v>0.8</v>
      </c>
      <c r="G853" s="406"/>
      <c r="H853" s="197">
        <f>-1*F853</f>
        <v>-0.8</v>
      </c>
    </row>
    <row r="854" spans="2:8" s="102" customFormat="1" ht="20.100000000000001" customHeight="1" x14ac:dyDescent="0.25">
      <c r="B854" s="365"/>
      <c r="C854" s="419"/>
      <c r="D854" s="70" t="s">
        <v>486</v>
      </c>
      <c r="E854" s="277" t="s">
        <v>287</v>
      </c>
      <c r="F854" s="395">
        <f>2</f>
        <v>2</v>
      </c>
      <c r="G854" s="406"/>
      <c r="H854" s="197">
        <f>-1*F854</f>
        <v>-2</v>
      </c>
    </row>
    <row r="855" spans="2:8" s="102" customFormat="1" ht="20.100000000000001" customHeight="1" x14ac:dyDescent="0.25">
      <c r="B855" s="365"/>
      <c r="C855" s="419"/>
      <c r="D855" s="70" t="s">
        <v>129</v>
      </c>
      <c r="E855" s="277" t="s">
        <v>287</v>
      </c>
      <c r="F855" s="395">
        <v>15.47</v>
      </c>
      <c r="G855" s="406"/>
      <c r="H855" s="197">
        <f>F855</f>
        <v>15.47</v>
      </c>
    </row>
    <row r="856" spans="2:8" s="102" customFormat="1" ht="20.100000000000001" customHeight="1" x14ac:dyDescent="0.25">
      <c r="B856" s="365"/>
      <c r="C856" s="419"/>
      <c r="D856" s="70" t="s">
        <v>23</v>
      </c>
      <c r="E856" s="277" t="s">
        <v>287</v>
      </c>
      <c r="F856" s="395">
        <f>0.8</f>
        <v>0.8</v>
      </c>
      <c r="G856" s="406"/>
      <c r="H856" s="197">
        <f>F856*-1</f>
        <v>-0.8</v>
      </c>
    </row>
    <row r="857" spans="2:8" s="102" customFormat="1" ht="20.100000000000001" customHeight="1" x14ac:dyDescent="0.25">
      <c r="B857" s="365"/>
      <c r="C857" s="419"/>
      <c r="D857" s="70" t="s">
        <v>116</v>
      </c>
      <c r="E857" s="277" t="s">
        <v>287</v>
      </c>
      <c r="F857" s="395">
        <v>18.54</v>
      </c>
      <c r="G857" s="406"/>
      <c r="H857" s="197">
        <f>F857</f>
        <v>18.54</v>
      </c>
    </row>
    <row r="858" spans="2:8" s="102" customFormat="1" ht="20.100000000000001" customHeight="1" x14ac:dyDescent="0.25">
      <c r="B858" s="367"/>
      <c r="C858" s="420"/>
      <c r="D858" s="70" t="s">
        <v>45</v>
      </c>
      <c r="E858" s="277" t="s">
        <v>287</v>
      </c>
      <c r="F858" s="395">
        <v>0.8</v>
      </c>
      <c r="G858" s="406"/>
      <c r="H858" s="197">
        <f>F858*-1</f>
        <v>-0.8</v>
      </c>
    </row>
    <row r="859" spans="2:8" s="102" customFormat="1" ht="20.100000000000001" customHeight="1" x14ac:dyDescent="0.25">
      <c r="B859" s="317"/>
      <c r="C859" s="318"/>
      <c r="D859" s="206"/>
      <c r="E859" s="320"/>
      <c r="F859" s="314"/>
      <c r="G859" s="314"/>
      <c r="H859" s="213"/>
    </row>
    <row r="860" spans="2:8" s="71" customFormat="1" ht="20.100000000000001" customHeight="1" x14ac:dyDescent="0.25">
      <c r="B860" s="409" t="s">
        <v>487</v>
      </c>
      <c r="C860" s="391"/>
      <c r="D860" s="391"/>
      <c r="E860" s="391"/>
      <c r="F860" s="391"/>
      <c r="G860" s="391"/>
      <c r="H860" s="410"/>
    </row>
    <row r="861" spans="2:8" s="71" customFormat="1" ht="20.100000000000001" customHeight="1" x14ac:dyDescent="0.25">
      <c r="B861" s="319">
        <v>18</v>
      </c>
      <c r="C861" s="115">
        <v>230000</v>
      </c>
      <c r="D861" s="390" t="s">
        <v>488</v>
      </c>
      <c r="E861" s="391"/>
      <c r="F861" s="391"/>
      <c r="G861" s="392"/>
      <c r="H861" s="201" t="s">
        <v>11</v>
      </c>
    </row>
    <row r="862" spans="2:8" s="71" customFormat="1" ht="20.100000000000001" customHeight="1" x14ac:dyDescent="0.25">
      <c r="B862" s="211" t="s">
        <v>489</v>
      </c>
      <c r="C862" s="212">
        <v>230101</v>
      </c>
      <c r="D862" s="78" t="s">
        <v>490</v>
      </c>
      <c r="E862" s="216" t="s">
        <v>277</v>
      </c>
      <c r="F862" s="416" t="s">
        <v>165</v>
      </c>
      <c r="G862" s="416"/>
      <c r="H862" s="199">
        <f>SUM(H863:H866)</f>
        <v>6</v>
      </c>
    </row>
    <row r="863" spans="2:8" s="102" customFormat="1" ht="20.100000000000001" customHeight="1" x14ac:dyDescent="0.25">
      <c r="B863" s="315"/>
      <c r="C863" s="321"/>
      <c r="D863" s="206" t="s">
        <v>491</v>
      </c>
      <c r="E863" s="277" t="s">
        <v>164</v>
      </c>
      <c r="F863" s="396">
        <v>1</v>
      </c>
      <c r="G863" s="396"/>
      <c r="H863" s="197">
        <f>F863</f>
        <v>1</v>
      </c>
    </row>
    <row r="864" spans="2:8" s="102" customFormat="1" ht="20.100000000000001" customHeight="1" x14ac:dyDescent="0.25">
      <c r="B864" s="316"/>
      <c r="C864" s="323"/>
      <c r="D864" s="206" t="s">
        <v>117</v>
      </c>
      <c r="E864" s="277" t="s">
        <v>164</v>
      </c>
      <c r="F864" s="396">
        <v>2</v>
      </c>
      <c r="G864" s="396"/>
      <c r="H864" s="197">
        <f t="shared" ref="H864:H866" si="26">F864</f>
        <v>2</v>
      </c>
    </row>
    <row r="865" spans="2:8" s="102" customFormat="1" ht="20.100000000000001" customHeight="1" x14ac:dyDescent="0.25">
      <c r="B865" s="316"/>
      <c r="C865" s="323"/>
      <c r="D865" s="206" t="s">
        <v>492</v>
      </c>
      <c r="E865" s="277" t="s">
        <v>164</v>
      </c>
      <c r="F865" s="396">
        <v>1</v>
      </c>
      <c r="G865" s="396"/>
      <c r="H865" s="197">
        <f t="shared" si="26"/>
        <v>1</v>
      </c>
    </row>
    <row r="866" spans="2:8" s="102" customFormat="1" ht="20.100000000000001" customHeight="1" x14ac:dyDescent="0.25">
      <c r="B866" s="316"/>
      <c r="C866" s="323"/>
      <c r="D866" s="206" t="s">
        <v>169</v>
      </c>
      <c r="E866" s="277" t="s">
        <v>164</v>
      </c>
      <c r="F866" s="396">
        <v>2</v>
      </c>
      <c r="G866" s="396"/>
      <c r="H866" s="197">
        <f t="shared" si="26"/>
        <v>2</v>
      </c>
    </row>
    <row r="867" spans="2:8" s="71" customFormat="1" ht="20.100000000000001" customHeight="1" x14ac:dyDescent="0.25">
      <c r="B867" s="198" t="s">
        <v>493</v>
      </c>
      <c r="C867" s="107">
        <v>230201</v>
      </c>
      <c r="D867" s="78" t="s">
        <v>494</v>
      </c>
      <c r="E867" s="216" t="s">
        <v>277</v>
      </c>
      <c r="F867" s="416" t="s">
        <v>165</v>
      </c>
      <c r="G867" s="416"/>
      <c r="H867" s="199">
        <f>H868</f>
        <v>3</v>
      </c>
    </row>
    <row r="868" spans="2:8" s="102" customFormat="1" ht="20.100000000000001" customHeight="1" x14ac:dyDescent="0.25">
      <c r="B868" s="359"/>
      <c r="C868" s="360"/>
      <c r="D868" s="206" t="s">
        <v>491</v>
      </c>
      <c r="E868" s="277" t="s">
        <v>164</v>
      </c>
      <c r="F868" s="395">
        <v>3</v>
      </c>
      <c r="G868" s="406"/>
      <c r="H868" s="213">
        <f>F868</f>
        <v>3</v>
      </c>
    </row>
    <row r="869" spans="2:8" s="102" customFormat="1" ht="20.100000000000001" customHeight="1" x14ac:dyDescent="0.25">
      <c r="B869" s="322"/>
      <c r="C869" s="343"/>
      <c r="D869" s="206"/>
      <c r="E869" s="320"/>
      <c r="F869" s="314"/>
      <c r="G869" s="314"/>
      <c r="H869" s="213"/>
    </row>
    <row r="870" spans="2:8" s="71" customFormat="1" ht="20.100000000000001" customHeight="1" x14ac:dyDescent="0.25">
      <c r="B870" s="409" t="s">
        <v>495</v>
      </c>
      <c r="C870" s="391"/>
      <c r="D870" s="391"/>
      <c r="E870" s="391"/>
      <c r="F870" s="391"/>
      <c r="G870" s="391"/>
      <c r="H870" s="410"/>
    </row>
    <row r="871" spans="2:8" s="71" customFormat="1" ht="20.100000000000001" customHeight="1" x14ac:dyDescent="0.25">
      <c r="B871" s="319">
        <v>19</v>
      </c>
      <c r="C871" s="115">
        <v>250000</v>
      </c>
      <c r="D871" s="390" t="s">
        <v>496</v>
      </c>
      <c r="E871" s="391"/>
      <c r="F871" s="391"/>
      <c r="G871" s="392"/>
      <c r="H871" s="201" t="s">
        <v>11</v>
      </c>
    </row>
    <row r="872" spans="2:8" s="71" customFormat="1" ht="20.100000000000001" customHeight="1" x14ac:dyDescent="0.25">
      <c r="B872" s="198" t="s">
        <v>497</v>
      </c>
      <c r="C872" s="108">
        <v>250101</v>
      </c>
      <c r="D872" s="80" t="s">
        <v>498</v>
      </c>
      <c r="E872" s="107" t="s">
        <v>499</v>
      </c>
      <c r="F872" s="411" t="s">
        <v>500</v>
      </c>
      <c r="G872" s="412"/>
      <c r="H872" s="199">
        <f>H873</f>
        <v>264</v>
      </c>
    </row>
    <row r="873" spans="2:8" s="71" customFormat="1" ht="20.100000000000001" customHeight="1" x14ac:dyDescent="0.25">
      <c r="B873" s="386"/>
      <c r="C873" s="408"/>
      <c r="D873" s="79" t="s">
        <v>501</v>
      </c>
      <c r="E873" s="72" t="s">
        <v>502</v>
      </c>
      <c r="F873" s="417">
        <f>22*4*3</f>
        <v>264</v>
      </c>
      <c r="G873" s="417"/>
      <c r="H873" s="202">
        <f>F873</f>
        <v>264</v>
      </c>
    </row>
    <row r="874" spans="2:8" s="71" customFormat="1" ht="20.100000000000001" customHeight="1" x14ac:dyDescent="0.25">
      <c r="B874" s="198" t="s">
        <v>503</v>
      </c>
      <c r="C874" s="108">
        <v>250103</v>
      </c>
      <c r="D874" s="80" t="s">
        <v>504</v>
      </c>
      <c r="E874" s="107" t="s">
        <v>499</v>
      </c>
      <c r="F874" s="383" t="s">
        <v>500</v>
      </c>
      <c r="G874" s="383"/>
      <c r="H874" s="199">
        <f>H875</f>
        <v>704</v>
      </c>
    </row>
    <row r="875" spans="2:8" s="71" customFormat="1" ht="20.100000000000001" customHeight="1" x14ac:dyDescent="0.25">
      <c r="B875" s="369"/>
      <c r="C875" s="407"/>
      <c r="D875" s="79" t="s">
        <v>505</v>
      </c>
      <c r="E875" s="72" t="s">
        <v>502</v>
      </c>
      <c r="F875" s="417">
        <f>22*4*8</f>
        <v>704</v>
      </c>
      <c r="G875" s="417"/>
      <c r="H875" s="202">
        <f>F875</f>
        <v>704</v>
      </c>
    </row>
    <row r="876" spans="2:8" s="71" customFormat="1" ht="20.100000000000001" customHeight="1" x14ac:dyDescent="0.25">
      <c r="B876" s="300"/>
      <c r="C876" s="291"/>
      <c r="D876" s="290"/>
      <c r="E876" s="341"/>
      <c r="F876" s="342"/>
      <c r="G876" s="342"/>
      <c r="H876" s="243"/>
    </row>
    <row r="877" spans="2:8" s="71" customFormat="1" ht="20.100000000000001" customHeight="1" x14ac:dyDescent="0.25">
      <c r="B877" s="409" t="s">
        <v>506</v>
      </c>
      <c r="C877" s="391"/>
      <c r="D877" s="391"/>
      <c r="E877" s="391"/>
      <c r="F877" s="391"/>
      <c r="G877" s="391"/>
      <c r="H877" s="410"/>
    </row>
    <row r="878" spans="2:8" s="71" customFormat="1" ht="20.100000000000001" customHeight="1" x14ac:dyDescent="0.25">
      <c r="B878" s="319">
        <v>20</v>
      </c>
      <c r="C878" s="115">
        <v>260000</v>
      </c>
      <c r="D878" s="390" t="s">
        <v>507</v>
      </c>
      <c r="E878" s="391"/>
      <c r="F878" s="391"/>
      <c r="G878" s="392"/>
      <c r="H878" s="201" t="s">
        <v>11</v>
      </c>
    </row>
    <row r="879" spans="2:8" s="71" customFormat="1" ht="20.100000000000001" customHeight="1" x14ac:dyDescent="0.25">
      <c r="B879" s="198" t="s">
        <v>508</v>
      </c>
      <c r="C879" s="108">
        <v>261300</v>
      </c>
      <c r="D879" s="80" t="s">
        <v>509</v>
      </c>
      <c r="E879" s="107" t="s">
        <v>14</v>
      </c>
      <c r="F879" s="304" t="s">
        <v>15</v>
      </c>
      <c r="G879" s="304" t="s">
        <v>100</v>
      </c>
      <c r="H879" s="199">
        <f>SUM(H880:H954)</f>
        <v>1174.0212999999999</v>
      </c>
    </row>
    <row r="880" spans="2:8" s="102" customFormat="1" ht="20.100000000000001" customHeight="1" x14ac:dyDescent="0.25">
      <c r="B880" s="363"/>
      <c r="C880" s="364"/>
      <c r="D880" s="70" t="s">
        <v>17</v>
      </c>
      <c r="E880" s="277" t="s">
        <v>14</v>
      </c>
      <c r="F880" s="276">
        <f>10.93+10.93+4.68+4.68</f>
        <v>31.22</v>
      </c>
      <c r="G880" s="276">
        <v>3</v>
      </c>
      <c r="H880" s="197">
        <f>G880*F880</f>
        <v>93.66</v>
      </c>
    </row>
    <row r="881" spans="2:8" s="102" customFormat="1" ht="20.100000000000001" customHeight="1" x14ac:dyDescent="0.25">
      <c r="B881" s="365"/>
      <c r="C881" s="366"/>
      <c r="D881" s="70" t="s">
        <v>18</v>
      </c>
      <c r="E881" s="277" t="s">
        <v>14</v>
      </c>
      <c r="F881" s="303">
        <v>2</v>
      </c>
      <c r="G881" s="303">
        <v>1</v>
      </c>
      <c r="H881" s="197">
        <f>-G881*F881*3</f>
        <v>-6</v>
      </c>
    </row>
    <row r="882" spans="2:8" s="102" customFormat="1" ht="20.100000000000001" customHeight="1" x14ac:dyDescent="0.25">
      <c r="B882" s="365"/>
      <c r="C882" s="366"/>
      <c r="D882" s="70" t="s">
        <v>19</v>
      </c>
      <c r="E882" s="277" t="s">
        <v>14</v>
      </c>
      <c r="F882" s="303">
        <v>0.75</v>
      </c>
      <c r="G882" s="303">
        <v>2.1</v>
      </c>
      <c r="H882" s="197">
        <f>-G882*F882</f>
        <v>-1.5750000000000002</v>
      </c>
    </row>
    <row r="883" spans="2:8" s="102" customFormat="1" ht="20.100000000000001" customHeight="1" x14ac:dyDescent="0.25">
      <c r="B883" s="365"/>
      <c r="C883" s="366"/>
      <c r="D883" s="70" t="s">
        <v>20</v>
      </c>
      <c r="E883" s="277" t="s">
        <v>14</v>
      </c>
      <c r="F883" s="303">
        <v>0.8</v>
      </c>
      <c r="G883" s="303">
        <v>2.1</v>
      </c>
      <c r="H883" s="197">
        <f>-G883*F883</f>
        <v>-1.6800000000000002</v>
      </c>
    </row>
    <row r="884" spans="2:8" s="102" customFormat="1" ht="20.100000000000001" customHeight="1" x14ac:dyDescent="0.25">
      <c r="B884" s="365"/>
      <c r="C884" s="366"/>
      <c r="D884" s="70" t="s">
        <v>24</v>
      </c>
      <c r="E884" s="277" t="s">
        <v>14</v>
      </c>
      <c r="F884" s="276">
        <v>1.4</v>
      </c>
      <c r="G884" s="276">
        <v>3</v>
      </c>
      <c r="H884" s="197">
        <f>G884*F884</f>
        <v>4.1999999999999993</v>
      </c>
    </row>
    <row r="885" spans="2:8" s="102" customFormat="1" ht="20.100000000000001" customHeight="1" x14ac:dyDescent="0.25">
      <c r="B885" s="365"/>
      <c r="C885" s="366"/>
      <c r="D885" s="70" t="s">
        <v>510</v>
      </c>
      <c r="E885" s="277" t="s">
        <v>14</v>
      </c>
      <c r="F885" s="276">
        <v>0.6</v>
      </c>
      <c r="G885" s="276">
        <v>0.36</v>
      </c>
      <c r="H885" s="197">
        <f>-G885*F885</f>
        <v>-0.216</v>
      </c>
    </row>
    <row r="886" spans="2:8" s="102" customFormat="1" ht="20.100000000000001" customHeight="1" x14ac:dyDescent="0.25">
      <c r="B886" s="365"/>
      <c r="C886" s="366"/>
      <c r="D886" s="70" t="s">
        <v>25</v>
      </c>
      <c r="E886" s="277" t="s">
        <v>14</v>
      </c>
      <c r="F886" s="276">
        <v>0.7</v>
      </c>
      <c r="G886" s="276">
        <v>2.1</v>
      </c>
      <c r="H886" s="197">
        <f>-G886*F886</f>
        <v>-1.47</v>
      </c>
    </row>
    <row r="887" spans="2:8" s="102" customFormat="1" ht="20.100000000000001" customHeight="1" x14ac:dyDescent="0.25">
      <c r="B887" s="365"/>
      <c r="C887" s="366"/>
      <c r="D887" s="70" t="s">
        <v>26</v>
      </c>
      <c r="E887" s="277" t="s">
        <v>14</v>
      </c>
      <c r="F887" s="276">
        <f>3.63+3.63+3.97+3.97</f>
        <v>15.200000000000001</v>
      </c>
      <c r="G887" s="276">
        <v>3</v>
      </c>
      <c r="H887" s="197">
        <f>G887*F887</f>
        <v>45.6</v>
      </c>
    </row>
    <row r="888" spans="2:8" s="102" customFormat="1" ht="20.100000000000001" customHeight="1" x14ac:dyDescent="0.25">
      <c r="B888" s="365"/>
      <c r="C888" s="366"/>
      <c r="D888" s="70" t="s">
        <v>20</v>
      </c>
      <c r="E888" s="277" t="s">
        <v>14</v>
      </c>
      <c r="F888" s="276">
        <v>0.8</v>
      </c>
      <c r="G888" s="276">
        <v>2.1</v>
      </c>
      <c r="H888" s="197">
        <f>-G888*F888</f>
        <v>-1.6800000000000002</v>
      </c>
    </row>
    <row r="889" spans="2:8" s="102" customFormat="1" ht="20.100000000000001" customHeight="1" x14ac:dyDescent="0.25">
      <c r="B889" s="365"/>
      <c r="C889" s="366"/>
      <c r="D889" s="70" t="s">
        <v>27</v>
      </c>
      <c r="E889" s="277" t="s">
        <v>14</v>
      </c>
      <c r="F889" s="276">
        <v>2</v>
      </c>
      <c r="G889" s="276">
        <v>1</v>
      </c>
      <c r="H889" s="197">
        <f>-G889*F889</f>
        <v>-2</v>
      </c>
    </row>
    <row r="890" spans="2:8" s="102" customFormat="1" ht="20.100000000000001" customHeight="1" x14ac:dyDescent="0.25">
      <c r="B890" s="365"/>
      <c r="C890" s="366"/>
      <c r="D890" s="70" t="s">
        <v>28</v>
      </c>
      <c r="E890" s="277" t="s">
        <v>14</v>
      </c>
      <c r="F890" s="276">
        <f>4.4+4.4+3.68+3.68</f>
        <v>16.16</v>
      </c>
      <c r="G890" s="276">
        <v>3</v>
      </c>
      <c r="H890" s="197">
        <f>G890*F890</f>
        <v>48.480000000000004</v>
      </c>
    </row>
    <row r="891" spans="2:8" s="102" customFormat="1" ht="20.100000000000001" customHeight="1" x14ac:dyDescent="0.25">
      <c r="B891" s="365"/>
      <c r="C891" s="366"/>
      <c r="D891" s="70" t="s">
        <v>29</v>
      </c>
      <c r="E891" s="277" t="s">
        <v>14</v>
      </c>
      <c r="F891" s="276">
        <v>1.5</v>
      </c>
      <c r="G891" s="276">
        <v>2.1</v>
      </c>
      <c r="H891" s="197">
        <f>-G891*F891</f>
        <v>-3.1500000000000004</v>
      </c>
    </row>
    <row r="892" spans="2:8" s="102" customFormat="1" ht="20.100000000000001" customHeight="1" x14ac:dyDescent="0.25">
      <c r="B892" s="365"/>
      <c r="C892" s="366"/>
      <c r="D892" s="70" t="s">
        <v>30</v>
      </c>
      <c r="E892" s="277" t="s">
        <v>14</v>
      </c>
      <c r="F892" s="276">
        <v>0.8</v>
      </c>
      <c r="G892" s="276">
        <v>2.1</v>
      </c>
      <c r="H892" s="197">
        <f>-G892*F892*3</f>
        <v>-5.0400000000000009</v>
      </c>
    </row>
    <row r="893" spans="2:8" s="102" customFormat="1" ht="20.100000000000001" customHeight="1" x14ac:dyDescent="0.25">
      <c r="B893" s="365"/>
      <c r="C893" s="366"/>
      <c r="D893" s="70" t="s">
        <v>31</v>
      </c>
      <c r="E893" s="277" t="s">
        <v>14</v>
      </c>
      <c r="F893" s="205">
        <v>1.5</v>
      </c>
      <c r="G893" s="205">
        <v>1</v>
      </c>
      <c r="H893" s="197">
        <f>-G893*F893</f>
        <v>-1.5</v>
      </c>
    </row>
    <row r="894" spans="2:8" s="102" customFormat="1" ht="20.100000000000001" customHeight="1" x14ac:dyDescent="0.25">
      <c r="B894" s="365"/>
      <c r="C894" s="366"/>
      <c r="D894" s="70" t="s">
        <v>33</v>
      </c>
      <c r="E894" s="277" t="s">
        <v>14</v>
      </c>
      <c r="F894" s="303">
        <f>3.02+3.02+6.18+6.18</f>
        <v>18.399999999999999</v>
      </c>
      <c r="G894" s="276">
        <v>3.63</v>
      </c>
      <c r="H894" s="197">
        <f>G894*F894</f>
        <v>66.791999999999987</v>
      </c>
    </row>
    <row r="895" spans="2:8" s="102" customFormat="1" ht="20.100000000000001" customHeight="1" x14ac:dyDescent="0.25">
      <c r="B895" s="365"/>
      <c r="C895" s="366"/>
      <c r="D895" s="70" t="s">
        <v>34</v>
      </c>
      <c r="E895" s="277" t="s">
        <v>14</v>
      </c>
      <c r="F895" s="303">
        <v>1.1000000000000001</v>
      </c>
      <c r="G895" s="303">
        <v>1</v>
      </c>
      <c r="H895" s="197">
        <f>G895*F895*-2</f>
        <v>-2.2000000000000002</v>
      </c>
    </row>
    <row r="896" spans="2:8" s="102" customFormat="1" ht="20.100000000000001" customHeight="1" x14ac:dyDescent="0.25">
      <c r="B896" s="365"/>
      <c r="C896" s="366"/>
      <c r="D896" s="70" t="s">
        <v>23</v>
      </c>
      <c r="E896" s="277" t="s">
        <v>14</v>
      </c>
      <c r="F896" s="303">
        <v>0.8</v>
      </c>
      <c r="G896" s="303">
        <v>2.1</v>
      </c>
      <c r="H896" s="197">
        <f>G896*F896*-1</f>
        <v>-1.6800000000000002</v>
      </c>
    </row>
    <row r="897" spans="2:8" s="102" customFormat="1" ht="20.100000000000001" customHeight="1" x14ac:dyDescent="0.25">
      <c r="B897" s="365"/>
      <c r="C897" s="366"/>
      <c r="D897" s="70" t="s">
        <v>35</v>
      </c>
      <c r="E897" s="277" t="s">
        <v>14</v>
      </c>
      <c r="F897" s="303">
        <v>0.7</v>
      </c>
      <c r="G897" s="303">
        <v>2.1</v>
      </c>
      <c r="H897" s="197">
        <f>G897*F897*-1</f>
        <v>-1.47</v>
      </c>
    </row>
    <row r="898" spans="2:8" s="102" customFormat="1" ht="20.100000000000001" customHeight="1" x14ac:dyDescent="0.25">
      <c r="B898" s="365"/>
      <c r="C898" s="366"/>
      <c r="D898" s="70" t="s">
        <v>38</v>
      </c>
      <c r="E898" s="277" t="s">
        <v>14</v>
      </c>
      <c r="F898" s="276">
        <f>4.3+4.3+4.4+4.4</f>
        <v>17.399999999999999</v>
      </c>
      <c r="G898" s="276">
        <v>3</v>
      </c>
      <c r="H898" s="197">
        <f>G898*F898</f>
        <v>52.199999999999996</v>
      </c>
    </row>
    <row r="899" spans="2:8" s="102" customFormat="1" ht="20.100000000000001" customHeight="1" x14ac:dyDescent="0.25">
      <c r="B899" s="365"/>
      <c r="C899" s="366"/>
      <c r="D899" s="70" t="s">
        <v>39</v>
      </c>
      <c r="E899" s="277" t="s">
        <v>14</v>
      </c>
      <c r="F899" s="303">
        <v>0.8</v>
      </c>
      <c r="G899" s="276">
        <v>2.1</v>
      </c>
      <c r="H899" s="197">
        <f>G899*F899*-2</f>
        <v>-3.3600000000000003</v>
      </c>
    </row>
    <row r="900" spans="2:8" s="102" customFormat="1" ht="20.100000000000001" customHeight="1" x14ac:dyDescent="0.25">
      <c r="B900" s="365"/>
      <c r="C900" s="366"/>
      <c r="D900" s="70" t="s">
        <v>35</v>
      </c>
      <c r="E900" s="277" t="s">
        <v>14</v>
      </c>
      <c r="F900" s="303">
        <v>0.7</v>
      </c>
      <c r="G900" s="276">
        <v>2.1</v>
      </c>
      <c r="H900" s="197">
        <f>-G900*F900</f>
        <v>-1.47</v>
      </c>
    </row>
    <row r="901" spans="2:8" s="102" customFormat="1" ht="20.100000000000001" customHeight="1" x14ac:dyDescent="0.25">
      <c r="B901" s="365"/>
      <c r="C901" s="366"/>
      <c r="D901" s="70" t="s">
        <v>31</v>
      </c>
      <c r="E901" s="277" t="s">
        <v>14</v>
      </c>
      <c r="F901" s="303">
        <v>1.5</v>
      </c>
      <c r="G901" s="303">
        <v>1</v>
      </c>
      <c r="H901" s="197">
        <f>F901*G901*-2</f>
        <v>-3</v>
      </c>
    </row>
    <row r="902" spans="2:8" s="102" customFormat="1" ht="20.100000000000001" customHeight="1" x14ac:dyDescent="0.25">
      <c r="B902" s="365"/>
      <c r="C902" s="366"/>
      <c r="D902" s="70" t="s">
        <v>41</v>
      </c>
      <c r="E902" s="277" t="s">
        <v>14</v>
      </c>
      <c r="F902" s="303">
        <f>5.51+4+5.51+4</f>
        <v>19.02</v>
      </c>
      <c r="G902" s="276">
        <v>3</v>
      </c>
      <c r="H902" s="197">
        <f>G902*F902</f>
        <v>57.06</v>
      </c>
    </row>
    <row r="903" spans="2:8" s="102" customFormat="1" ht="20.100000000000001" customHeight="1" x14ac:dyDescent="0.25">
      <c r="B903" s="365"/>
      <c r="C903" s="366"/>
      <c r="D903" s="70" t="s">
        <v>42</v>
      </c>
      <c r="E903" s="277" t="s">
        <v>14</v>
      </c>
      <c r="F903" s="303">
        <v>0.7</v>
      </c>
      <c r="G903" s="276">
        <v>2.1</v>
      </c>
      <c r="H903" s="197">
        <f>G903*F903*-1</f>
        <v>-1.47</v>
      </c>
    </row>
    <row r="904" spans="2:8" s="102" customFormat="1" ht="20.100000000000001" customHeight="1" x14ac:dyDescent="0.25">
      <c r="B904" s="365"/>
      <c r="C904" s="366"/>
      <c r="D904" s="70" t="s">
        <v>43</v>
      </c>
      <c r="E904" s="277" t="s">
        <v>14</v>
      </c>
      <c r="F904" s="303">
        <v>0.8</v>
      </c>
      <c r="G904" s="276">
        <v>2.1</v>
      </c>
      <c r="H904" s="197">
        <f>G904*F904*-1</f>
        <v>-1.6800000000000002</v>
      </c>
    </row>
    <row r="905" spans="2:8" s="102" customFormat="1" ht="20.100000000000001" customHeight="1" x14ac:dyDescent="0.25">
      <c r="B905" s="365"/>
      <c r="C905" s="366"/>
      <c r="D905" s="70" t="s">
        <v>31</v>
      </c>
      <c r="E905" s="277" t="s">
        <v>14</v>
      </c>
      <c r="F905" s="303">
        <v>1.5</v>
      </c>
      <c r="G905" s="303">
        <v>1</v>
      </c>
      <c r="H905" s="197">
        <f>-2*G905*F905</f>
        <v>-3</v>
      </c>
    </row>
    <row r="906" spans="2:8" s="102" customFormat="1" ht="20.100000000000001" customHeight="1" x14ac:dyDescent="0.25">
      <c r="B906" s="365"/>
      <c r="C906" s="366"/>
      <c r="D906" s="70" t="s">
        <v>48</v>
      </c>
      <c r="E906" s="277" t="s">
        <v>14</v>
      </c>
      <c r="F906" s="303">
        <f>5.4+6.56+4+5.52+1.48</f>
        <v>22.96</v>
      </c>
      <c r="G906" s="276">
        <f>(4.26+3)/2</f>
        <v>3.63</v>
      </c>
      <c r="H906" s="197">
        <f>G906*F906</f>
        <v>83.344800000000006</v>
      </c>
    </row>
    <row r="907" spans="2:8" s="102" customFormat="1" ht="20.100000000000001" customHeight="1" x14ac:dyDescent="0.25">
      <c r="B907" s="365"/>
      <c r="C907" s="366"/>
      <c r="D907" s="70" t="s">
        <v>30</v>
      </c>
      <c r="E907" s="277" t="s">
        <v>14</v>
      </c>
      <c r="F907" s="303">
        <v>0.8</v>
      </c>
      <c r="G907" s="303">
        <v>2.1</v>
      </c>
      <c r="H907" s="197">
        <f>-3*F907*G907</f>
        <v>-5.0400000000000009</v>
      </c>
    </row>
    <row r="908" spans="2:8" s="102" customFormat="1" ht="20.100000000000001" customHeight="1" x14ac:dyDescent="0.25">
      <c r="B908" s="365"/>
      <c r="C908" s="366"/>
      <c r="D908" s="70" t="s">
        <v>31</v>
      </c>
      <c r="E908" s="277" t="s">
        <v>14</v>
      </c>
      <c r="F908" s="303">
        <v>1.5</v>
      </c>
      <c r="G908" s="303">
        <v>1</v>
      </c>
      <c r="H908" s="197">
        <f>-2*F908*G908</f>
        <v>-3</v>
      </c>
    </row>
    <row r="909" spans="2:8" s="102" customFormat="1" ht="20.100000000000001" customHeight="1" x14ac:dyDescent="0.25">
      <c r="B909" s="365"/>
      <c r="C909" s="366"/>
      <c r="D909" s="70" t="s">
        <v>49</v>
      </c>
      <c r="E909" s="277" t="s">
        <v>14</v>
      </c>
      <c r="F909" s="303">
        <v>1.85</v>
      </c>
      <c r="G909" s="303">
        <v>1.1000000000000001</v>
      </c>
      <c r="H909" s="197">
        <f>-1*F909*G909</f>
        <v>-2.0350000000000001</v>
      </c>
    </row>
    <row r="910" spans="2:8" s="102" customFormat="1" ht="20.100000000000001" customHeight="1" x14ac:dyDescent="0.25">
      <c r="B910" s="365"/>
      <c r="C910" s="366"/>
      <c r="D910" s="70" t="s">
        <v>50</v>
      </c>
      <c r="E910" s="277" t="s">
        <v>14</v>
      </c>
      <c r="F910" s="303">
        <f>3.97+5.4+3.97+5.4</f>
        <v>18.740000000000002</v>
      </c>
      <c r="G910" s="303">
        <v>3.63</v>
      </c>
      <c r="H910" s="197">
        <f>G910*F910</f>
        <v>68.026200000000003</v>
      </c>
    </row>
    <row r="911" spans="2:8" s="102" customFormat="1" ht="20.100000000000001" customHeight="1" x14ac:dyDescent="0.25">
      <c r="B911" s="365"/>
      <c r="C911" s="366"/>
      <c r="D911" s="70" t="s">
        <v>51</v>
      </c>
      <c r="E911" s="277" t="s">
        <v>14</v>
      </c>
      <c r="F911" s="303">
        <v>0.8</v>
      </c>
      <c r="G911" s="303">
        <v>2.1</v>
      </c>
      <c r="H911" s="197">
        <f>G911*-F911</f>
        <v>-1.6800000000000002</v>
      </c>
    </row>
    <row r="912" spans="2:8" s="102" customFormat="1" ht="20.100000000000001" customHeight="1" x14ac:dyDescent="0.25">
      <c r="B912" s="365"/>
      <c r="C912" s="366"/>
      <c r="D912" s="70" t="s">
        <v>52</v>
      </c>
      <c r="E912" s="277" t="s">
        <v>14</v>
      </c>
      <c r="F912" s="303">
        <v>2</v>
      </c>
      <c r="G912" s="303">
        <v>1</v>
      </c>
      <c r="H912" s="197">
        <f>G912*-F912</f>
        <v>-2</v>
      </c>
    </row>
    <row r="913" spans="2:8" s="102" customFormat="1" ht="20.100000000000001" customHeight="1" x14ac:dyDescent="0.25">
      <c r="B913" s="365"/>
      <c r="C913" s="366"/>
      <c r="D913" s="70" t="s">
        <v>49</v>
      </c>
      <c r="E913" s="277" t="s">
        <v>14</v>
      </c>
      <c r="F913" s="303">
        <v>1.85</v>
      </c>
      <c r="G913" s="303">
        <v>1.1000000000000001</v>
      </c>
      <c r="H913" s="197">
        <f>-1*F913*G913</f>
        <v>-2.0350000000000001</v>
      </c>
    </row>
    <row r="914" spans="2:8" s="102" customFormat="1" ht="20.100000000000001" customHeight="1" x14ac:dyDescent="0.25">
      <c r="B914" s="365"/>
      <c r="C914" s="366"/>
      <c r="D914" s="70" t="s">
        <v>55</v>
      </c>
      <c r="E914" s="277" t="s">
        <v>14</v>
      </c>
      <c r="F914" s="303">
        <f>3.94+2.22</f>
        <v>6.16</v>
      </c>
      <c r="G914" s="303">
        <v>3</v>
      </c>
      <c r="H914" s="197">
        <f>G914*F914</f>
        <v>18.48</v>
      </c>
    </row>
    <row r="915" spans="2:8" s="102" customFormat="1" ht="20.100000000000001" customHeight="1" x14ac:dyDescent="0.25">
      <c r="B915" s="365"/>
      <c r="C915" s="366"/>
      <c r="D915" s="70" t="s">
        <v>51</v>
      </c>
      <c r="E915" s="277" t="s">
        <v>14</v>
      </c>
      <c r="F915" s="303">
        <v>0.8</v>
      </c>
      <c r="G915" s="276">
        <v>2.1</v>
      </c>
      <c r="H915" s="197">
        <f>-G915*F915</f>
        <v>-1.6800000000000002</v>
      </c>
    </row>
    <row r="916" spans="2:8" s="102" customFormat="1" ht="20.100000000000001" customHeight="1" x14ac:dyDescent="0.25">
      <c r="B916" s="365"/>
      <c r="C916" s="366"/>
      <c r="D916" s="70" t="s">
        <v>56</v>
      </c>
      <c r="E916" s="277" t="s">
        <v>14</v>
      </c>
      <c r="F916" s="303">
        <v>1.45</v>
      </c>
      <c r="G916" s="276">
        <v>1</v>
      </c>
      <c r="H916" s="197">
        <f>-G916*F916</f>
        <v>-1.45</v>
      </c>
    </row>
    <row r="917" spans="2:8" s="102" customFormat="1" ht="20.100000000000001" customHeight="1" x14ac:dyDescent="0.25">
      <c r="B917" s="365"/>
      <c r="C917" s="366"/>
      <c r="D917" s="70" t="s">
        <v>58</v>
      </c>
      <c r="E917" s="277" t="s">
        <v>14</v>
      </c>
      <c r="F917" s="205">
        <f>9.52+9.52+5.97+5.97</f>
        <v>30.979999999999997</v>
      </c>
      <c r="G917" s="205">
        <v>3</v>
      </c>
      <c r="H917" s="197">
        <f>F917*G917</f>
        <v>92.94</v>
      </c>
    </row>
    <row r="918" spans="2:8" s="102" customFormat="1" ht="20.100000000000001" customHeight="1" x14ac:dyDescent="0.25">
      <c r="B918" s="365"/>
      <c r="C918" s="366"/>
      <c r="D918" s="70" t="s">
        <v>59</v>
      </c>
      <c r="E918" s="277" t="s">
        <v>14</v>
      </c>
      <c r="F918" s="205">
        <v>2</v>
      </c>
      <c r="G918" s="205">
        <v>1</v>
      </c>
      <c r="H918" s="197">
        <f>G918*F918*-2</f>
        <v>-4</v>
      </c>
    </row>
    <row r="919" spans="2:8" s="102" customFormat="1" ht="20.100000000000001" customHeight="1" x14ac:dyDescent="0.25">
      <c r="B919" s="365"/>
      <c r="C919" s="366"/>
      <c r="D919" s="70" t="s">
        <v>60</v>
      </c>
      <c r="E919" s="277" t="s">
        <v>14</v>
      </c>
      <c r="F919" s="205">
        <v>0.8</v>
      </c>
      <c r="G919" s="276">
        <v>2.1</v>
      </c>
      <c r="H919" s="197">
        <f>-G919*F919*1</f>
        <v>-1.6800000000000002</v>
      </c>
    </row>
    <row r="920" spans="2:8" s="102" customFormat="1" ht="20.100000000000001" customHeight="1" x14ac:dyDescent="0.25">
      <c r="B920" s="365"/>
      <c r="C920" s="366"/>
      <c r="D920" s="70" t="s">
        <v>61</v>
      </c>
      <c r="E920" s="277" t="s">
        <v>14</v>
      </c>
      <c r="F920" s="205">
        <v>2</v>
      </c>
      <c r="G920" s="276">
        <v>2.1</v>
      </c>
      <c r="H920" s="197">
        <f>-G920*F920</f>
        <v>-4.2</v>
      </c>
    </row>
    <row r="921" spans="2:8" s="102" customFormat="1" ht="20.100000000000001" customHeight="1" x14ac:dyDescent="0.25">
      <c r="B921" s="365"/>
      <c r="C921" s="366"/>
      <c r="D921" s="70" t="s">
        <v>66</v>
      </c>
      <c r="E921" s="277" t="s">
        <v>14</v>
      </c>
      <c r="F921" s="205">
        <f>7.17+4.92+7.17+4.92</f>
        <v>24.18</v>
      </c>
      <c r="G921" s="205">
        <v>3</v>
      </c>
      <c r="H921" s="197">
        <f>G921*F921</f>
        <v>72.539999999999992</v>
      </c>
    </row>
    <row r="922" spans="2:8" s="102" customFormat="1" ht="20.100000000000001" customHeight="1" x14ac:dyDescent="0.25">
      <c r="B922" s="365"/>
      <c r="C922" s="366"/>
      <c r="D922" s="70" t="s">
        <v>51</v>
      </c>
      <c r="E922" s="277" t="s">
        <v>14</v>
      </c>
      <c r="F922" s="205">
        <v>0.8</v>
      </c>
      <c r="G922" s="276">
        <v>2.1</v>
      </c>
      <c r="H922" s="197">
        <f>-G922*F922*1</f>
        <v>-1.6800000000000002</v>
      </c>
    </row>
    <row r="923" spans="2:8" s="102" customFormat="1" ht="20.100000000000001" customHeight="1" x14ac:dyDescent="0.25">
      <c r="B923" s="365"/>
      <c r="C923" s="366"/>
      <c r="D923" s="70" t="s">
        <v>67</v>
      </c>
      <c r="E923" s="277" t="s">
        <v>14</v>
      </c>
      <c r="F923" s="205">
        <v>0.6</v>
      </c>
      <c r="G923" s="276">
        <v>2.1</v>
      </c>
      <c r="H923" s="197">
        <f>-G923*F923</f>
        <v>-1.26</v>
      </c>
    </row>
    <row r="924" spans="2:8" s="102" customFormat="1" ht="20.100000000000001" customHeight="1" x14ac:dyDescent="0.25">
      <c r="B924" s="365"/>
      <c r="C924" s="366"/>
      <c r="D924" s="70" t="s">
        <v>68</v>
      </c>
      <c r="E924" s="277" t="s">
        <v>14</v>
      </c>
      <c r="F924" s="205">
        <v>2.5</v>
      </c>
      <c r="G924" s="205">
        <v>1</v>
      </c>
      <c r="H924" s="197">
        <f>G924*F924</f>
        <v>2.5</v>
      </c>
    </row>
    <row r="925" spans="2:8" s="102" customFormat="1" ht="20.100000000000001" customHeight="1" x14ac:dyDescent="0.25">
      <c r="B925" s="365"/>
      <c r="C925" s="366"/>
      <c r="D925" s="70" t="s">
        <v>69</v>
      </c>
      <c r="E925" s="277" t="s">
        <v>14</v>
      </c>
      <c r="F925" s="276">
        <f>1.11+5.22+7.43</f>
        <v>13.76</v>
      </c>
      <c r="G925" s="276">
        <v>3</v>
      </c>
      <c r="H925" s="197">
        <f>G925*F925</f>
        <v>41.28</v>
      </c>
    </row>
    <row r="926" spans="2:8" s="102" customFormat="1" ht="20.100000000000001" customHeight="1" x14ac:dyDescent="0.25">
      <c r="B926" s="365"/>
      <c r="C926" s="366"/>
      <c r="D926" s="70" t="s">
        <v>51</v>
      </c>
      <c r="E926" s="277" t="s">
        <v>14</v>
      </c>
      <c r="F926" s="276">
        <v>0.8</v>
      </c>
      <c r="G926" s="276">
        <v>2.1</v>
      </c>
      <c r="H926" s="197">
        <f>-G926*F926</f>
        <v>-1.6800000000000002</v>
      </c>
    </row>
    <row r="927" spans="2:8" s="102" customFormat="1" ht="20.100000000000001" customHeight="1" x14ac:dyDescent="0.25">
      <c r="B927" s="365"/>
      <c r="C927" s="366"/>
      <c r="D927" s="70" t="s">
        <v>70</v>
      </c>
      <c r="E927" s="277" t="s">
        <v>14</v>
      </c>
      <c r="F927" s="276">
        <v>2.5</v>
      </c>
      <c r="G927" s="276">
        <v>1</v>
      </c>
      <c r="H927" s="197">
        <f>-2*G927*F927</f>
        <v>-5</v>
      </c>
    </row>
    <row r="928" spans="2:8" s="102" customFormat="1" ht="20.100000000000001" customHeight="1" x14ac:dyDescent="0.25">
      <c r="B928" s="365"/>
      <c r="C928" s="366"/>
      <c r="D928" s="70" t="s">
        <v>73</v>
      </c>
      <c r="E928" s="277" t="s">
        <v>14</v>
      </c>
      <c r="F928" s="276">
        <v>26.5</v>
      </c>
      <c r="G928" s="276">
        <v>3</v>
      </c>
      <c r="H928" s="197">
        <f>G928*F928</f>
        <v>79.5</v>
      </c>
    </row>
    <row r="929" spans="2:8" s="102" customFormat="1" ht="20.100000000000001" customHeight="1" x14ac:dyDescent="0.25">
      <c r="B929" s="365"/>
      <c r="C929" s="366"/>
      <c r="D929" s="70" t="s">
        <v>51</v>
      </c>
      <c r="E929" s="277" t="s">
        <v>14</v>
      </c>
      <c r="F929" s="276">
        <v>0.8</v>
      </c>
      <c r="G929" s="276">
        <v>2.1</v>
      </c>
      <c r="H929" s="197">
        <f>G929*F929*-1</f>
        <v>-1.6800000000000002</v>
      </c>
    </row>
    <row r="930" spans="2:8" s="102" customFormat="1" ht="20.100000000000001" customHeight="1" x14ac:dyDescent="0.25">
      <c r="B930" s="365"/>
      <c r="C930" s="366"/>
      <c r="D930" s="70" t="s">
        <v>70</v>
      </c>
      <c r="E930" s="277" t="s">
        <v>14</v>
      </c>
      <c r="F930" s="276">
        <v>2.5</v>
      </c>
      <c r="G930" s="276">
        <v>1</v>
      </c>
      <c r="H930" s="197">
        <f>-2*F930*G930</f>
        <v>-5</v>
      </c>
    </row>
    <row r="931" spans="2:8" s="102" customFormat="1" ht="20.100000000000001" customHeight="1" x14ac:dyDescent="0.25">
      <c r="B931" s="365"/>
      <c r="C931" s="366"/>
      <c r="D931" s="70" t="s">
        <v>75</v>
      </c>
      <c r="E931" s="277" t="s">
        <v>14</v>
      </c>
      <c r="F931" s="276">
        <f>7.51+7.51+4.97+4.97</f>
        <v>24.959999999999997</v>
      </c>
      <c r="G931" s="276">
        <v>3</v>
      </c>
      <c r="H931" s="197">
        <f>G931*F931</f>
        <v>74.88</v>
      </c>
    </row>
    <row r="932" spans="2:8" s="102" customFormat="1" ht="20.100000000000001" customHeight="1" x14ac:dyDescent="0.25">
      <c r="B932" s="365"/>
      <c r="C932" s="366"/>
      <c r="D932" s="70" t="s">
        <v>51</v>
      </c>
      <c r="E932" s="277" t="s">
        <v>14</v>
      </c>
      <c r="F932" s="276">
        <v>0.8</v>
      </c>
      <c r="G932" s="276">
        <v>2.1</v>
      </c>
      <c r="H932" s="197">
        <f>G932*F932*-1</f>
        <v>-1.6800000000000002</v>
      </c>
    </row>
    <row r="933" spans="2:8" s="102" customFormat="1" ht="20.100000000000001" customHeight="1" x14ac:dyDescent="0.25">
      <c r="B933" s="365"/>
      <c r="C933" s="366"/>
      <c r="D933" s="70" t="s">
        <v>70</v>
      </c>
      <c r="E933" s="277" t="s">
        <v>14</v>
      </c>
      <c r="F933" s="276">
        <v>2.5</v>
      </c>
      <c r="G933" s="276">
        <v>1</v>
      </c>
      <c r="H933" s="197">
        <f>-2*F933*G933</f>
        <v>-5</v>
      </c>
    </row>
    <row r="934" spans="2:8" s="102" customFormat="1" ht="20.100000000000001" customHeight="1" x14ac:dyDescent="0.25">
      <c r="B934" s="365"/>
      <c r="C934" s="366"/>
      <c r="D934" s="70" t="s">
        <v>77</v>
      </c>
      <c r="E934" s="277" t="s">
        <v>14</v>
      </c>
      <c r="F934" s="276">
        <v>24.56</v>
      </c>
      <c r="G934" s="276">
        <v>3</v>
      </c>
      <c r="H934" s="197">
        <f>G934*F934</f>
        <v>73.679999999999993</v>
      </c>
    </row>
    <row r="935" spans="2:8" s="102" customFormat="1" ht="20.100000000000001" customHeight="1" x14ac:dyDescent="0.25">
      <c r="B935" s="365"/>
      <c r="C935" s="366"/>
      <c r="D935" s="70" t="s">
        <v>51</v>
      </c>
      <c r="E935" s="277" t="s">
        <v>14</v>
      </c>
      <c r="F935" s="276">
        <v>0.8</v>
      </c>
      <c r="G935" s="276">
        <v>2.1</v>
      </c>
      <c r="H935" s="197">
        <f>G935*F935*-1</f>
        <v>-1.6800000000000002</v>
      </c>
    </row>
    <row r="936" spans="2:8" s="102" customFormat="1" ht="20.100000000000001" customHeight="1" x14ac:dyDescent="0.25">
      <c r="B936" s="365"/>
      <c r="C936" s="366"/>
      <c r="D936" s="70" t="s">
        <v>65</v>
      </c>
      <c r="E936" s="277" t="s">
        <v>14</v>
      </c>
      <c r="F936" s="276">
        <v>2</v>
      </c>
      <c r="G936" s="276">
        <v>1</v>
      </c>
      <c r="H936" s="197">
        <f>-2*G936*F936</f>
        <v>-4</v>
      </c>
    </row>
    <row r="937" spans="2:8" s="102" customFormat="1" ht="20.100000000000001" customHeight="1" x14ac:dyDescent="0.25">
      <c r="B937" s="365"/>
      <c r="C937" s="366"/>
      <c r="D937" s="70" t="s">
        <v>80</v>
      </c>
      <c r="E937" s="277" t="s">
        <v>14</v>
      </c>
      <c r="F937" s="276">
        <f>5.9+6.02+5.9+6.02</f>
        <v>23.84</v>
      </c>
      <c r="G937" s="276">
        <v>3</v>
      </c>
      <c r="H937" s="197">
        <f>G937*F937</f>
        <v>71.52</v>
      </c>
    </row>
    <row r="938" spans="2:8" s="102" customFormat="1" ht="20.100000000000001" customHeight="1" x14ac:dyDescent="0.25">
      <c r="B938" s="365"/>
      <c r="C938" s="366"/>
      <c r="D938" s="70" t="s">
        <v>51</v>
      </c>
      <c r="E938" s="277" t="s">
        <v>14</v>
      </c>
      <c r="F938" s="276">
        <v>0.8</v>
      </c>
      <c r="G938" s="276">
        <v>2.1</v>
      </c>
      <c r="H938" s="197">
        <f>G938*F938*-1</f>
        <v>-1.6800000000000002</v>
      </c>
    </row>
    <row r="939" spans="2:8" s="102" customFormat="1" ht="20.100000000000001" customHeight="1" x14ac:dyDescent="0.25">
      <c r="B939" s="365"/>
      <c r="C939" s="366"/>
      <c r="D939" s="70" t="s">
        <v>65</v>
      </c>
      <c r="E939" s="277" t="s">
        <v>14</v>
      </c>
      <c r="F939" s="276">
        <v>2</v>
      </c>
      <c r="G939" s="276">
        <v>1</v>
      </c>
      <c r="H939" s="197">
        <f>-2*G939*F939</f>
        <v>-4</v>
      </c>
    </row>
    <row r="940" spans="2:8" s="102" customFormat="1" ht="20.100000000000001" customHeight="1" x14ac:dyDescent="0.25">
      <c r="B940" s="367"/>
      <c r="C940" s="368"/>
      <c r="D940" s="70" t="s">
        <v>82</v>
      </c>
      <c r="E940" s="277" t="s">
        <v>14</v>
      </c>
      <c r="F940" s="276">
        <v>12.36</v>
      </c>
      <c r="G940" s="276">
        <v>3.1</v>
      </c>
      <c r="H940" s="197">
        <f>G940*F940</f>
        <v>38.316000000000003</v>
      </c>
    </row>
    <row r="941" spans="2:8" s="102" customFormat="1" ht="20.100000000000001" customHeight="1" x14ac:dyDescent="0.25">
      <c r="B941" s="253"/>
      <c r="C941" s="279"/>
      <c r="D941" s="70" t="s">
        <v>83</v>
      </c>
      <c r="E941" s="277" t="s">
        <v>14</v>
      </c>
      <c r="F941" s="276">
        <v>4.5</v>
      </c>
      <c r="G941" s="276">
        <v>6.94</v>
      </c>
      <c r="H941" s="197">
        <f>G941*F941</f>
        <v>31.23</v>
      </c>
    </row>
    <row r="942" spans="2:8" s="102" customFormat="1" ht="20.100000000000001" customHeight="1" x14ac:dyDescent="0.25">
      <c r="B942" s="253"/>
      <c r="C942" s="279"/>
      <c r="D942" s="70" t="s">
        <v>84</v>
      </c>
      <c r="E942" s="277" t="s">
        <v>14</v>
      </c>
      <c r="F942" s="276">
        <v>4.37</v>
      </c>
      <c r="G942" s="276">
        <v>3.66</v>
      </c>
      <c r="H942" s="197">
        <f t="shared" ref="H942:H949" si="27">G942*F942</f>
        <v>15.994200000000001</v>
      </c>
    </row>
    <row r="943" spans="2:8" s="102" customFormat="1" ht="20.100000000000001" customHeight="1" x14ac:dyDescent="0.25">
      <c r="B943" s="253"/>
      <c r="C943" s="279"/>
      <c r="D943" s="70" t="s">
        <v>85</v>
      </c>
      <c r="E943" s="277" t="s">
        <v>14</v>
      </c>
      <c r="F943" s="276">
        <v>2.98</v>
      </c>
      <c r="G943" s="276">
        <v>6.2</v>
      </c>
      <c r="H943" s="197">
        <f t="shared" si="27"/>
        <v>18.475999999999999</v>
      </c>
    </row>
    <row r="944" spans="2:8" s="102" customFormat="1" ht="20.100000000000001" customHeight="1" x14ac:dyDescent="0.25">
      <c r="B944" s="253"/>
      <c r="C944" s="279"/>
      <c r="D944" s="70" t="s">
        <v>86</v>
      </c>
      <c r="E944" s="277" t="s">
        <v>14</v>
      </c>
      <c r="F944" s="276">
        <v>4.41</v>
      </c>
      <c r="G944" s="276">
        <v>4.2699999999999996</v>
      </c>
      <c r="H944" s="197">
        <f t="shared" si="27"/>
        <v>18.8307</v>
      </c>
    </row>
    <row r="945" spans="2:8" s="102" customFormat="1" ht="20.100000000000001" customHeight="1" x14ac:dyDescent="0.25">
      <c r="B945" s="316"/>
      <c r="C945" s="142"/>
      <c r="D945" s="70" t="s">
        <v>87</v>
      </c>
      <c r="E945" s="277" t="s">
        <v>14</v>
      </c>
      <c r="F945" s="276">
        <v>1.45</v>
      </c>
      <c r="G945" s="276">
        <v>1.8</v>
      </c>
      <c r="H945" s="197">
        <f t="shared" si="27"/>
        <v>2.61</v>
      </c>
    </row>
    <row r="946" spans="2:8" s="102" customFormat="1" ht="20.100000000000001" customHeight="1" x14ac:dyDescent="0.25">
      <c r="B946" s="316"/>
      <c r="C946" s="142"/>
      <c r="D946" s="70" t="s">
        <v>88</v>
      </c>
      <c r="E946" s="277" t="s">
        <v>14</v>
      </c>
      <c r="F946" s="276">
        <v>1.45</v>
      </c>
      <c r="G946" s="276">
        <v>1.8</v>
      </c>
      <c r="H946" s="197">
        <f t="shared" si="27"/>
        <v>2.61</v>
      </c>
    </row>
    <row r="947" spans="2:8" s="102" customFormat="1" ht="20.100000000000001" customHeight="1" x14ac:dyDescent="0.25">
      <c r="B947" s="316"/>
      <c r="C947" s="142"/>
      <c r="D947" s="70" t="s">
        <v>89</v>
      </c>
      <c r="E947" s="277" t="s">
        <v>14</v>
      </c>
      <c r="F947" s="276">
        <v>6.57</v>
      </c>
      <c r="G947" s="276">
        <v>4</v>
      </c>
      <c r="H947" s="197">
        <f t="shared" si="27"/>
        <v>26.28</v>
      </c>
    </row>
    <row r="948" spans="2:8" s="102" customFormat="1" ht="20.100000000000001" customHeight="1" x14ac:dyDescent="0.25">
      <c r="B948" s="316"/>
      <c r="C948" s="142"/>
      <c r="D948" s="70" t="s">
        <v>90</v>
      </c>
      <c r="E948" s="277" t="s">
        <v>14</v>
      </c>
      <c r="F948" s="276">
        <v>1.8</v>
      </c>
      <c r="G948" s="276">
        <v>2.48</v>
      </c>
      <c r="H948" s="197">
        <f t="shared" si="27"/>
        <v>4.4640000000000004</v>
      </c>
    </row>
    <row r="949" spans="2:8" s="102" customFormat="1" ht="20.100000000000001" customHeight="1" x14ac:dyDescent="0.25">
      <c r="B949" s="316"/>
      <c r="C949" s="142"/>
      <c r="D949" s="70" t="s">
        <v>91</v>
      </c>
      <c r="E949" s="277" t="s">
        <v>14</v>
      </c>
      <c r="F949" s="276">
        <v>2.29</v>
      </c>
      <c r="G949" s="276">
        <v>2.48</v>
      </c>
      <c r="H949" s="197">
        <f t="shared" si="27"/>
        <v>5.6791999999999998</v>
      </c>
    </row>
    <row r="950" spans="2:8" s="102" customFormat="1" ht="20.100000000000001" customHeight="1" x14ac:dyDescent="0.25">
      <c r="B950" s="316"/>
      <c r="C950" s="142"/>
      <c r="D950" s="70" t="s">
        <v>92</v>
      </c>
      <c r="E950" s="277" t="s">
        <v>14</v>
      </c>
      <c r="F950" s="276">
        <v>6.55</v>
      </c>
      <c r="G950" s="276">
        <v>4</v>
      </c>
      <c r="H950" s="197">
        <f>G950*F950+(1.5*1)</f>
        <v>27.7</v>
      </c>
    </row>
    <row r="951" spans="2:8" s="102" customFormat="1" ht="20.100000000000001" customHeight="1" x14ac:dyDescent="0.25">
      <c r="B951" s="316"/>
      <c r="C951" s="142"/>
      <c r="D951" s="70" t="s">
        <v>93</v>
      </c>
      <c r="E951" s="277" t="s">
        <v>14</v>
      </c>
      <c r="F951" s="276">
        <v>7</v>
      </c>
      <c r="G951" s="276">
        <v>4</v>
      </c>
      <c r="H951" s="197">
        <f t="shared" ref="H951:H952" si="28">G951*F951</f>
        <v>28</v>
      </c>
    </row>
    <row r="952" spans="2:8" s="102" customFormat="1" ht="20.100000000000001" customHeight="1" x14ac:dyDescent="0.25">
      <c r="B952" s="316"/>
      <c r="C952" s="142"/>
      <c r="D952" s="70" t="s">
        <v>94</v>
      </c>
      <c r="E952" s="277" t="s">
        <v>14</v>
      </c>
      <c r="F952" s="276">
        <v>2.29</v>
      </c>
      <c r="G952" s="276">
        <v>2.48</v>
      </c>
      <c r="H952" s="197">
        <f t="shared" si="28"/>
        <v>5.6791999999999998</v>
      </c>
    </row>
    <row r="953" spans="2:8" s="102" customFormat="1" ht="20.100000000000001" customHeight="1" x14ac:dyDescent="0.25">
      <c r="B953" s="316"/>
      <c r="C953" s="142"/>
      <c r="D953" s="70" t="s">
        <v>161</v>
      </c>
      <c r="E953" s="277" t="s">
        <v>14</v>
      </c>
      <c r="F953" s="399">
        <f>(0.4*0.4)+(0.4*0.6)</f>
        <v>0.4</v>
      </c>
      <c r="G953" s="400"/>
      <c r="H953" s="197">
        <f>F953</f>
        <v>0.4</v>
      </c>
    </row>
    <row r="954" spans="2:8" s="102" customFormat="1" ht="20.100000000000001" customHeight="1" x14ac:dyDescent="0.25">
      <c r="B954" s="316"/>
      <c r="C954" s="142"/>
      <c r="D954" s="70" t="s">
        <v>160</v>
      </c>
      <c r="E954" s="277" t="s">
        <v>14</v>
      </c>
      <c r="F954" s="303">
        <v>7.85</v>
      </c>
      <c r="G954" s="276">
        <v>1</v>
      </c>
      <c r="H954" s="197">
        <f>G954*F954</f>
        <v>7.85</v>
      </c>
    </row>
    <row r="955" spans="2:8" s="71" customFormat="1" ht="19.5" customHeight="1" x14ac:dyDescent="0.25">
      <c r="B955" s="198" t="s">
        <v>511</v>
      </c>
      <c r="C955" s="108">
        <v>260104</v>
      </c>
      <c r="D955" s="77" t="s">
        <v>512</v>
      </c>
      <c r="E955" s="76" t="s">
        <v>14</v>
      </c>
      <c r="F955" s="298" t="s">
        <v>15</v>
      </c>
      <c r="G955" s="298" t="s">
        <v>16</v>
      </c>
      <c r="H955" s="199">
        <f>SUM(H956:H1076)+H1176</f>
        <v>2335.8039999999992</v>
      </c>
    </row>
    <row r="956" spans="2:8" s="71" customFormat="1" ht="19.5" customHeight="1" x14ac:dyDescent="0.25">
      <c r="B956" s="369"/>
      <c r="C956" s="370"/>
      <c r="D956" s="70" t="s">
        <v>17</v>
      </c>
      <c r="E956" s="277" t="s">
        <v>14</v>
      </c>
      <c r="F956" s="276">
        <f>10.93+10.93+4.68+4.68</f>
        <v>31.22</v>
      </c>
      <c r="G956" s="276">
        <v>3</v>
      </c>
      <c r="H956" s="197">
        <f>G956*F956</f>
        <v>93.66</v>
      </c>
    </row>
    <row r="957" spans="2:8" s="71" customFormat="1" ht="19.5" customHeight="1" x14ac:dyDescent="0.25">
      <c r="B957" s="371"/>
      <c r="C957" s="372"/>
      <c r="D957" s="70" t="s">
        <v>18</v>
      </c>
      <c r="E957" s="277" t="s">
        <v>14</v>
      </c>
      <c r="F957" s="303">
        <v>2</v>
      </c>
      <c r="G957" s="303">
        <v>1</v>
      </c>
      <c r="H957" s="197">
        <f>-G957*F957*3</f>
        <v>-6</v>
      </c>
    </row>
    <row r="958" spans="2:8" s="71" customFormat="1" ht="19.5" customHeight="1" x14ac:dyDescent="0.25">
      <c r="B958" s="371"/>
      <c r="C958" s="372"/>
      <c r="D958" s="70" t="s">
        <v>19</v>
      </c>
      <c r="E958" s="277" t="s">
        <v>14</v>
      </c>
      <c r="F958" s="303">
        <v>0.75</v>
      </c>
      <c r="G958" s="303">
        <v>2.1</v>
      </c>
      <c r="H958" s="197">
        <f>-G958*F958</f>
        <v>-1.5750000000000002</v>
      </c>
    </row>
    <row r="959" spans="2:8" s="71" customFormat="1" ht="19.5" customHeight="1" x14ac:dyDescent="0.25">
      <c r="B959" s="371"/>
      <c r="C959" s="372"/>
      <c r="D959" s="70" t="s">
        <v>20</v>
      </c>
      <c r="E959" s="277" t="s">
        <v>14</v>
      </c>
      <c r="F959" s="303">
        <v>0.8</v>
      </c>
      <c r="G959" s="303">
        <v>2.1</v>
      </c>
      <c r="H959" s="197">
        <f>-G959*F959</f>
        <v>-1.6800000000000002</v>
      </c>
    </row>
    <row r="960" spans="2:8" s="71" customFormat="1" ht="19.5" customHeight="1" x14ac:dyDescent="0.25">
      <c r="B960" s="371"/>
      <c r="C960" s="372"/>
      <c r="D960" s="70" t="s">
        <v>21</v>
      </c>
      <c r="E960" s="277" t="s">
        <v>14</v>
      </c>
      <c r="F960" s="276">
        <f>4.3+16.48+4.96+12.71+0.68+3.8</f>
        <v>42.93</v>
      </c>
      <c r="G960" s="276">
        <v>3</v>
      </c>
      <c r="H960" s="197">
        <f>G960*F960</f>
        <v>128.79</v>
      </c>
    </row>
    <row r="961" spans="2:8" s="71" customFormat="1" ht="19.5" customHeight="1" x14ac:dyDescent="0.25">
      <c r="B961" s="371"/>
      <c r="C961" s="372"/>
      <c r="D961" s="70" t="s">
        <v>22</v>
      </c>
      <c r="E961" s="277" t="s">
        <v>14</v>
      </c>
      <c r="F961" s="303">
        <v>2</v>
      </c>
      <c r="G961" s="276">
        <v>1</v>
      </c>
      <c r="H961" s="197">
        <f>-4*G961*F961</f>
        <v>-8</v>
      </c>
    </row>
    <row r="962" spans="2:8" s="71" customFormat="1" ht="19.5" customHeight="1" x14ac:dyDescent="0.25">
      <c r="B962" s="371"/>
      <c r="C962" s="372"/>
      <c r="D962" s="70" t="s">
        <v>23</v>
      </c>
      <c r="E962" s="277" t="s">
        <v>14</v>
      </c>
      <c r="F962" s="276">
        <v>0.8</v>
      </c>
      <c r="G962" s="276">
        <v>2.1</v>
      </c>
      <c r="H962" s="197">
        <f>-G962*F962</f>
        <v>-1.6800000000000002</v>
      </c>
    </row>
    <row r="963" spans="2:8" s="71" customFormat="1" ht="19.5" customHeight="1" x14ac:dyDescent="0.25">
      <c r="B963" s="371"/>
      <c r="C963" s="372"/>
      <c r="D963" s="70" t="s">
        <v>513</v>
      </c>
      <c r="E963" s="277" t="s">
        <v>14</v>
      </c>
      <c r="F963" s="276">
        <v>0.6</v>
      </c>
      <c r="G963" s="276">
        <v>0.36</v>
      </c>
      <c r="H963" s="197">
        <f>-G963*F963*2</f>
        <v>-0.432</v>
      </c>
    </row>
    <row r="964" spans="2:8" s="71" customFormat="1" ht="19.5" customHeight="1" x14ac:dyDescent="0.25">
      <c r="B964" s="371"/>
      <c r="C964" s="372"/>
      <c r="D964" s="70" t="s">
        <v>24</v>
      </c>
      <c r="E964" s="277" t="s">
        <v>14</v>
      </c>
      <c r="F964" s="276">
        <v>1.4</v>
      </c>
      <c r="G964" s="276">
        <v>3</v>
      </c>
      <c r="H964" s="197">
        <f>G964*F964</f>
        <v>4.1999999999999993</v>
      </c>
    </row>
    <row r="965" spans="2:8" s="71" customFormat="1" ht="19.5" customHeight="1" x14ac:dyDescent="0.25">
      <c r="B965" s="371"/>
      <c r="C965" s="372"/>
      <c r="D965" s="70" t="s">
        <v>510</v>
      </c>
      <c r="E965" s="277" t="s">
        <v>14</v>
      </c>
      <c r="F965" s="276">
        <v>0.6</v>
      </c>
      <c r="G965" s="276">
        <v>0.36</v>
      </c>
      <c r="H965" s="197">
        <f>-G965*F965</f>
        <v>-0.216</v>
      </c>
    </row>
    <row r="966" spans="2:8" s="71" customFormat="1" ht="19.5" customHeight="1" x14ac:dyDescent="0.25">
      <c r="B966" s="371"/>
      <c r="C966" s="372"/>
      <c r="D966" s="70" t="s">
        <v>25</v>
      </c>
      <c r="E966" s="277" t="s">
        <v>14</v>
      </c>
      <c r="F966" s="276">
        <v>0.7</v>
      </c>
      <c r="G966" s="276">
        <v>2.1</v>
      </c>
      <c r="H966" s="197">
        <f>-G966*F966</f>
        <v>-1.47</v>
      </c>
    </row>
    <row r="967" spans="2:8" s="71" customFormat="1" ht="19.5" customHeight="1" x14ac:dyDescent="0.25">
      <c r="B967" s="371"/>
      <c r="C967" s="372"/>
      <c r="D967" s="70" t="s">
        <v>26</v>
      </c>
      <c r="E967" s="277" t="s">
        <v>14</v>
      </c>
      <c r="F967" s="276">
        <f>3.63+3.63+3.97+3.97</f>
        <v>15.200000000000001</v>
      </c>
      <c r="G967" s="276">
        <v>3</v>
      </c>
      <c r="H967" s="197">
        <f>G967*F967</f>
        <v>45.6</v>
      </c>
    </row>
    <row r="968" spans="2:8" s="71" customFormat="1" ht="19.5" customHeight="1" x14ac:dyDescent="0.25">
      <c r="B968" s="371"/>
      <c r="C968" s="372"/>
      <c r="D968" s="70" t="s">
        <v>20</v>
      </c>
      <c r="E968" s="277" t="s">
        <v>14</v>
      </c>
      <c r="F968" s="276">
        <v>0.8</v>
      </c>
      <c r="G968" s="276">
        <v>2.1</v>
      </c>
      <c r="H968" s="197">
        <f>-G968*F968</f>
        <v>-1.6800000000000002</v>
      </c>
    </row>
    <row r="969" spans="2:8" s="71" customFormat="1" ht="19.5" customHeight="1" x14ac:dyDescent="0.25">
      <c r="B969" s="371"/>
      <c r="C969" s="372"/>
      <c r="D969" s="70" t="s">
        <v>27</v>
      </c>
      <c r="E969" s="277" t="s">
        <v>14</v>
      </c>
      <c r="F969" s="276">
        <v>2</v>
      </c>
      <c r="G969" s="276">
        <v>1</v>
      </c>
      <c r="H969" s="197">
        <f>-G969*F969</f>
        <v>-2</v>
      </c>
    </row>
    <row r="970" spans="2:8" s="71" customFormat="1" ht="19.5" customHeight="1" x14ac:dyDescent="0.25">
      <c r="B970" s="371"/>
      <c r="C970" s="372"/>
      <c r="D970" s="70" t="s">
        <v>28</v>
      </c>
      <c r="E970" s="277" t="s">
        <v>14</v>
      </c>
      <c r="F970" s="276">
        <f>4.4+4.4+3.68+3.68</f>
        <v>16.16</v>
      </c>
      <c r="G970" s="276">
        <v>3</v>
      </c>
      <c r="H970" s="197">
        <f>G970*F970</f>
        <v>48.480000000000004</v>
      </c>
    </row>
    <row r="971" spans="2:8" s="71" customFormat="1" ht="19.5" customHeight="1" x14ac:dyDescent="0.25">
      <c r="B971" s="371"/>
      <c r="C971" s="372"/>
      <c r="D971" s="70" t="s">
        <v>29</v>
      </c>
      <c r="E971" s="277" t="s">
        <v>14</v>
      </c>
      <c r="F971" s="276">
        <v>1.5</v>
      </c>
      <c r="G971" s="276">
        <v>2.1</v>
      </c>
      <c r="H971" s="197">
        <f>-G971*F971</f>
        <v>-3.1500000000000004</v>
      </c>
    </row>
    <row r="972" spans="2:8" s="71" customFormat="1" ht="19.5" customHeight="1" x14ac:dyDescent="0.25">
      <c r="B972" s="371"/>
      <c r="C972" s="372"/>
      <c r="D972" s="70" t="s">
        <v>30</v>
      </c>
      <c r="E972" s="277" t="s">
        <v>14</v>
      </c>
      <c r="F972" s="276">
        <v>0.8</v>
      </c>
      <c r="G972" s="276">
        <v>2.1</v>
      </c>
      <c r="H972" s="197">
        <f>-G972*F972*3</f>
        <v>-5.0400000000000009</v>
      </c>
    </row>
    <row r="973" spans="2:8" s="71" customFormat="1" ht="19.5" customHeight="1" x14ac:dyDescent="0.25">
      <c r="B973" s="371"/>
      <c r="C973" s="372"/>
      <c r="D973" s="70" t="s">
        <v>31</v>
      </c>
      <c r="E973" s="277" t="s">
        <v>14</v>
      </c>
      <c r="F973" s="205">
        <v>1.5</v>
      </c>
      <c r="G973" s="205">
        <v>1</v>
      </c>
      <c r="H973" s="197">
        <f>-G973*F973</f>
        <v>-1.5</v>
      </c>
    </row>
    <row r="974" spans="2:8" s="71" customFormat="1" ht="19.5" customHeight="1" x14ac:dyDescent="0.25">
      <c r="B974" s="371"/>
      <c r="C974" s="372"/>
      <c r="D974" s="70" t="s">
        <v>32</v>
      </c>
      <c r="E974" s="277" t="s">
        <v>14</v>
      </c>
      <c r="F974" s="205">
        <f>3.915+4.655</f>
        <v>8.57</v>
      </c>
      <c r="G974" s="205">
        <v>3</v>
      </c>
      <c r="H974" s="197">
        <f>G974*F974</f>
        <v>25.71</v>
      </c>
    </row>
    <row r="975" spans="2:8" s="71" customFormat="1" ht="19.5" customHeight="1" x14ac:dyDescent="0.25">
      <c r="B975" s="371"/>
      <c r="C975" s="372"/>
      <c r="D975" s="70" t="s">
        <v>30</v>
      </c>
      <c r="E975" s="277" t="s">
        <v>14</v>
      </c>
      <c r="F975" s="276">
        <v>0.8</v>
      </c>
      <c r="G975" s="276">
        <v>2.1</v>
      </c>
      <c r="H975" s="197">
        <f>-G975*F975*3</f>
        <v>-5.0400000000000009</v>
      </c>
    </row>
    <row r="976" spans="2:8" s="71" customFormat="1" ht="19.5" customHeight="1" x14ac:dyDescent="0.25">
      <c r="B976" s="371"/>
      <c r="C976" s="372"/>
      <c r="D976" s="70" t="s">
        <v>31</v>
      </c>
      <c r="E976" s="277" t="s">
        <v>14</v>
      </c>
      <c r="F976" s="205">
        <v>1.5</v>
      </c>
      <c r="G976" s="205">
        <v>1</v>
      </c>
      <c r="H976" s="197">
        <f>G976*F976</f>
        <v>1.5</v>
      </c>
    </row>
    <row r="977" spans="2:8" s="71" customFormat="1" ht="19.5" customHeight="1" x14ac:dyDescent="0.25">
      <c r="B977" s="371"/>
      <c r="C977" s="372"/>
      <c r="D977" s="70" t="s">
        <v>33</v>
      </c>
      <c r="E977" s="277" t="s">
        <v>14</v>
      </c>
      <c r="F977" s="303">
        <f>3.02+3.02+6.18+6.18</f>
        <v>18.399999999999999</v>
      </c>
      <c r="G977" s="276">
        <v>3</v>
      </c>
      <c r="H977" s="197">
        <f>G977*F977</f>
        <v>55.199999999999996</v>
      </c>
    </row>
    <row r="978" spans="2:8" s="71" customFormat="1" ht="19.5" customHeight="1" x14ac:dyDescent="0.25">
      <c r="B978" s="371"/>
      <c r="C978" s="372"/>
      <c r="D978" s="70" t="s">
        <v>34</v>
      </c>
      <c r="E978" s="277" t="s">
        <v>14</v>
      </c>
      <c r="F978" s="303">
        <v>1.1000000000000001</v>
      </c>
      <c r="G978" s="303">
        <v>1</v>
      </c>
      <c r="H978" s="197">
        <f>G978*F978*-2</f>
        <v>-2.2000000000000002</v>
      </c>
    </row>
    <row r="979" spans="2:8" s="71" customFormat="1" ht="19.5" customHeight="1" x14ac:dyDescent="0.25">
      <c r="B979" s="371"/>
      <c r="C979" s="372"/>
      <c r="D979" s="70" t="s">
        <v>23</v>
      </c>
      <c r="E979" s="277" t="s">
        <v>14</v>
      </c>
      <c r="F979" s="303">
        <v>0.8</v>
      </c>
      <c r="G979" s="303">
        <v>2.1</v>
      </c>
      <c r="H979" s="197">
        <f>G979*F979*-1</f>
        <v>-1.6800000000000002</v>
      </c>
    </row>
    <row r="980" spans="2:8" s="71" customFormat="1" ht="19.5" customHeight="1" x14ac:dyDescent="0.25">
      <c r="B980" s="371"/>
      <c r="C980" s="372"/>
      <c r="D980" s="70" t="s">
        <v>35</v>
      </c>
      <c r="E980" s="277" t="s">
        <v>14</v>
      </c>
      <c r="F980" s="303">
        <v>0.7</v>
      </c>
      <c r="G980" s="303">
        <v>2.1</v>
      </c>
      <c r="H980" s="197">
        <f>G980*F980*-1</f>
        <v>-1.47</v>
      </c>
    </row>
    <row r="981" spans="2:8" s="71" customFormat="1" ht="19.5" customHeight="1" x14ac:dyDescent="0.25">
      <c r="B981" s="371"/>
      <c r="C981" s="372"/>
      <c r="D981" s="70" t="s">
        <v>36</v>
      </c>
      <c r="E981" s="277" t="s">
        <v>14</v>
      </c>
      <c r="F981" s="276">
        <f>3.17+0.075+8.42+3.22</f>
        <v>14.885</v>
      </c>
      <c r="G981" s="276">
        <v>3</v>
      </c>
      <c r="H981" s="197">
        <f>G981*F981</f>
        <v>44.655000000000001</v>
      </c>
    </row>
    <row r="982" spans="2:8" s="71" customFormat="1" ht="19.5" customHeight="1" x14ac:dyDescent="0.25">
      <c r="B982" s="371"/>
      <c r="C982" s="372"/>
      <c r="D982" s="70" t="s">
        <v>34</v>
      </c>
      <c r="E982" s="277" t="s">
        <v>14</v>
      </c>
      <c r="F982" s="303">
        <v>1.1000000000000001</v>
      </c>
      <c r="G982" s="303">
        <v>1</v>
      </c>
      <c r="H982" s="197">
        <f>G982*F982*-2</f>
        <v>-2.2000000000000002</v>
      </c>
    </row>
    <row r="983" spans="2:8" s="71" customFormat="1" ht="19.5" customHeight="1" x14ac:dyDescent="0.25">
      <c r="B983" s="371"/>
      <c r="C983" s="372"/>
      <c r="D983" s="70" t="s">
        <v>37</v>
      </c>
      <c r="E983" s="277" t="s">
        <v>14</v>
      </c>
      <c r="F983" s="303">
        <v>0.8</v>
      </c>
      <c r="G983" s="276">
        <v>0.6</v>
      </c>
      <c r="H983" s="197">
        <f>G983*F983*-2</f>
        <v>-0.96</v>
      </c>
    </row>
    <row r="984" spans="2:8" s="71" customFormat="1" ht="19.5" customHeight="1" x14ac:dyDescent="0.25">
      <c r="B984" s="371"/>
      <c r="C984" s="372"/>
      <c r="D984" s="70" t="s">
        <v>38</v>
      </c>
      <c r="E984" s="277" t="s">
        <v>14</v>
      </c>
      <c r="F984" s="276">
        <f>4.3+4.3+4.4+4.4</f>
        <v>17.399999999999999</v>
      </c>
      <c r="G984" s="276">
        <v>3</v>
      </c>
      <c r="H984" s="197">
        <f>G984*F984</f>
        <v>52.199999999999996</v>
      </c>
    </row>
    <row r="985" spans="2:8" s="71" customFormat="1" ht="19.5" customHeight="1" x14ac:dyDescent="0.25">
      <c r="B985" s="371"/>
      <c r="C985" s="372"/>
      <c r="D985" s="70" t="s">
        <v>39</v>
      </c>
      <c r="E985" s="277" t="s">
        <v>14</v>
      </c>
      <c r="F985" s="303">
        <v>0.8</v>
      </c>
      <c r="G985" s="276">
        <v>2.1</v>
      </c>
      <c r="H985" s="197">
        <f>G985*F985*-2</f>
        <v>-3.3600000000000003</v>
      </c>
    </row>
    <row r="986" spans="2:8" s="71" customFormat="1" ht="19.5" customHeight="1" x14ac:dyDescent="0.25">
      <c r="B986" s="371"/>
      <c r="C986" s="372"/>
      <c r="D986" s="70" t="s">
        <v>35</v>
      </c>
      <c r="E986" s="277" t="s">
        <v>14</v>
      </c>
      <c r="F986" s="303">
        <v>0.7</v>
      </c>
      <c r="G986" s="276">
        <v>2.1</v>
      </c>
      <c r="H986" s="197">
        <f>-G986*F986</f>
        <v>-1.47</v>
      </c>
    </row>
    <row r="987" spans="2:8" s="71" customFormat="1" ht="19.5" customHeight="1" x14ac:dyDescent="0.25">
      <c r="B987" s="371"/>
      <c r="C987" s="372"/>
      <c r="D987" s="70" t="s">
        <v>31</v>
      </c>
      <c r="E987" s="277" t="s">
        <v>14</v>
      </c>
      <c r="F987" s="303">
        <v>1.5</v>
      </c>
      <c r="G987" s="303">
        <v>1</v>
      </c>
      <c r="H987" s="197">
        <f>F987*G987*-2</f>
        <v>-3</v>
      </c>
    </row>
    <row r="988" spans="2:8" s="71" customFormat="1" ht="19.5" customHeight="1" x14ac:dyDescent="0.25">
      <c r="B988" s="371"/>
      <c r="C988" s="372"/>
      <c r="D988" s="70" t="s">
        <v>40</v>
      </c>
      <c r="E988" s="277" t="s">
        <v>14</v>
      </c>
      <c r="F988" s="303">
        <f>4.65+4.43</f>
        <v>9.08</v>
      </c>
      <c r="G988" s="276">
        <v>3</v>
      </c>
      <c r="H988" s="197">
        <f>G988*F988</f>
        <v>27.240000000000002</v>
      </c>
    </row>
    <row r="989" spans="2:8" s="71" customFormat="1" ht="19.5" customHeight="1" x14ac:dyDescent="0.25">
      <c r="B989" s="371"/>
      <c r="C989" s="372"/>
      <c r="D989" s="70" t="s">
        <v>23</v>
      </c>
      <c r="E989" s="277" t="s">
        <v>14</v>
      </c>
      <c r="F989" s="303">
        <v>0.8</v>
      </c>
      <c r="G989" s="276">
        <v>2.1</v>
      </c>
      <c r="H989" s="197">
        <f>-G989*F989</f>
        <v>-1.6800000000000002</v>
      </c>
    </row>
    <row r="990" spans="2:8" s="71" customFormat="1" ht="19.5" customHeight="1" x14ac:dyDescent="0.25">
      <c r="B990" s="371"/>
      <c r="C990" s="372"/>
      <c r="D990" s="70" t="s">
        <v>31</v>
      </c>
      <c r="E990" s="277" t="s">
        <v>14</v>
      </c>
      <c r="F990" s="276">
        <v>1.5</v>
      </c>
      <c r="G990" s="276">
        <v>1</v>
      </c>
      <c r="H990" s="197">
        <f>G990*F990*-2</f>
        <v>-3</v>
      </c>
    </row>
    <row r="991" spans="2:8" s="71" customFormat="1" ht="19.5" customHeight="1" x14ac:dyDescent="0.25">
      <c r="B991" s="371"/>
      <c r="C991" s="372"/>
      <c r="D991" s="70" t="s">
        <v>41</v>
      </c>
      <c r="E991" s="277" t="s">
        <v>14</v>
      </c>
      <c r="F991" s="303">
        <f>5.51+4+5.51+4</f>
        <v>19.02</v>
      </c>
      <c r="G991" s="276">
        <v>3</v>
      </c>
      <c r="H991" s="197">
        <f>G991*F991</f>
        <v>57.06</v>
      </c>
    </row>
    <row r="992" spans="2:8" s="71" customFormat="1" ht="19.5" customHeight="1" x14ac:dyDescent="0.25">
      <c r="B992" s="371"/>
      <c r="C992" s="372"/>
      <c r="D992" s="70" t="s">
        <v>42</v>
      </c>
      <c r="E992" s="277" t="s">
        <v>14</v>
      </c>
      <c r="F992" s="303">
        <v>0.7</v>
      </c>
      <c r="G992" s="276">
        <v>2.1</v>
      </c>
      <c r="H992" s="197">
        <f>G992*F992*-1</f>
        <v>-1.47</v>
      </c>
    </row>
    <row r="993" spans="2:8" s="71" customFormat="1" ht="19.5" customHeight="1" x14ac:dyDescent="0.25">
      <c r="B993" s="371"/>
      <c r="C993" s="372"/>
      <c r="D993" s="70" t="s">
        <v>43</v>
      </c>
      <c r="E993" s="277" t="s">
        <v>14</v>
      </c>
      <c r="F993" s="303">
        <v>0.8</v>
      </c>
      <c r="G993" s="276">
        <v>2.1</v>
      </c>
      <c r="H993" s="197">
        <f>G993*F993*-1</f>
        <v>-1.6800000000000002</v>
      </c>
    </row>
    <row r="994" spans="2:8" s="71" customFormat="1" ht="19.5" customHeight="1" x14ac:dyDescent="0.25">
      <c r="B994" s="371"/>
      <c r="C994" s="372"/>
      <c r="D994" s="70" t="s">
        <v>31</v>
      </c>
      <c r="E994" s="277" t="s">
        <v>14</v>
      </c>
      <c r="F994" s="303">
        <v>1.5</v>
      </c>
      <c r="G994" s="303">
        <v>1</v>
      </c>
      <c r="H994" s="197">
        <f>-2*G994*F994</f>
        <v>-3</v>
      </c>
    </row>
    <row r="995" spans="2:8" s="71" customFormat="1" ht="19.5" customHeight="1" x14ac:dyDescent="0.25">
      <c r="B995" s="371"/>
      <c r="C995" s="372"/>
      <c r="D995" s="70" t="s">
        <v>44</v>
      </c>
      <c r="E995" s="277" t="s">
        <v>14</v>
      </c>
      <c r="F995" s="303">
        <f>5.71+4.15+0.075</f>
        <v>9.9349999999999987</v>
      </c>
      <c r="G995" s="276">
        <v>3</v>
      </c>
      <c r="H995" s="197">
        <f>G995*F995</f>
        <v>29.804999999999996</v>
      </c>
    </row>
    <row r="996" spans="2:8" s="71" customFormat="1" ht="19.5" customHeight="1" x14ac:dyDescent="0.25">
      <c r="B996" s="371"/>
      <c r="C996" s="372"/>
      <c r="D996" s="70" t="s">
        <v>45</v>
      </c>
      <c r="E996" s="277" t="s">
        <v>14</v>
      </c>
      <c r="F996" s="303">
        <v>0.8</v>
      </c>
      <c r="G996" s="276">
        <v>2.1</v>
      </c>
      <c r="H996" s="197">
        <f>-G996*F996</f>
        <v>-1.6800000000000002</v>
      </c>
    </row>
    <row r="997" spans="2:8" s="71" customFormat="1" ht="19.5" customHeight="1" x14ac:dyDescent="0.25">
      <c r="B997" s="371"/>
      <c r="C997" s="372"/>
      <c r="D997" s="70" t="s">
        <v>31</v>
      </c>
      <c r="E997" s="277" t="s">
        <v>14</v>
      </c>
      <c r="F997" s="276">
        <v>1.5</v>
      </c>
      <c r="G997" s="276">
        <v>1</v>
      </c>
      <c r="H997" s="197">
        <f>-2*G997*F997</f>
        <v>-3</v>
      </c>
    </row>
    <row r="998" spans="2:8" s="71" customFormat="1" ht="19.5" customHeight="1" x14ac:dyDescent="0.25">
      <c r="B998" s="371"/>
      <c r="C998" s="372"/>
      <c r="D998" s="70" t="s">
        <v>46</v>
      </c>
      <c r="E998" s="277" t="s">
        <v>14</v>
      </c>
      <c r="F998" s="303">
        <f>2.66+6.26</f>
        <v>8.92</v>
      </c>
      <c r="G998" s="276">
        <v>3</v>
      </c>
      <c r="H998" s="197">
        <f>G998*F998</f>
        <v>26.759999999999998</v>
      </c>
    </row>
    <row r="999" spans="2:8" s="71" customFormat="1" ht="19.5" customHeight="1" x14ac:dyDescent="0.25">
      <c r="B999" s="371"/>
      <c r="C999" s="372"/>
      <c r="D999" s="70" t="s">
        <v>35</v>
      </c>
      <c r="E999" s="277" t="s">
        <v>14</v>
      </c>
      <c r="F999" s="303">
        <v>0.7</v>
      </c>
      <c r="G999" s="276">
        <v>2.1</v>
      </c>
      <c r="H999" s="197">
        <f>G999*F999*-1</f>
        <v>-1.47</v>
      </c>
    </row>
    <row r="1000" spans="2:8" s="71" customFormat="1" ht="19.5" customHeight="1" x14ac:dyDescent="0.25">
      <c r="B1000" s="371"/>
      <c r="C1000" s="372"/>
      <c r="D1000" s="70" t="s">
        <v>47</v>
      </c>
      <c r="E1000" s="277" t="s">
        <v>14</v>
      </c>
      <c r="F1000" s="303">
        <v>0.6</v>
      </c>
      <c r="G1000" s="276">
        <v>0.4</v>
      </c>
      <c r="H1000" s="197">
        <f>G1000*F1000*-3</f>
        <v>-0.72</v>
      </c>
    </row>
    <row r="1001" spans="2:8" s="71" customFormat="1" ht="19.5" customHeight="1" x14ac:dyDescent="0.25">
      <c r="B1001" s="371"/>
      <c r="C1001" s="372"/>
      <c r="D1001" s="70" t="s">
        <v>48</v>
      </c>
      <c r="E1001" s="277" t="s">
        <v>14</v>
      </c>
      <c r="F1001" s="303">
        <f>5.4+6.56+4+5.52+1.48</f>
        <v>22.96</v>
      </c>
      <c r="G1001" s="276">
        <v>3.63</v>
      </c>
      <c r="H1001" s="197">
        <f>G1001*F1001</f>
        <v>83.344800000000006</v>
      </c>
    </row>
    <row r="1002" spans="2:8" s="71" customFormat="1" ht="19.5" customHeight="1" x14ac:dyDescent="0.25">
      <c r="B1002" s="371"/>
      <c r="C1002" s="372"/>
      <c r="D1002" s="70" t="s">
        <v>30</v>
      </c>
      <c r="E1002" s="277" t="s">
        <v>14</v>
      </c>
      <c r="F1002" s="303">
        <v>0.8</v>
      </c>
      <c r="G1002" s="303">
        <v>2.1</v>
      </c>
      <c r="H1002" s="197">
        <f>-3*F1002*G1002</f>
        <v>-5.0400000000000009</v>
      </c>
    </row>
    <row r="1003" spans="2:8" s="71" customFormat="1" ht="19.5" customHeight="1" x14ac:dyDescent="0.25">
      <c r="B1003" s="371"/>
      <c r="C1003" s="372"/>
      <c r="D1003" s="70" t="s">
        <v>31</v>
      </c>
      <c r="E1003" s="277" t="s">
        <v>14</v>
      </c>
      <c r="F1003" s="303">
        <v>1.5</v>
      </c>
      <c r="G1003" s="303">
        <v>1</v>
      </c>
      <c r="H1003" s="197">
        <f>-2*F1003*G1003</f>
        <v>-3</v>
      </c>
    </row>
    <row r="1004" spans="2:8" s="71" customFormat="1" ht="19.5" customHeight="1" x14ac:dyDescent="0.25">
      <c r="B1004" s="371"/>
      <c r="C1004" s="372"/>
      <c r="D1004" s="70" t="s">
        <v>50</v>
      </c>
      <c r="E1004" s="277" t="s">
        <v>14</v>
      </c>
      <c r="F1004" s="303">
        <f>3.97+5.4+3.97+5.4</f>
        <v>18.740000000000002</v>
      </c>
      <c r="G1004" s="303">
        <v>3.63</v>
      </c>
      <c r="H1004" s="197">
        <f>G1004*F1004</f>
        <v>68.026200000000003</v>
      </c>
    </row>
    <row r="1005" spans="2:8" s="71" customFormat="1" ht="19.5" customHeight="1" x14ac:dyDescent="0.25">
      <c r="B1005" s="371"/>
      <c r="C1005" s="372"/>
      <c r="D1005" s="70" t="s">
        <v>51</v>
      </c>
      <c r="E1005" s="277" t="s">
        <v>14</v>
      </c>
      <c r="F1005" s="303">
        <v>0.8</v>
      </c>
      <c r="G1005" s="303">
        <v>2.1</v>
      </c>
      <c r="H1005" s="197">
        <f>G1005*-F1005</f>
        <v>-1.6800000000000002</v>
      </c>
    </row>
    <row r="1006" spans="2:8" s="71" customFormat="1" ht="19.5" customHeight="1" x14ac:dyDescent="0.25">
      <c r="B1006" s="371"/>
      <c r="C1006" s="372"/>
      <c r="D1006" s="70" t="s">
        <v>52</v>
      </c>
      <c r="E1006" s="277" t="s">
        <v>14</v>
      </c>
      <c r="F1006" s="303">
        <v>2</v>
      </c>
      <c r="G1006" s="303">
        <v>1</v>
      </c>
      <c r="H1006" s="197">
        <f>G1006*-F1006</f>
        <v>-2</v>
      </c>
    </row>
    <row r="1007" spans="2:8" s="71" customFormat="1" ht="19.5" customHeight="1" x14ac:dyDescent="0.25">
      <c r="B1007" s="371"/>
      <c r="C1007" s="372"/>
      <c r="D1007" s="70" t="s">
        <v>53</v>
      </c>
      <c r="E1007" s="277" t="s">
        <v>14</v>
      </c>
      <c r="F1007" s="303">
        <f>8.44+6.84+1.53</f>
        <v>16.809999999999999</v>
      </c>
      <c r="G1007" s="303">
        <v>3</v>
      </c>
      <c r="H1007" s="197">
        <f>G1007*F1007</f>
        <v>50.429999999999993</v>
      </c>
    </row>
    <row r="1008" spans="2:8" s="71" customFormat="1" ht="19.5" customHeight="1" x14ac:dyDescent="0.25">
      <c r="B1008" s="371"/>
      <c r="C1008" s="372"/>
      <c r="D1008" s="70" t="s">
        <v>51</v>
      </c>
      <c r="E1008" s="277" t="s">
        <v>14</v>
      </c>
      <c r="F1008" s="303">
        <v>0.8</v>
      </c>
      <c r="G1008" s="303">
        <v>2.1</v>
      </c>
      <c r="H1008" s="197">
        <f>-G1008*F1008</f>
        <v>-1.6800000000000002</v>
      </c>
    </row>
    <row r="1009" spans="2:8" s="71" customFormat="1" ht="19.5" customHeight="1" x14ac:dyDescent="0.25">
      <c r="B1009" s="371"/>
      <c r="C1009" s="372"/>
      <c r="D1009" s="70" t="s">
        <v>54</v>
      </c>
      <c r="E1009" s="277" t="s">
        <v>14</v>
      </c>
      <c r="F1009" s="303">
        <v>1.5</v>
      </c>
      <c r="G1009" s="276">
        <v>1</v>
      </c>
      <c r="H1009" s="197">
        <f>-2*G1009*F1009</f>
        <v>-3</v>
      </c>
    </row>
    <row r="1010" spans="2:8" s="71" customFormat="1" ht="19.5" customHeight="1" x14ac:dyDescent="0.25">
      <c r="B1010" s="371"/>
      <c r="C1010" s="372"/>
      <c r="D1010" s="70" t="s">
        <v>52</v>
      </c>
      <c r="E1010" s="277" t="s">
        <v>14</v>
      </c>
      <c r="F1010" s="303">
        <v>2.5</v>
      </c>
      <c r="G1010" s="276">
        <v>1</v>
      </c>
      <c r="H1010" s="197">
        <f>-G1010*F1010</f>
        <v>-2.5</v>
      </c>
    </row>
    <row r="1011" spans="2:8" s="71" customFormat="1" ht="19.5" customHeight="1" x14ac:dyDescent="0.25">
      <c r="B1011" s="371"/>
      <c r="C1011" s="372"/>
      <c r="D1011" s="70" t="s">
        <v>55</v>
      </c>
      <c r="E1011" s="277" t="s">
        <v>14</v>
      </c>
      <c r="F1011" s="303">
        <f>3.94+2.22</f>
        <v>6.16</v>
      </c>
      <c r="G1011" s="303">
        <v>3</v>
      </c>
      <c r="H1011" s="197">
        <f>G1011*F1011</f>
        <v>18.48</v>
      </c>
    </row>
    <row r="1012" spans="2:8" s="71" customFormat="1" ht="19.5" customHeight="1" x14ac:dyDescent="0.25">
      <c r="B1012" s="371"/>
      <c r="C1012" s="372"/>
      <c r="D1012" s="70" t="s">
        <v>51</v>
      </c>
      <c r="E1012" s="277" t="s">
        <v>14</v>
      </c>
      <c r="F1012" s="303">
        <v>0.8</v>
      </c>
      <c r="G1012" s="276">
        <v>2.1</v>
      </c>
      <c r="H1012" s="197">
        <f>-G1012*F1012</f>
        <v>-1.6800000000000002</v>
      </c>
    </row>
    <row r="1013" spans="2:8" s="71" customFormat="1" ht="19.5" customHeight="1" x14ac:dyDescent="0.25">
      <c r="B1013" s="371"/>
      <c r="C1013" s="372"/>
      <c r="D1013" s="70" t="s">
        <v>56</v>
      </c>
      <c r="E1013" s="277" t="s">
        <v>14</v>
      </c>
      <c r="F1013" s="303">
        <v>1.45</v>
      </c>
      <c r="G1013" s="276">
        <v>1</v>
      </c>
      <c r="H1013" s="197">
        <f>-G1013*F1013</f>
        <v>-1.45</v>
      </c>
    </row>
    <row r="1014" spans="2:8" s="71" customFormat="1" ht="19.5" customHeight="1" x14ac:dyDescent="0.25">
      <c r="B1014" s="371"/>
      <c r="C1014" s="372"/>
      <c r="D1014" s="70" t="s">
        <v>57</v>
      </c>
      <c r="E1014" s="277" t="s">
        <v>14</v>
      </c>
      <c r="F1014" s="303">
        <v>4.0659999999999998</v>
      </c>
      <c r="G1014" s="303">
        <v>3</v>
      </c>
      <c r="H1014" s="197">
        <f>G1014*F1014</f>
        <v>12.198</v>
      </c>
    </row>
    <row r="1015" spans="2:8" s="71" customFormat="1" ht="19.5" customHeight="1" x14ac:dyDescent="0.25">
      <c r="B1015" s="371"/>
      <c r="C1015" s="372"/>
      <c r="D1015" s="70" t="s">
        <v>56</v>
      </c>
      <c r="E1015" s="277" t="s">
        <v>14</v>
      </c>
      <c r="F1015" s="303">
        <v>1.45</v>
      </c>
      <c r="G1015" s="276">
        <v>1</v>
      </c>
      <c r="H1015" s="197">
        <f>-G1015*F1015</f>
        <v>-1.45</v>
      </c>
    </row>
    <row r="1016" spans="2:8" s="71" customFormat="1" ht="19.5" customHeight="1" x14ac:dyDescent="0.25">
      <c r="B1016" s="371"/>
      <c r="C1016" s="372"/>
      <c r="D1016" s="70" t="s">
        <v>58</v>
      </c>
      <c r="E1016" s="277" t="s">
        <v>14</v>
      </c>
      <c r="F1016" s="303">
        <f>9.52+9.52+5.97+5.97</f>
        <v>30.979999999999997</v>
      </c>
      <c r="G1016" s="303">
        <v>3</v>
      </c>
      <c r="H1016" s="197">
        <f>F1016*G1016</f>
        <v>92.94</v>
      </c>
    </row>
    <row r="1017" spans="2:8" s="71" customFormat="1" ht="19.5" customHeight="1" x14ac:dyDescent="0.25">
      <c r="B1017" s="373"/>
      <c r="C1017" s="374"/>
      <c r="D1017" s="70" t="s">
        <v>59</v>
      </c>
      <c r="E1017" s="277" t="s">
        <v>14</v>
      </c>
      <c r="F1017" s="303">
        <v>2</v>
      </c>
      <c r="G1017" s="303">
        <v>1</v>
      </c>
      <c r="H1017" s="197">
        <f>G1017*F1017*-2</f>
        <v>-4</v>
      </c>
    </row>
    <row r="1018" spans="2:8" s="71" customFormat="1" ht="19.5" customHeight="1" x14ac:dyDescent="0.25">
      <c r="B1018" s="369"/>
      <c r="C1018" s="370"/>
      <c r="D1018" s="214" t="s">
        <v>60</v>
      </c>
      <c r="E1018" s="277" t="s">
        <v>14</v>
      </c>
      <c r="F1018" s="303">
        <v>0.8</v>
      </c>
      <c r="G1018" s="276">
        <v>2.1</v>
      </c>
      <c r="H1018" s="197">
        <f>-G1018*F1018*1</f>
        <v>-1.6800000000000002</v>
      </c>
    </row>
    <row r="1019" spans="2:8" s="71" customFormat="1" ht="19.5" customHeight="1" x14ac:dyDescent="0.25">
      <c r="B1019" s="371"/>
      <c r="C1019" s="372"/>
      <c r="D1019" s="214" t="s">
        <v>61</v>
      </c>
      <c r="E1019" s="277" t="s">
        <v>14</v>
      </c>
      <c r="F1019" s="303">
        <v>2</v>
      </c>
      <c r="G1019" s="276">
        <v>2.1</v>
      </c>
      <c r="H1019" s="197">
        <f>-G1019*F1019</f>
        <v>-4.2</v>
      </c>
    </row>
    <row r="1020" spans="2:8" s="71" customFormat="1" ht="19.5" customHeight="1" x14ac:dyDescent="0.25">
      <c r="B1020" s="371"/>
      <c r="C1020" s="372"/>
      <c r="D1020" s="214" t="s">
        <v>62</v>
      </c>
      <c r="E1020" s="277" t="s">
        <v>14</v>
      </c>
      <c r="F1020" s="303">
        <f>6.11+6.11</f>
        <v>12.22</v>
      </c>
      <c r="G1020" s="276">
        <v>3</v>
      </c>
      <c r="H1020" s="197">
        <f>G1020*F1020</f>
        <v>36.660000000000004</v>
      </c>
    </row>
    <row r="1021" spans="2:8" s="71" customFormat="1" ht="19.5" customHeight="1" x14ac:dyDescent="0.25">
      <c r="B1021" s="371"/>
      <c r="C1021" s="372"/>
      <c r="D1021" s="214" t="s">
        <v>51</v>
      </c>
      <c r="E1021" s="277" t="s">
        <v>14</v>
      </c>
      <c r="F1021" s="303">
        <v>0.8</v>
      </c>
      <c r="G1021" s="276">
        <v>2.1</v>
      </c>
      <c r="H1021" s="197">
        <f>-G1021*F1021</f>
        <v>-1.6800000000000002</v>
      </c>
    </row>
    <row r="1022" spans="2:8" s="71" customFormat="1" ht="19.5" customHeight="1" x14ac:dyDescent="0.25">
      <c r="B1022" s="371"/>
      <c r="C1022" s="372"/>
      <c r="D1022" s="214" t="s">
        <v>63</v>
      </c>
      <c r="E1022" s="277" t="s">
        <v>14</v>
      </c>
      <c r="F1022" s="303">
        <v>1.5</v>
      </c>
      <c r="G1022" s="276">
        <v>1</v>
      </c>
      <c r="H1022" s="197">
        <f>-3*G1022*F1022</f>
        <v>-4.5</v>
      </c>
    </row>
    <row r="1023" spans="2:8" s="71" customFormat="1" ht="19.5" customHeight="1" x14ac:dyDescent="0.25">
      <c r="B1023" s="371"/>
      <c r="C1023" s="372"/>
      <c r="D1023" s="214" t="s">
        <v>64</v>
      </c>
      <c r="E1023" s="277" t="s">
        <v>14</v>
      </c>
      <c r="F1023" s="303">
        <f>9.63+9.63</f>
        <v>19.260000000000002</v>
      </c>
      <c r="G1023" s="303">
        <v>3</v>
      </c>
      <c r="H1023" s="197">
        <f>G1023*F1023</f>
        <v>57.78</v>
      </c>
    </row>
    <row r="1024" spans="2:8" s="71" customFormat="1" ht="19.5" customHeight="1" x14ac:dyDescent="0.25">
      <c r="B1024" s="371"/>
      <c r="C1024" s="372"/>
      <c r="D1024" s="214" t="s">
        <v>61</v>
      </c>
      <c r="E1024" s="277" t="s">
        <v>14</v>
      </c>
      <c r="F1024" s="303">
        <v>2</v>
      </c>
      <c r="G1024" s="276">
        <v>2.1</v>
      </c>
      <c r="H1024" s="197">
        <f>-G1024*F1024*1</f>
        <v>-4.2</v>
      </c>
    </row>
    <row r="1025" spans="2:8" s="71" customFormat="1" ht="19.5" customHeight="1" x14ac:dyDescent="0.25">
      <c r="B1025" s="371"/>
      <c r="C1025" s="372"/>
      <c r="D1025" s="214" t="s">
        <v>65</v>
      </c>
      <c r="E1025" s="277" t="s">
        <v>14</v>
      </c>
      <c r="F1025" s="303">
        <v>2</v>
      </c>
      <c r="G1025" s="276">
        <v>1</v>
      </c>
      <c r="H1025" s="197">
        <f>-2*G1025*F1025</f>
        <v>-4</v>
      </c>
    </row>
    <row r="1026" spans="2:8" s="71" customFormat="1" ht="19.5" customHeight="1" x14ac:dyDescent="0.25">
      <c r="B1026" s="371"/>
      <c r="C1026" s="372"/>
      <c r="D1026" s="214" t="s">
        <v>66</v>
      </c>
      <c r="E1026" s="277" t="s">
        <v>14</v>
      </c>
      <c r="F1026" s="303">
        <f>7.17+4.92+7.17+4.92</f>
        <v>24.18</v>
      </c>
      <c r="G1026" s="303">
        <v>3</v>
      </c>
      <c r="H1026" s="197">
        <f>G1026*F1026</f>
        <v>72.539999999999992</v>
      </c>
    </row>
    <row r="1027" spans="2:8" s="71" customFormat="1" ht="19.5" customHeight="1" x14ac:dyDescent="0.25">
      <c r="B1027" s="371"/>
      <c r="C1027" s="372"/>
      <c r="D1027" s="214" t="s">
        <v>51</v>
      </c>
      <c r="E1027" s="277" t="s">
        <v>14</v>
      </c>
      <c r="F1027" s="303">
        <v>0.8</v>
      </c>
      <c r="G1027" s="276">
        <v>2.1</v>
      </c>
      <c r="H1027" s="197">
        <f>-G1027*F1027*1</f>
        <v>-1.6800000000000002</v>
      </c>
    </row>
    <row r="1028" spans="2:8" s="71" customFormat="1" ht="19.5" customHeight="1" x14ac:dyDescent="0.25">
      <c r="B1028" s="371"/>
      <c r="C1028" s="372"/>
      <c r="D1028" s="214" t="s">
        <v>67</v>
      </c>
      <c r="E1028" s="277" t="s">
        <v>14</v>
      </c>
      <c r="F1028" s="303">
        <v>0.6</v>
      </c>
      <c r="G1028" s="276">
        <v>2.1</v>
      </c>
      <c r="H1028" s="197">
        <f>-G1028*F1028</f>
        <v>-1.26</v>
      </c>
    </row>
    <row r="1029" spans="2:8" s="71" customFormat="1" ht="19.5" customHeight="1" x14ac:dyDescent="0.25">
      <c r="B1029" s="371"/>
      <c r="C1029" s="372"/>
      <c r="D1029" s="214" t="s">
        <v>68</v>
      </c>
      <c r="E1029" s="277" t="s">
        <v>14</v>
      </c>
      <c r="F1029" s="303">
        <v>2.5</v>
      </c>
      <c r="G1029" s="303">
        <v>1</v>
      </c>
      <c r="H1029" s="197">
        <f>G1029*F1029</f>
        <v>2.5</v>
      </c>
    </row>
    <row r="1030" spans="2:8" s="71" customFormat="1" ht="19.5" customHeight="1" x14ac:dyDescent="0.25">
      <c r="B1030" s="371"/>
      <c r="C1030" s="372"/>
      <c r="D1030" s="214" t="s">
        <v>69</v>
      </c>
      <c r="E1030" s="277" t="s">
        <v>14</v>
      </c>
      <c r="F1030" s="276">
        <f>1.11+5.22+7.43</f>
        <v>13.76</v>
      </c>
      <c r="G1030" s="276">
        <v>3</v>
      </c>
      <c r="H1030" s="197">
        <f>G1030*F1030</f>
        <v>41.28</v>
      </c>
    </row>
    <row r="1031" spans="2:8" s="71" customFormat="1" ht="19.5" customHeight="1" x14ac:dyDescent="0.25">
      <c r="B1031" s="371"/>
      <c r="C1031" s="372"/>
      <c r="D1031" s="214" t="s">
        <v>51</v>
      </c>
      <c r="E1031" s="277" t="s">
        <v>14</v>
      </c>
      <c r="F1031" s="276">
        <v>0.8</v>
      </c>
      <c r="G1031" s="276">
        <v>2.1</v>
      </c>
      <c r="H1031" s="197">
        <f>-G1031*F1031</f>
        <v>-1.6800000000000002</v>
      </c>
    </row>
    <row r="1032" spans="2:8" s="71" customFormat="1" ht="19.5" customHeight="1" x14ac:dyDescent="0.25">
      <c r="B1032" s="371"/>
      <c r="C1032" s="372"/>
      <c r="D1032" s="214" t="s">
        <v>70</v>
      </c>
      <c r="E1032" s="277" t="s">
        <v>14</v>
      </c>
      <c r="F1032" s="276">
        <v>2.5</v>
      </c>
      <c r="G1032" s="276">
        <v>1</v>
      </c>
      <c r="H1032" s="197">
        <f>-2*G1032*F1032</f>
        <v>-5</v>
      </c>
    </row>
    <row r="1033" spans="2:8" s="71" customFormat="1" ht="19.5" customHeight="1" x14ac:dyDescent="0.25">
      <c r="B1033" s="371"/>
      <c r="C1033" s="372"/>
      <c r="D1033" s="214" t="s">
        <v>71</v>
      </c>
      <c r="E1033" s="277" t="s">
        <v>14</v>
      </c>
      <c r="F1033" s="276">
        <f>2.15+2.15</f>
        <v>4.3</v>
      </c>
      <c r="G1033" s="276">
        <v>3</v>
      </c>
      <c r="H1033" s="197">
        <f>G1033*F1033</f>
        <v>12.899999999999999</v>
      </c>
    </row>
    <row r="1034" spans="2:8" s="71" customFormat="1" ht="19.5" customHeight="1" x14ac:dyDescent="0.25">
      <c r="B1034" s="371"/>
      <c r="C1034" s="372"/>
      <c r="D1034" s="214" t="s">
        <v>72</v>
      </c>
      <c r="E1034" s="277" t="s">
        <v>14</v>
      </c>
      <c r="F1034" s="276">
        <v>0.7</v>
      </c>
      <c r="G1034" s="276">
        <v>2.1</v>
      </c>
      <c r="H1034" s="197">
        <f>-2*G1034*F1034</f>
        <v>-2.94</v>
      </c>
    </row>
    <row r="1035" spans="2:8" s="71" customFormat="1" ht="19.5" customHeight="1" x14ac:dyDescent="0.25">
      <c r="B1035" s="371"/>
      <c r="C1035" s="372"/>
      <c r="D1035" s="214" t="s">
        <v>514</v>
      </c>
      <c r="E1035" s="277" t="s">
        <v>14</v>
      </c>
      <c r="F1035" s="276">
        <v>1.6</v>
      </c>
      <c r="G1035" s="276">
        <v>0.6</v>
      </c>
      <c r="H1035" s="197">
        <f>G1035*F1035*-1</f>
        <v>-0.96</v>
      </c>
    </row>
    <row r="1036" spans="2:8" s="71" customFormat="1" ht="19.5" customHeight="1" x14ac:dyDescent="0.25">
      <c r="B1036" s="371"/>
      <c r="C1036" s="372"/>
      <c r="D1036" s="214" t="s">
        <v>73</v>
      </c>
      <c r="E1036" s="277" t="s">
        <v>14</v>
      </c>
      <c r="F1036" s="276">
        <f>7.43+7.43+5.01+5.01</f>
        <v>24.879999999999995</v>
      </c>
      <c r="G1036" s="276">
        <v>3</v>
      </c>
      <c r="H1036" s="197">
        <f>G1036*F1036</f>
        <v>74.639999999999986</v>
      </c>
    </row>
    <row r="1037" spans="2:8" s="71" customFormat="1" ht="19.5" customHeight="1" x14ac:dyDescent="0.25">
      <c r="B1037" s="371"/>
      <c r="C1037" s="372"/>
      <c r="D1037" s="214" t="s">
        <v>51</v>
      </c>
      <c r="E1037" s="277" t="s">
        <v>14</v>
      </c>
      <c r="F1037" s="276">
        <v>0.8</v>
      </c>
      <c r="G1037" s="276">
        <v>2.1</v>
      </c>
      <c r="H1037" s="197">
        <f>G1037*F1037*-1</f>
        <v>-1.6800000000000002</v>
      </c>
    </row>
    <row r="1038" spans="2:8" s="71" customFormat="1" ht="19.5" customHeight="1" x14ac:dyDescent="0.25">
      <c r="B1038" s="371"/>
      <c r="C1038" s="372"/>
      <c r="D1038" s="214" t="s">
        <v>70</v>
      </c>
      <c r="E1038" s="277" t="s">
        <v>14</v>
      </c>
      <c r="F1038" s="276">
        <v>2.5</v>
      </c>
      <c r="G1038" s="276">
        <v>1</v>
      </c>
      <c r="H1038" s="197">
        <f>-2*F1038*G1038</f>
        <v>-5</v>
      </c>
    </row>
    <row r="1039" spans="2:8" s="71" customFormat="1" ht="19.5" customHeight="1" x14ac:dyDescent="0.25">
      <c r="B1039" s="371"/>
      <c r="C1039" s="372"/>
      <c r="D1039" s="214" t="s">
        <v>74</v>
      </c>
      <c r="E1039" s="277" t="s">
        <v>14</v>
      </c>
      <c r="F1039" s="276">
        <f>7.65+7.65</f>
        <v>15.3</v>
      </c>
      <c r="G1039" s="276">
        <v>3</v>
      </c>
      <c r="H1039" s="197">
        <f>G1039*F1039</f>
        <v>45.900000000000006</v>
      </c>
    </row>
    <row r="1040" spans="2:8" s="71" customFormat="1" ht="19.5" customHeight="1" x14ac:dyDescent="0.25">
      <c r="B1040" s="371"/>
      <c r="C1040" s="372"/>
      <c r="D1040" s="214" t="s">
        <v>51</v>
      </c>
      <c r="E1040" s="277" t="s">
        <v>14</v>
      </c>
      <c r="F1040" s="276">
        <v>0.8</v>
      </c>
      <c r="G1040" s="276">
        <v>2.1</v>
      </c>
      <c r="H1040" s="197">
        <f>G1040*F1040*-1</f>
        <v>-1.6800000000000002</v>
      </c>
    </row>
    <row r="1041" spans="2:8" s="71" customFormat="1" ht="19.5" customHeight="1" x14ac:dyDescent="0.25">
      <c r="B1041" s="371"/>
      <c r="C1041" s="372"/>
      <c r="D1041" s="214" t="s">
        <v>70</v>
      </c>
      <c r="E1041" s="277" t="s">
        <v>14</v>
      </c>
      <c r="F1041" s="276">
        <v>2.5</v>
      </c>
      <c r="G1041" s="276">
        <v>1</v>
      </c>
      <c r="H1041" s="197">
        <f>-2*F1041*G1041</f>
        <v>-5</v>
      </c>
    </row>
    <row r="1042" spans="2:8" s="71" customFormat="1" ht="19.5" customHeight="1" x14ac:dyDescent="0.25">
      <c r="B1042" s="371"/>
      <c r="C1042" s="372"/>
      <c r="D1042" s="214" t="s">
        <v>75</v>
      </c>
      <c r="E1042" s="277" t="s">
        <v>14</v>
      </c>
      <c r="F1042" s="276">
        <f>7.51+7.51+4.97+4.97</f>
        <v>24.959999999999997</v>
      </c>
      <c r="G1042" s="276">
        <v>3</v>
      </c>
      <c r="H1042" s="197">
        <f>G1042*F1042</f>
        <v>74.88</v>
      </c>
    </row>
    <row r="1043" spans="2:8" s="71" customFormat="1" ht="19.5" customHeight="1" x14ac:dyDescent="0.25">
      <c r="B1043" s="371"/>
      <c r="C1043" s="372"/>
      <c r="D1043" s="214" t="s">
        <v>51</v>
      </c>
      <c r="E1043" s="277" t="s">
        <v>14</v>
      </c>
      <c r="F1043" s="276">
        <v>0.8</v>
      </c>
      <c r="G1043" s="276">
        <v>2.1</v>
      </c>
      <c r="H1043" s="197">
        <f>G1043*F1043*-1</f>
        <v>-1.6800000000000002</v>
      </c>
    </row>
    <row r="1044" spans="2:8" s="71" customFormat="1" ht="19.5" customHeight="1" x14ac:dyDescent="0.25">
      <c r="B1044" s="371"/>
      <c r="C1044" s="372"/>
      <c r="D1044" s="214" t="s">
        <v>70</v>
      </c>
      <c r="E1044" s="277" t="s">
        <v>14</v>
      </c>
      <c r="F1044" s="276">
        <v>2.5</v>
      </c>
      <c r="G1044" s="276">
        <v>1</v>
      </c>
      <c r="H1044" s="197">
        <f>-2*F1044*G1044</f>
        <v>-5</v>
      </c>
    </row>
    <row r="1045" spans="2:8" s="71" customFormat="1" ht="19.5" customHeight="1" x14ac:dyDescent="0.25">
      <c r="B1045" s="371"/>
      <c r="C1045" s="372"/>
      <c r="D1045" s="214" t="s">
        <v>76</v>
      </c>
      <c r="E1045" s="277" t="s">
        <v>14</v>
      </c>
      <c r="F1045" s="276">
        <f>1.41+7.72+5.22</f>
        <v>14.349999999999998</v>
      </c>
      <c r="G1045" s="276">
        <v>3</v>
      </c>
      <c r="H1045" s="197">
        <f>G1045*F1045</f>
        <v>43.05</v>
      </c>
    </row>
    <row r="1046" spans="2:8" s="71" customFormat="1" ht="19.5" customHeight="1" x14ac:dyDescent="0.25">
      <c r="B1046" s="371"/>
      <c r="C1046" s="372"/>
      <c r="D1046" s="214" t="s">
        <v>51</v>
      </c>
      <c r="E1046" s="277" t="s">
        <v>14</v>
      </c>
      <c r="F1046" s="276">
        <v>0.8</v>
      </c>
      <c r="G1046" s="276">
        <v>2.1</v>
      </c>
      <c r="H1046" s="197">
        <f>G1046*F1046*-1</f>
        <v>-1.6800000000000002</v>
      </c>
    </row>
    <row r="1047" spans="2:8" s="71" customFormat="1" ht="19.5" customHeight="1" x14ac:dyDescent="0.25">
      <c r="B1047" s="371"/>
      <c r="C1047" s="372"/>
      <c r="D1047" s="214" t="s">
        <v>70</v>
      </c>
      <c r="E1047" s="277" t="s">
        <v>14</v>
      </c>
      <c r="F1047" s="276">
        <v>2.5</v>
      </c>
      <c r="G1047" s="276">
        <v>1</v>
      </c>
      <c r="H1047" s="197">
        <f>-2*F1047*G1047</f>
        <v>-5</v>
      </c>
    </row>
    <row r="1048" spans="2:8" s="71" customFormat="1" ht="19.5" customHeight="1" x14ac:dyDescent="0.25">
      <c r="B1048" s="371"/>
      <c r="C1048" s="372"/>
      <c r="D1048" s="214" t="s">
        <v>77</v>
      </c>
      <c r="E1048" s="277" t="s">
        <v>14</v>
      </c>
      <c r="F1048" s="276">
        <f>5.98+5.93+5.98+5.93</f>
        <v>23.82</v>
      </c>
      <c r="G1048" s="276">
        <v>3</v>
      </c>
      <c r="H1048" s="197">
        <f>G1048*F1048</f>
        <v>71.460000000000008</v>
      </c>
    </row>
    <row r="1049" spans="2:8" s="71" customFormat="1" ht="19.5" customHeight="1" x14ac:dyDescent="0.25">
      <c r="B1049" s="371"/>
      <c r="C1049" s="372"/>
      <c r="D1049" s="214" t="s">
        <v>51</v>
      </c>
      <c r="E1049" s="277" t="s">
        <v>14</v>
      </c>
      <c r="F1049" s="276">
        <v>0.8</v>
      </c>
      <c r="G1049" s="276">
        <v>2.1</v>
      </c>
      <c r="H1049" s="197">
        <f>G1049*F1049*-1</f>
        <v>-1.6800000000000002</v>
      </c>
    </row>
    <row r="1050" spans="2:8" s="71" customFormat="1" ht="19.5" customHeight="1" x14ac:dyDescent="0.25">
      <c r="B1050" s="371"/>
      <c r="C1050" s="372"/>
      <c r="D1050" s="214" t="s">
        <v>65</v>
      </c>
      <c r="E1050" s="277" t="s">
        <v>14</v>
      </c>
      <c r="F1050" s="276">
        <v>2</v>
      </c>
      <c r="G1050" s="276">
        <v>1</v>
      </c>
      <c r="H1050" s="197">
        <f>-2*G1050*F1050</f>
        <v>-4</v>
      </c>
    </row>
    <row r="1051" spans="2:8" s="71" customFormat="1" ht="19.5" customHeight="1" x14ac:dyDescent="0.25">
      <c r="B1051" s="371"/>
      <c r="C1051" s="372"/>
      <c r="D1051" s="214" t="s">
        <v>78</v>
      </c>
      <c r="E1051" s="277" t="s">
        <v>14</v>
      </c>
      <c r="F1051" s="276">
        <f>6.13+6.13</f>
        <v>12.26</v>
      </c>
      <c r="G1051" s="276">
        <v>3</v>
      </c>
      <c r="H1051" s="197">
        <f>G1051*F1051</f>
        <v>36.78</v>
      </c>
    </row>
    <row r="1052" spans="2:8" s="71" customFormat="1" ht="19.5" customHeight="1" x14ac:dyDescent="0.25">
      <c r="B1052" s="371"/>
      <c r="C1052" s="372"/>
      <c r="D1052" s="214" t="s">
        <v>51</v>
      </c>
      <c r="E1052" s="277" t="s">
        <v>14</v>
      </c>
      <c r="F1052" s="276">
        <v>0.8</v>
      </c>
      <c r="G1052" s="276">
        <v>2.1</v>
      </c>
      <c r="H1052" s="197">
        <f>G1052*F1052*-1</f>
        <v>-1.6800000000000002</v>
      </c>
    </row>
    <row r="1053" spans="2:8" s="71" customFormat="1" ht="19.5" customHeight="1" x14ac:dyDescent="0.25">
      <c r="B1053" s="371"/>
      <c r="C1053" s="372"/>
      <c r="D1053" s="214" t="s">
        <v>65</v>
      </c>
      <c r="E1053" s="277" t="s">
        <v>14</v>
      </c>
      <c r="F1053" s="276">
        <v>2.1</v>
      </c>
      <c r="G1053" s="276">
        <v>1</v>
      </c>
      <c r="H1053" s="197">
        <f>-2*G1053*F1053</f>
        <v>-4.2</v>
      </c>
    </row>
    <row r="1054" spans="2:8" s="71" customFormat="1" ht="19.5" customHeight="1" x14ac:dyDescent="0.25">
      <c r="B1054" s="371"/>
      <c r="C1054" s="372"/>
      <c r="D1054" s="214" t="s">
        <v>79</v>
      </c>
      <c r="E1054" s="277" t="s">
        <v>14</v>
      </c>
      <c r="F1054" s="276">
        <f>0.85+0.85+5.26+5.26+1.35+1.35</f>
        <v>14.919999999999998</v>
      </c>
      <c r="G1054" s="276">
        <v>3</v>
      </c>
      <c r="H1054" s="197">
        <f>G1054*F1054</f>
        <v>44.759999999999991</v>
      </c>
    </row>
    <row r="1055" spans="2:8" s="71" customFormat="1" ht="19.5" customHeight="1" x14ac:dyDescent="0.25">
      <c r="B1055" s="371"/>
      <c r="C1055" s="372"/>
      <c r="D1055" s="214" t="s">
        <v>515</v>
      </c>
      <c r="E1055" s="277" t="s">
        <v>14</v>
      </c>
      <c r="F1055" s="276">
        <v>1.5</v>
      </c>
      <c r="G1055" s="276">
        <v>0.5</v>
      </c>
      <c r="H1055" s="197">
        <f>-2*G1055*F1055</f>
        <v>-1.5</v>
      </c>
    </row>
    <row r="1056" spans="2:8" s="71" customFormat="1" ht="19.5" customHeight="1" x14ac:dyDescent="0.25">
      <c r="B1056" s="371"/>
      <c r="C1056" s="372"/>
      <c r="D1056" s="214" t="s">
        <v>72</v>
      </c>
      <c r="E1056" s="277" t="s">
        <v>14</v>
      </c>
      <c r="F1056" s="276">
        <v>0.7</v>
      </c>
      <c r="G1056" s="276">
        <v>2.1</v>
      </c>
      <c r="H1056" s="197">
        <f>-2*G1056*F1056</f>
        <v>-2.94</v>
      </c>
    </row>
    <row r="1057" spans="2:8" s="71" customFormat="1" ht="19.5" customHeight="1" x14ac:dyDescent="0.25">
      <c r="B1057" s="371"/>
      <c r="C1057" s="372"/>
      <c r="D1057" s="214" t="s">
        <v>80</v>
      </c>
      <c r="E1057" s="277" t="s">
        <v>14</v>
      </c>
      <c r="F1057" s="276">
        <f>5.9+6.02+5.9+6.02</f>
        <v>23.84</v>
      </c>
      <c r="G1057" s="276">
        <v>3</v>
      </c>
      <c r="H1057" s="197">
        <f>G1057*F1057</f>
        <v>71.52</v>
      </c>
    </row>
    <row r="1058" spans="2:8" s="71" customFormat="1" ht="19.5" customHeight="1" x14ac:dyDescent="0.25">
      <c r="B1058" s="371"/>
      <c r="C1058" s="372"/>
      <c r="D1058" s="214" t="s">
        <v>51</v>
      </c>
      <c r="E1058" s="277" t="s">
        <v>14</v>
      </c>
      <c r="F1058" s="276">
        <v>0.8</v>
      </c>
      <c r="G1058" s="276">
        <v>2.1</v>
      </c>
      <c r="H1058" s="197">
        <f>G1058*F1058*-1</f>
        <v>-1.6800000000000002</v>
      </c>
    </row>
    <row r="1059" spans="2:8" s="71" customFormat="1" ht="19.5" customHeight="1" x14ac:dyDescent="0.25">
      <c r="B1059" s="371"/>
      <c r="C1059" s="372"/>
      <c r="D1059" s="214" t="s">
        <v>65</v>
      </c>
      <c r="E1059" s="277" t="s">
        <v>14</v>
      </c>
      <c r="F1059" s="276">
        <v>2</v>
      </c>
      <c r="G1059" s="276">
        <v>1</v>
      </c>
      <c r="H1059" s="197">
        <f>-2*G1059*F1059</f>
        <v>-4</v>
      </c>
    </row>
    <row r="1060" spans="2:8" s="71" customFormat="1" ht="19.5" customHeight="1" x14ac:dyDescent="0.25">
      <c r="B1060" s="371"/>
      <c r="C1060" s="372"/>
      <c r="D1060" s="214" t="s">
        <v>81</v>
      </c>
      <c r="E1060" s="277" t="s">
        <v>14</v>
      </c>
      <c r="F1060" s="276">
        <f>6.06+6.06+6.33</f>
        <v>18.45</v>
      </c>
      <c r="G1060" s="276">
        <v>3</v>
      </c>
      <c r="H1060" s="197">
        <f>G1060*F1060</f>
        <v>55.349999999999994</v>
      </c>
    </row>
    <row r="1061" spans="2:8" s="71" customFormat="1" ht="19.5" customHeight="1" x14ac:dyDescent="0.25">
      <c r="B1061" s="371"/>
      <c r="C1061" s="372"/>
      <c r="D1061" s="214" t="s">
        <v>51</v>
      </c>
      <c r="E1061" s="277" t="s">
        <v>14</v>
      </c>
      <c r="F1061" s="276">
        <v>0.8</v>
      </c>
      <c r="G1061" s="276">
        <v>2.1</v>
      </c>
      <c r="H1061" s="197">
        <f>G1061*F1061*-1</f>
        <v>-1.6800000000000002</v>
      </c>
    </row>
    <row r="1062" spans="2:8" s="71" customFormat="1" ht="19.5" customHeight="1" x14ac:dyDescent="0.25">
      <c r="B1062" s="371"/>
      <c r="C1062" s="372"/>
      <c r="D1062" s="214" t="s">
        <v>65</v>
      </c>
      <c r="E1062" s="277" t="s">
        <v>14</v>
      </c>
      <c r="F1062" s="276">
        <v>2</v>
      </c>
      <c r="G1062" s="276">
        <v>1</v>
      </c>
      <c r="H1062" s="197">
        <f>-2*G1062*F1062</f>
        <v>-4</v>
      </c>
    </row>
    <row r="1063" spans="2:8" s="71" customFormat="1" ht="19.5" customHeight="1" x14ac:dyDescent="0.25">
      <c r="B1063" s="371"/>
      <c r="C1063" s="372"/>
      <c r="D1063" s="206" t="s">
        <v>516</v>
      </c>
      <c r="E1063" s="277" t="s">
        <v>14</v>
      </c>
      <c r="F1063" s="303">
        <f>7.3+14.65+7.3+14.65</f>
        <v>43.9</v>
      </c>
      <c r="G1063" s="303">
        <v>0.53</v>
      </c>
      <c r="H1063" s="197">
        <f>G1063*F1063</f>
        <v>23.266999999999999</v>
      </c>
    </row>
    <row r="1064" spans="2:8" s="71" customFormat="1" ht="19.5" customHeight="1" x14ac:dyDescent="0.25">
      <c r="B1064" s="371"/>
      <c r="C1064" s="372"/>
      <c r="D1064" s="206" t="s">
        <v>517</v>
      </c>
      <c r="E1064" s="277" t="s">
        <v>14</v>
      </c>
      <c r="F1064" s="303">
        <f>0.9+0.9</f>
        <v>1.8</v>
      </c>
      <c r="G1064" s="303">
        <v>0.53</v>
      </c>
      <c r="H1064" s="197">
        <f>-G1064*F1064</f>
        <v>-0.95400000000000007</v>
      </c>
    </row>
    <row r="1065" spans="2:8" s="71" customFormat="1" ht="19.5" customHeight="1" x14ac:dyDescent="0.25">
      <c r="B1065" s="371"/>
      <c r="C1065" s="372"/>
      <c r="D1065" s="206" t="s">
        <v>518</v>
      </c>
      <c r="E1065" s="277" t="s">
        <v>14</v>
      </c>
      <c r="F1065" s="303">
        <v>2.1</v>
      </c>
      <c r="G1065" s="303">
        <v>4</v>
      </c>
      <c r="H1065" s="197">
        <f>G1065*F1065</f>
        <v>8.4</v>
      </c>
    </row>
    <row r="1066" spans="2:8" s="71" customFormat="1" ht="19.5" customHeight="1" x14ac:dyDescent="0.25">
      <c r="B1066" s="371"/>
      <c r="C1066" s="372"/>
      <c r="D1066" s="206" t="s">
        <v>519</v>
      </c>
      <c r="E1066" s="277" t="s">
        <v>14</v>
      </c>
      <c r="F1066" s="303">
        <v>1.7</v>
      </c>
      <c r="G1066" s="303">
        <v>2</v>
      </c>
      <c r="H1066" s="197">
        <f>-G1066*F1066</f>
        <v>-3.4</v>
      </c>
    </row>
    <row r="1067" spans="2:8" s="71" customFormat="1" ht="19.5" customHeight="1" x14ac:dyDescent="0.25">
      <c r="B1067" s="371"/>
      <c r="C1067" s="372"/>
      <c r="D1067" s="214" t="s">
        <v>520</v>
      </c>
      <c r="E1067" s="277" t="s">
        <v>14</v>
      </c>
      <c r="F1067" s="276">
        <v>4.7699999999999996</v>
      </c>
      <c r="G1067" s="276">
        <v>3</v>
      </c>
      <c r="H1067" s="197">
        <f>G1067*F1067*2</f>
        <v>28.619999999999997</v>
      </c>
    </row>
    <row r="1068" spans="2:8" s="71" customFormat="1" ht="19.5" customHeight="1" x14ac:dyDescent="0.25">
      <c r="B1068" s="371"/>
      <c r="C1068" s="372"/>
      <c r="D1068" s="214" t="s">
        <v>521</v>
      </c>
      <c r="E1068" s="277" t="s">
        <v>14</v>
      </c>
      <c r="F1068" s="276">
        <v>4.7699999999999996</v>
      </c>
      <c r="G1068" s="276">
        <v>1.95</v>
      </c>
      <c r="H1068" s="197">
        <f>G1068*F1068*-1</f>
        <v>-9.301499999999999</v>
      </c>
    </row>
    <row r="1069" spans="2:8" s="71" customFormat="1" ht="19.5" customHeight="1" x14ac:dyDescent="0.25">
      <c r="B1069" s="371"/>
      <c r="C1069" s="372"/>
      <c r="D1069" s="280" t="s">
        <v>95</v>
      </c>
      <c r="E1069" s="277" t="s">
        <v>14</v>
      </c>
      <c r="F1069" s="393">
        <v>22.62</v>
      </c>
      <c r="G1069" s="394"/>
      <c r="H1069" s="197">
        <f>F1069</f>
        <v>22.62</v>
      </c>
    </row>
    <row r="1070" spans="2:8" s="71" customFormat="1" ht="19.5" customHeight="1" x14ac:dyDescent="0.25">
      <c r="B1070" s="371"/>
      <c r="C1070" s="372"/>
      <c r="D1070" s="280" t="s">
        <v>96</v>
      </c>
      <c r="E1070" s="277" t="s">
        <v>14</v>
      </c>
      <c r="F1070" s="393">
        <v>11.75</v>
      </c>
      <c r="G1070" s="394"/>
      <c r="H1070" s="197">
        <f>F1070</f>
        <v>11.75</v>
      </c>
    </row>
    <row r="1071" spans="2:8" s="71" customFormat="1" ht="19.5" customHeight="1" x14ac:dyDescent="0.25">
      <c r="B1071" s="371"/>
      <c r="C1071" s="372"/>
      <c r="D1071" s="280" t="s">
        <v>97</v>
      </c>
      <c r="E1071" s="277" t="s">
        <v>14</v>
      </c>
      <c r="F1071" s="393">
        <v>13.32</v>
      </c>
      <c r="G1071" s="394"/>
      <c r="H1071" s="197">
        <f>F1071</f>
        <v>13.32</v>
      </c>
    </row>
    <row r="1072" spans="2:8" s="71" customFormat="1" ht="19.5" customHeight="1" x14ac:dyDescent="0.25">
      <c r="B1072" s="371"/>
      <c r="C1072" s="372"/>
      <c r="D1072" s="280" t="s">
        <v>522</v>
      </c>
      <c r="E1072" s="277" t="s">
        <v>14</v>
      </c>
      <c r="F1072" s="393">
        <f>3*4*0.35*2.82</f>
        <v>11.843999999999998</v>
      </c>
      <c r="G1072" s="394"/>
      <c r="H1072" s="197">
        <f>F1072</f>
        <v>11.843999999999998</v>
      </c>
    </row>
    <row r="1073" spans="2:8" s="71" customFormat="1" ht="19.5" customHeight="1" x14ac:dyDescent="0.25">
      <c r="B1073" s="371"/>
      <c r="C1073" s="372"/>
      <c r="D1073" s="280" t="s">
        <v>523</v>
      </c>
      <c r="E1073" s="277" t="s">
        <v>14</v>
      </c>
      <c r="F1073" s="231">
        <v>45.46</v>
      </c>
      <c r="G1073" s="231">
        <v>3</v>
      </c>
      <c r="H1073" s="197">
        <f>G1073*F1073</f>
        <v>136.38</v>
      </c>
    </row>
    <row r="1074" spans="2:8" s="71" customFormat="1" ht="19.5" customHeight="1" x14ac:dyDescent="0.25">
      <c r="B1074" s="371"/>
      <c r="C1074" s="372"/>
      <c r="D1074" s="280" t="s">
        <v>524</v>
      </c>
      <c r="E1074" s="277" t="s">
        <v>14</v>
      </c>
      <c r="F1074" s="231">
        <v>45.46</v>
      </c>
      <c r="G1074" s="231">
        <v>3</v>
      </c>
      <c r="H1074" s="197">
        <f>F1074*2</f>
        <v>90.92</v>
      </c>
    </row>
    <row r="1075" spans="2:8" s="71" customFormat="1" ht="19.5" customHeight="1" x14ac:dyDescent="0.25">
      <c r="B1075" s="371"/>
      <c r="C1075" s="372"/>
      <c r="D1075" s="280" t="s">
        <v>525</v>
      </c>
      <c r="E1075" s="277" t="s">
        <v>14</v>
      </c>
      <c r="F1075" s="231">
        <v>39</v>
      </c>
      <c r="G1075" s="231">
        <v>3</v>
      </c>
      <c r="H1075" s="197">
        <f>G1075*F1075*2</f>
        <v>234</v>
      </c>
    </row>
    <row r="1076" spans="2:8" s="71" customFormat="1" ht="19.5" customHeight="1" x14ac:dyDescent="0.25">
      <c r="B1076" s="373"/>
      <c r="C1076" s="374"/>
      <c r="D1076" s="280" t="s">
        <v>526</v>
      </c>
      <c r="E1076" s="277" t="s">
        <v>14</v>
      </c>
      <c r="F1076" s="231">
        <v>39</v>
      </c>
      <c r="G1076" s="231">
        <v>3</v>
      </c>
      <c r="H1076" s="197">
        <f>G1076*F1076*2</f>
        <v>234</v>
      </c>
    </row>
    <row r="1077" spans="2:8" s="71" customFormat="1" ht="19.5" customHeight="1" x14ac:dyDescent="0.25">
      <c r="B1077" s="198" t="s">
        <v>527</v>
      </c>
      <c r="C1077" s="108">
        <v>261304</v>
      </c>
      <c r="D1077" s="77" t="s">
        <v>528</v>
      </c>
      <c r="E1077" s="76" t="s">
        <v>14</v>
      </c>
      <c r="F1077" s="298" t="s">
        <v>15</v>
      </c>
      <c r="G1077" s="298" t="s">
        <v>16</v>
      </c>
      <c r="H1077" s="199">
        <f>SUM(H1078:H1135)</f>
        <v>760.88249999999982</v>
      </c>
    </row>
    <row r="1078" spans="2:8" s="71" customFormat="1" ht="19.5" customHeight="1" x14ac:dyDescent="0.25">
      <c r="B1078" s="369"/>
      <c r="C1078" s="370"/>
      <c r="D1078" s="70" t="s">
        <v>21</v>
      </c>
      <c r="E1078" s="277" t="s">
        <v>14</v>
      </c>
      <c r="F1078" s="276">
        <v>46.57</v>
      </c>
      <c r="G1078" s="276">
        <v>3</v>
      </c>
      <c r="H1078" s="197">
        <f>G1078*F1078</f>
        <v>139.71</v>
      </c>
    </row>
    <row r="1079" spans="2:8" s="71" customFormat="1" ht="19.5" customHeight="1" x14ac:dyDescent="0.25">
      <c r="B1079" s="371"/>
      <c r="C1079" s="372"/>
      <c r="D1079" s="70" t="s">
        <v>22</v>
      </c>
      <c r="E1079" s="277" t="s">
        <v>14</v>
      </c>
      <c r="F1079" s="205">
        <v>2</v>
      </c>
      <c r="G1079" s="276">
        <v>1</v>
      </c>
      <c r="H1079" s="197">
        <f>-4*G1079*F1079</f>
        <v>-8</v>
      </c>
    </row>
    <row r="1080" spans="2:8" s="71" customFormat="1" ht="19.5" customHeight="1" x14ac:dyDescent="0.25">
      <c r="B1080" s="371"/>
      <c r="C1080" s="372"/>
      <c r="D1080" s="70" t="s">
        <v>23</v>
      </c>
      <c r="E1080" s="277" t="s">
        <v>14</v>
      </c>
      <c r="F1080" s="276">
        <v>0.8</v>
      </c>
      <c r="G1080" s="276">
        <v>2.1</v>
      </c>
      <c r="H1080" s="197">
        <f>-G1080*F1080</f>
        <v>-1.6800000000000002</v>
      </c>
    </row>
    <row r="1081" spans="2:8" s="71" customFormat="1" ht="19.5" customHeight="1" x14ac:dyDescent="0.25">
      <c r="B1081" s="371"/>
      <c r="C1081" s="372"/>
      <c r="D1081" s="70" t="s">
        <v>513</v>
      </c>
      <c r="E1081" s="277" t="s">
        <v>14</v>
      </c>
      <c r="F1081" s="276">
        <v>0.6</v>
      </c>
      <c r="G1081" s="276">
        <v>0.36</v>
      </c>
      <c r="H1081" s="197">
        <f>-G1081*F1081*2</f>
        <v>-0.432</v>
      </c>
    </row>
    <row r="1082" spans="2:8" s="71" customFormat="1" ht="19.5" customHeight="1" x14ac:dyDescent="0.25">
      <c r="B1082" s="371"/>
      <c r="C1082" s="372"/>
      <c r="D1082" s="70" t="s">
        <v>32</v>
      </c>
      <c r="E1082" s="277" t="s">
        <v>14</v>
      </c>
      <c r="F1082" s="205">
        <v>10.025</v>
      </c>
      <c r="G1082" s="205">
        <v>3</v>
      </c>
      <c r="H1082" s="197">
        <f>G1082*F1082</f>
        <v>30.075000000000003</v>
      </c>
    </row>
    <row r="1083" spans="2:8" s="71" customFormat="1" ht="19.5" customHeight="1" x14ac:dyDescent="0.25">
      <c r="B1083" s="371"/>
      <c r="C1083" s="372"/>
      <c r="D1083" s="70" t="s">
        <v>30</v>
      </c>
      <c r="E1083" s="277" t="s">
        <v>14</v>
      </c>
      <c r="F1083" s="276">
        <v>0.8</v>
      </c>
      <c r="G1083" s="276">
        <v>2.1</v>
      </c>
      <c r="H1083" s="197">
        <f>-G1083*F1083*3</f>
        <v>-5.0400000000000009</v>
      </c>
    </row>
    <row r="1084" spans="2:8" s="71" customFormat="1" ht="19.5" customHeight="1" x14ac:dyDescent="0.25">
      <c r="B1084" s="371"/>
      <c r="C1084" s="372"/>
      <c r="D1084" s="70" t="s">
        <v>31</v>
      </c>
      <c r="E1084" s="277" t="s">
        <v>14</v>
      </c>
      <c r="F1084" s="205">
        <v>1.5</v>
      </c>
      <c r="G1084" s="205">
        <v>1</v>
      </c>
      <c r="H1084" s="197">
        <f>G1084*F1084</f>
        <v>1.5</v>
      </c>
    </row>
    <row r="1085" spans="2:8" s="71" customFormat="1" ht="19.5" customHeight="1" x14ac:dyDescent="0.25">
      <c r="B1085" s="371"/>
      <c r="C1085" s="372"/>
      <c r="D1085" s="70" t="s">
        <v>36</v>
      </c>
      <c r="E1085" s="277" t="s">
        <v>14</v>
      </c>
      <c r="F1085" s="276">
        <f>3.17+0.075+8.42+3.22</f>
        <v>14.885</v>
      </c>
      <c r="G1085" s="276">
        <v>3</v>
      </c>
      <c r="H1085" s="197">
        <f>G1085*F1085</f>
        <v>44.655000000000001</v>
      </c>
    </row>
    <row r="1086" spans="2:8" s="71" customFormat="1" ht="19.5" customHeight="1" x14ac:dyDescent="0.25">
      <c r="B1086" s="371"/>
      <c r="C1086" s="372"/>
      <c r="D1086" s="70" t="s">
        <v>34</v>
      </c>
      <c r="E1086" s="277" t="s">
        <v>14</v>
      </c>
      <c r="F1086" s="303">
        <v>1.1000000000000001</v>
      </c>
      <c r="G1086" s="303">
        <v>1</v>
      </c>
      <c r="H1086" s="197">
        <f>G1086*F1086*-2</f>
        <v>-2.2000000000000002</v>
      </c>
    </row>
    <row r="1087" spans="2:8" s="71" customFormat="1" ht="19.5" customHeight="1" x14ac:dyDescent="0.25">
      <c r="B1087" s="371"/>
      <c r="C1087" s="372"/>
      <c r="D1087" s="70" t="s">
        <v>37</v>
      </c>
      <c r="E1087" s="277" t="s">
        <v>14</v>
      </c>
      <c r="F1087" s="303">
        <v>0.8</v>
      </c>
      <c r="G1087" s="276">
        <v>0.6</v>
      </c>
      <c r="H1087" s="197">
        <f>G1087*F1087*-2</f>
        <v>-0.96</v>
      </c>
    </row>
    <row r="1088" spans="2:8" s="71" customFormat="1" ht="19.5" customHeight="1" x14ac:dyDescent="0.25">
      <c r="B1088" s="371"/>
      <c r="C1088" s="372"/>
      <c r="D1088" s="70" t="s">
        <v>40</v>
      </c>
      <c r="E1088" s="277" t="s">
        <v>14</v>
      </c>
      <c r="F1088" s="303">
        <f>4.65+4.43</f>
        <v>9.08</v>
      </c>
      <c r="G1088" s="276">
        <v>3</v>
      </c>
      <c r="H1088" s="197">
        <f>G1088*F1088</f>
        <v>27.240000000000002</v>
      </c>
    </row>
    <row r="1089" spans="2:8" s="71" customFormat="1" ht="19.5" customHeight="1" x14ac:dyDescent="0.25">
      <c r="B1089" s="371"/>
      <c r="C1089" s="372"/>
      <c r="D1089" s="70" t="s">
        <v>23</v>
      </c>
      <c r="E1089" s="277" t="s">
        <v>14</v>
      </c>
      <c r="F1089" s="303">
        <v>0.8</v>
      </c>
      <c r="G1089" s="276">
        <v>2.1</v>
      </c>
      <c r="H1089" s="197">
        <f>-G1089*F1089</f>
        <v>-1.6800000000000002</v>
      </c>
    </row>
    <row r="1090" spans="2:8" s="71" customFormat="1" ht="19.5" customHeight="1" x14ac:dyDescent="0.25">
      <c r="B1090" s="371"/>
      <c r="C1090" s="372"/>
      <c r="D1090" s="70" t="s">
        <v>31</v>
      </c>
      <c r="E1090" s="277" t="s">
        <v>14</v>
      </c>
      <c r="F1090" s="276">
        <v>1.5</v>
      </c>
      <c r="G1090" s="276">
        <v>1</v>
      </c>
      <c r="H1090" s="197">
        <f>G1090*F1090*-2</f>
        <v>-3</v>
      </c>
    </row>
    <row r="1091" spans="2:8" s="71" customFormat="1" ht="19.5" customHeight="1" x14ac:dyDescent="0.25">
      <c r="B1091" s="371"/>
      <c r="C1091" s="372"/>
      <c r="D1091" s="70" t="s">
        <v>44</v>
      </c>
      <c r="E1091" s="277" t="s">
        <v>14</v>
      </c>
      <c r="F1091" s="303">
        <f>5.71+4.15+0.075</f>
        <v>9.9349999999999987</v>
      </c>
      <c r="G1091" s="276">
        <v>3</v>
      </c>
      <c r="H1091" s="197">
        <f>G1091*F1091</f>
        <v>29.804999999999996</v>
      </c>
    </row>
    <row r="1092" spans="2:8" s="71" customFormat="1" ht="19.5" customHeight="1" x14ac:dyDescent="0.25">
      <c r="B1092" s="371"/>
      <c r="C1092" s="372"/>
      <c r="D1092" s="70" t="s">
        <v>45</v>
      </c>
      <c r="E1092" s="277" t="s">
        <v>14</v>
      </c>
      <c r="F1092" s="303">
        <v>0.8</v>
      </c>
      <c r="G1092" s="276">
        <v>2.1</v>
      </c>
      <c r="H1092" s="197">
        <f>-G1092*F1092</f>
        <v>-1.6800000000000002</v>
      </c>
    </row>
    <row r="1093" spans="2:8" s="71" customFormat="1" ht="19.5" customHeight="1" x14ac:dyDescent="0.25">
      <c r="B1093" s="371"/>
      <c r="C1093" s="372"/>
      <c r="D1093" s="70" t="s">
        <v>31</v>
      </c>
      <c r="E1093" s="277" t="s">
        <v>14</v>
      </c>
      <c r="F1093" s="276">
        <v>1.5</v>
      </c>
      <c r="G1093" s="276">
        <v>1</v>
      </c>
      <c r="H1093" s="197">
        <f>-2*G1093*F1093</f>
        <v>-3</v>
      </c>
    </row>
    <row r="1094" spans="2:8" s="71" customFormat="1" ht="19.5" customHeight="1" x14ac:dyDescent="0.25">
      <c r="B1094" s="373"/>
      <c r="C1094" s="374"/>
      <c r="D1094" s="70" t="s">
        <v>46</v>
      </c>
      <c r="E1094" s="277" t="s">
        <v>14</v>
      </c>
      <c r="F1094" s="303">
        <f>2.66+6.26</f>
        <v>8.92</v>
      </c>
      <c r="G1094" s="276">
        <v>3</v>
      </c>
      <c r="H1094" s="197">
        <f>G1094*F1094</f>
        <v>26.759999999999998</v>
      </c>
    </row>
    <row r="1095" spans="2:8" s="71" customFormat="1" ht="19.5" customHeight="1" x14ac:dyDescent="0.25">
      <c r="B1095" s="200"/>
      <c r="C1095" s="163"/>
      <c r="D1095" s="70" t="s">
        <v>35</v>
      </c>
      <c r="E1095" s="277" t="s">
        <v>14</v>
      </c>
      <c r="F1095" s="303">
        <v>0.7</v>
      </c>
      <c r="G1095" s="276">
        <v>2.1</v>
      </c>
      <c r="H1095" s="197">
        <f>G1095*F1095*-1</f>
        <v>-1.47</v>
      </c>
    </row>
    <row r="1096" spans="2:8" s="71" customFormat="1" ht="19.5" customHeight="1" x14ac:dyDescent="0.25">
      <c r="B1096" s="200"/>
      <c r="C1096" s="163"/>
      <c r="D1096" s="70" t="s">
        <v>47</v>
      </c>
      <c r="E1096" s="277" t="s">
        <v>14</v>
      </c>
      <c r="F1096" s="205">
        <v>0.6</v>
      </c>
      <c r="G1096" s="276">
        <v>0.4</v>
      </c>
      <c r="H1096" s="197">
        <f>G1096*F1096*-3</f>
        <v>-0.72</v>
      </c>
    </row>
    <row r="1097" spans="2:8" s="71" customFormat="1" ht="19.5" customHeight="1" x14ac:dyDescent="0.25">
      <c r="B1097" s="200"/>
      <c r="C1097" s="163"/>
      <c r="D1097" s="70" t="s">
        <v>53</v>
      </c>
      <c r="E1097" s="277" t="s">
        <v>14</v>
      </c>
      <c r="F1097" s="205">
        <v>19.541</v>
      </c>
      <c r="G1097" s="303">
        <v>3</v>
      </c>
      <c r="H1097" s="197">
        <f>G1097*F1097</f>
        <v>58.623000000000005</v>
      </c>
    </row>
    <row r="1098" spans="2:8" s="71" customFormat="1" ht="19.5" customHeight="1" x14ac:dyDescent="0.25">
      <c r="B1098" s="200"/>
      <c r="C1098" s="163"/>
      <c r="D1098" s="70" t="s">
        <v>51</v>
      </c>
      <c r="E1098" s="277" t="s">
        <v>14</v>
      </c>
      <c r="F1098" s="205">
        <v>0.8</v>
      </c>
      <c r="G1098" s="303">
        <v>2.1</v>
      </c>
      <c r="H1098" s="197">
        <f>-G1098*F1098</f>
        <v>-1.6800000000000002</v>
      </c>
    </row>
    <row r="1099" spans="2:8" s="71" customFormat="1" ht="19.5" customHeight="1" x14ac:dyDescent="0.25">
      <c r="B1099" s="200"/>
      <c r="C1099" s="163"/>
      <c r="D1099" s="70" t="s">
        <v>54</v>
      </c>
      <c r="E1099" s="277" t="s">
        <v>14</v>
      </c>
      <c r="F1099" s="205">
        <v>1.5</v>
      </c>
      <c r="G1099" s="276">
        <v>1</v>
      </c>
      <c r="H1099" s="197">
        <f>-2*G1099*F1099</f>
        <v>-3</v>
      </c>
    </row>
    <row r="1100" spans="2:8" s="71" customFormat="1" ht="19.5" customHeight="1" x14ac:dyDescent="0.25">
      <c r="B1100" s="200"/>
      <c r="C1100" s="163"/>
      <c r="D1100" s="70" t="s">
        <v>52</v>
      </c>
      <c r="E1100" s="277" t="s">
        <v>14</v>
      </c>
      <c r="F1100" s="205">
        <v>2.5</v>
      </c>
      <c r="G1100" s="276">
        <v>1</v>
      </c>
      <c r="H1100" s="197">
        <f>-G1100*F1100</f>
        <v>-2.5</v>
      </c>
    </row>
    <row r="1101" spans="2:8" s="71" customFormat="1" ht="19.5" customHeight="1" x14ac:dyDescent="0.25">
      <c r="B1101" s="200"/>
      <c r="C1101" s="163"/>
      <c r="D1101" s="70" t="s">
        <v>57</v>
      </c>
      <c r="E1101" s="277" t="s">
        <v>14</v>
      </c>
      <c r="F1101" s="205">
        <v>4.0659999999999998</v>
      </c>
      <c r="G1101" s="303">
        <v>3</v>
      </c>
      <c r="H1101" s="197">
        <f>G1101*F1101</f>
        <v>12.198</v>
      </c>
    </row>
    <row r="1102" spans="2:8" s="71" customFormat="1" ht="19.5" customHeight="1" x14ac:dyDescent="0.25">
      <c r="B1102" s="200"/>
      <c r="C1102" s="163"/>
      <c r="D1102" s="70" t="s">
        <v>56</v>
      </c>
      <c r="E1102" s="277" t="s">
        <v>14</v>
      </c>
      <c r="F1102" s="205">
        <v>1.45</v>
      </c>
      <c r="G1102" s="276">
        <v>1</v>
      </c>
      <c r="H1102" s="197">
        <f>-G1102*F1102</f>
        <v>-1.45</v>
      </c>
    </row>
    <row r="1103" spans="2:8" s="71" customFormat="1" ht="19.5" customHeight="1" x14ac:dyDescent="0.25">
      <c r="B1103" s="200"/>
      <c r="C1103" s="163"/>
      <c r="D1103" s="70" t="s">
        <v>62</v>
      </c>
      <c r="E1103" s="277" t="s">
        <v>14</v>
      </c>
      <c r="F1103" s="205">
        <f>6.11+6.11</f>
        <v>12.22</v>
      </c>
      <c r="G1103" s="276">
        <v>3</v>
      </c>
      <c r="H1103" s="197">
        <f>G1103*F1103</f>
        <v>36.660000000000004</v>
      </c>
    </row>
    <row r="1104" spans="2:8" s="71" customFormat="1" ht="19.5" customHeight="1" x14ac:dyDescent="0.25">
      <c r="B1104" s="200"/>
      <c r="C1104" s="163"/>
      <c r="D1104" s="70" t="s">
        <v>51</v>
      </c>
      <c r="E1104" s="277" t="s">
        <v>14</v>
      </c>
      <c r="F1104" s="205">
        <v>0.8</v>
      </c>
      <c r="G1104" s="276">
        <v>2.1</v>
      </c>
      <c r="H1104" s="197">
        <f>-G1104*F1104</f>
        <v>-1.6800000000000002</v>
      </c>
    </row>
    <row r="1105" spans="2:8" s="71" customFormat="1" ht="19.5" customHeight="1" x14ac:dyDescent="0.25">
      <c r="B1105" s="200"/>
      <c r="C1105" s="163"/>
      <c r="D1105" s="70" t="s">
        <v>63</v>
      </c>
      <c r="E1105" s="277" t="s">
        <v>14</v>
      </c>
      <c r="F1105" s="205">
        <v>1.5</v>
      </c>
      <c r="G1105" s="276">
        <v>1</v>
      </c>
      <c r="H1105" s="197">
        <f>-3*G1105*F1105</f>
        <v>-4.5</v>
      </c>
    </row>
    <row r="1106" spans="2:8" s="71" customFormat="1" ht="19.5" customHeight="1" x14ac:dyDescent="0.25">
      <c r="B1106" s="200"/>
      <c r="C1106" s="163"/>
      <c r="D1106" s="70" t="s">
        <v>64</v>
      </c>
      <c r="E1106" s="277" t="s">
        <v>14</v>
      </c>
      <c r="F1106" s="205">
        <v>22.36</v>
      </c>
      <c r="G1106" s="303">
        <v>3</v>
      </c>
      <c r="H1106" s="197">
        <f>G1106*F1106</f>
        <v>67.08</v>
      </c>
    </row>
    <row r="1107" spans="2:8" s="71" customFormat="1" ht="19.5" customHeight="1" x14ac:dyDescent="0.25">
      <c r="B1107" s="200"/>
      <c r="C1107" s="163"/>
      <c r="D1107" s="70" t="s">
        <v>61</v>
      </c>
      <c r="E1107" s="277" t="s">
        <v>14</v>
      </c>
      <c r="F1107" s="303">
        <v>2</v>
      </c>
      <c r="G1107" s="276">
        <v>2.1</v>
      </c>
      <c r="H1107" s="197">
        <f>-G1107*F1107*1</f>
        <v>-4.2</v>
      </c>
    </row>
    <row r="1108" spans="2:8" s="71" customFormat="1" ht="19.5" customHeight="1" x14ac:dyDescent="0.25">
      <c r="B1108" s="200"/>
      <c r="C1108" s="163"/>
      <c r="D1108" s="70" t="s">
        <v>65</v>
      </c>
      <c r="E1108" s="277" t="s">
        <v>14</v>
      </c>
      <c r="F1108" s="303">
        <v>2</v>
      </c>
      <c r="G1108" s="276">
        <v>1</v>
      </c>
      <c r="H1108" s="197">
        <f>-2*G1108*F1108</f>
        <v>-4</v>
      </c>
    </row>
    <row r="1109" spans="2:8" s="71" customFormat="1" ht="19.5" customHeight="1" x14ac:dyDescent="0.25">
      <c r="B1109" s="200"/>
      <c r="C1109" s="163"/>
      <c r="D1109" s="70" t="s">
        <v>69</v>
      </c>
      <c r="E1109" s="277" t="s">
        <v>14</v>
      </c>
      <c r="F1109" s="276">
        <f>1.11+5.22+7.43</f>
        <v>13.76</v>
      </c>
      <c r="G1109" s="276">
        <v>3</v>
      </c>
      <c r="H1109" s="197">
        <f>G1109*F1109</f>
        <v>41.28</v>
      </c>
    </row>
    <row r="1110" spans="2:8" s="71" customFormat="1" ht="19.5" customHeight="1" x14ac:dyDescent="0.25">
      <c r="B1110" s="200"/>
      <c r="C1110" s="163"/>
      <c r="D1110" s="70" t="s">
        <v>51</v>
      </c>
      <c r="E1110" s="277" t="s">
        <v>14</v>
      </c>
      <c r="F1110" s="276">
        <v>0.8</v>
      </c>
      <c r="G1110" s="276">
        <v>2.1</v>
      </c>
      <c r="H1110" s="197">
        <f>-G1110*F1110</f>
        <v>-1.6800000000000002</v>
      </c>
    </row>
    <row r="1111" spans="2:8" s="71" customFormat="1" ht="19.5" customHeight="1" x14ac:dyDescent="0.25">
      <c r="B1111" s="200"/>
      <c r="C1111" s="163"/>
      <c r="D1111" s="70" t="s">
        <v>70</v>
      </c>
      <c r="E1111" s="277" t="s">
        <v>14</v>
      </c>
      <c r="F1111" s="276">
        <v>2.5</v>
      </c>
      <c r="G1111" s="276">
        <v>1</v>
      </c>
      <c r="H1111" s="197">
        <f>-2*G1111*F1111</f>
        <v>-5</v>
      </c>
    </row>
    <row r="1112" spans="2:8" s="71" customFormat="1" ht="19.5" customHeight="1" x14ac:dyDescent="0.25">
      <c r="B1112" s="200"/>
      <c r="C1112" s="163"/>
      <c r="D1112" s="70" t="s">
        <v>71</v>
      </c>
      <c r="E1112" s="277" t="s">
        <v>14</v>
      </c>
      <c r="F1112" s="276">
        <f>2.15+2.15</f>
        <v>4.3</v>
      </c>
      <c r="G1112" s="276">
        <v>3</v>
      </c>
      <c r="H1112" s="197">
        <f>G1112*F1112</f>
        <v>12.899999999999999</v>
      </c>
    </row>
    <row r="1113" spans="2:8" s="71" customFormat="1" ht="19.5" customHeight="1" x14ac:dyDescent="0.25">
      <c r="B1113" s="200"/>
      <c r="C1113" s="163"/>
      <c r="D1113" s="70" t="s">
        <v>72</v>
      </c>
      <c r="E1113" s="277" t="s">
        <v>14</v>
      </c>
      <c r="F1113" s="276">
        <v>0.7</v>
      </c>
      <c r="G1113" s="276">
        <v>2.1</v>
      </c>
      <c r="H1113" s="197">
        <f>-2*G1113*F1113</f>
        <v>-2.94</v>
      </c>
    </row>
    <row r="1114" spans="2:8" s="71" customFormat="1" ht="19.5" customHeight="1" x14ac:dyDescent="0.25">
      <c r="B1114" s="200"/>
      <c r="C1114" s="163"/>
      <c r="D1114" s="70" t="s">
        <v>514</v>
      </c>
      <c r="E1114" s="277" t="s">
        <v>14</v>
      </c>
      <c r="F1114" s="276">
        <v>1.6</v>
      </c>
      <c r="G1114" s="276">
        <v>0.6</v>
      </c>
      <c r="H1114" s="197">
        <f>G1114*F1114*-1</f>
        <v>-0.96</v>
      </c>
    </row>
    <row r="1115" spans="2:8" s="71" customFormat="1" ht="19.5" customHeight="1" x14ac:dyDescent="0.25">
      <c r="B1115" s="200"/>
      <c r="C1115" s="163"/>
      <c r="D1115" s="70" t="s">
        <v>74</v>
      </c>
      <c r="E1115" s="277" t="s">
        <v>14</v>
      </c>
      <c r="F1115" s="276">
        <f>7.65+7.65</f>
        <v>15.3</v>
      </c>
      <c r="G1115" s="276">
        <v>3</v>
      </c>
      <c r="H1115" s="197">
        <f>G1115*F1115</f>
        <v>45.900000000000006</v>
      </c>
    </row>
    <row r="1116" spans="2:8" s="71" customFormat="1" ht="19.5" customHeight="1" x14ac:dyDescent="0.25">
      <c r="B1116" s="200"/>
      <c r="C1116" s="163"/>
      <c r="D1116" s="70" t="s">
        <v>51</v>
      </c>
      <c r="E1116" s="277" t="s">
        <v>14</v>
      </c>
      <c r="F1116" s="276">
        <v>0.8</v>
      </c>
      <c r="G1116" s="276">
        <v>2.1</v>
      </c>
      <c r="H1116" s="197">
        <f>G1116*F1116*-1</f>
        <v>-1.6800000000000002</v>
      </c>
    </row>
    <row r="1117" spans="2:8" s="71" customFormat="1" ht="19.5" customHeight="1" x14ac:dyDescent="0.25">
      <c r="B1117" s="200"/>
      <c r="C1117" s="163"/>
      <c r="D1117" s="70" t="s">
        <v>70</v>
      </c>
      <c r="E1117" s="277" t="s">
        <v>14</v>
      </c>
      <c r="F1117" s="276">
        <v>2.5</v>
      </c>
      <c r="G1117" s="276">
        <v>1</v>
      </c>
      <c r="H1117" s="197">
        <f>-2*F1117*G1117</f>
        <v>-5</v>
      </c>
    </row>
    <row r="1118" spans="2:8" s="71" customFormat="1" ht="19.5" customHeight="1" x14ac:dyDescent="0.25">
      <c r="B1118" s="200"/>
      <c r="C1118" s="163"/>
      <c r="D1118" s="70" t="s">
        <v>76</v>
      </c>
      <c r="E1118" s="277" t="s">
        <v>14</v>
      </c>
      <c r="F1118" s="276">
        <v>16.98</v>
      </c>
      <c r="G1118" s="276">
        <v>3</v>
      </c>
      <c r="H1118" s="197">
        <f>G1118*F1118</f>
        <v>50.94</v>
      </c>
    </row>
    <row r="1119" spans="2:8" s="71" customFormat="1" ht="19.5" customHeight="1" x14ac:dyDescent="0.25">
      <c r="B1119" s="200"/>
      <c r="C1119" s="163"/>
      <c r="D1119" s="70" t="s">
        <v>51</v>
      </c>
      <c r="E1119" s="277" t="s">
        <v>14</v>
      </c>
      <c r="F1119" s="276">
        <v>0.8</v>
      </c>
      <c r="G1119" s="276">
        <v>2.1</v>
      </c>
      <c r="H1119" s="197">
        <f>G1119*F1119*-1</f>
        <v>-1.6800000000000002</v>
      </c>
    </row>
    <row r="1120" spans="2:8" s="71" customFormat="1" ht="19.5" customHeight="1" x14ac:dyDescent="0.25">
      <c r="B1120" s="200"/>
      <c r="C1120" s="163"/>
      <c r="D1120" s="70" t="s">
        <v>70</v>
      </c>
      <c r="E1120" s="277" t="s">
        <v>14</v>
      </c>
      <c r="F1120" s="276">
        <v>2.5</v>
      </c>
      <c r="G1120" s="276">
        <v>1</v>
      </c>
      <c r="H1120" s="197">
        <f>-2*F1120*G1120</f>
        <v>-5</v>
      </c>
    </row>
    <row r="1121" spans="2:8" s="71" customFormat="1" ht="19.5" customHeight="1" x14ac:dyDescent="0.25">
      <c r="B1121" s="200"/>
      <c r="C1121" s="163"/>
      <c r="D1121" s="70" t="s">
        <v>78</v>
      </c>
      <c r="E1121" s="277" t="s">
        <v>14</v>
      </c>
      <c r="F1121" s="276">
        <f>6.13+6.13</f>
        <v>12.26</v>
      </c>
      <c r="G1121" s="276">
        <v>3</v>
      </c>
      <c r="H1121" s="197">
        <f>G1121*F1121</f>
        <v>36.78</v>
      </c>
    </row>
    <row r="1122" spans="2:8" s="71" customFormat="1" ht="19.5" customHeight="1" x14ac:dyDescent="0.25">
      <c r="B1122" s="200"/>
      <c r="C1122" s="163"/>
      <c r="D1122" s="70" t="s">
        <v>51</v>
      </c>
      <c r="E1122" s="277" t="s">
        <v>14</v>
      </c>
      <c r="F1122" s="276">
        <v>0.8</v>
      </c>
      <c r="G1122" s="276">
        <v>2.1</v>
      </c>
      <c r="H1122" s="197">
        <f>G1122*F1122*-1</f>
        <v>-1.6800000000000002</v>
      </c>
    </row>
    <row r="1123" spans="2:8" s="71" customFormat="1" ht="19.5" customHeight="1" x14ac:dyDescent="0.25">
      <c r="B1123" s="200"/>
      <c r="C1123" s="163"/>
      <c r="D1123" s="70" t="s">
        <v>65</v>
      </c>
      <c r="E1123" s="277" t="s">
        <v>14</v>
      </c>
      <c r="F1123" s="276">
        <v>2.1</v>
      </c>
      <c r="G1123" s="276">
        <v>1</v>
      </c>
      <c r="H1123" s="197">
        <f>-2*G1123*F1123</f>
        <v>-4.2</v>
      </c>
    </row>
    <row r="1124" spans="2:8" s="71" customFormat="1" ht="19.5" customHeight="1" x14ac:dyDescent="0.25">
      <c r="B1124" s="200"/>
      <c r="C1124" s="163"/>
      <c r="D1124" s="70" t="s">
        <v>79</v>
      </c>
      <c r="E1124" s="277" t="s">
        <v>14</v>
      </c>
      <c r="F1124" s="276">
        <f>0.85+0.85+5.26+5.26+1.35+1.35</f>
        <v>14.919999999999998</v>
      </c>
      <c r="G1124" s="276">
        <v>3</v>
      </c>
      <c r="H1124" s="197">
        <f>G1124*F1124</f>
        <v>44.759999999999991</v>
      </c>
    </row>
    <row r="1125" spans="2:8" s="71" customFormat="1" ht="19.5" customHeight="1" x14ac:dyDescent="0.25">
      <c r="B1125" s="200"/>
      <c r="C1125" s="163"/>
      <c r="D1125" s="70" t="s">
        <v>515</v>
      </c>
      <c r="E1125" s="277" t="s">
        <v>14</v>
      </c>
      <c r="F1125" s="276">
        <v>1.5</v>
      </c>
      <c r="G1125" s="276">
        <v>0.5</v>
      </c>
      <c r="H1125" s="197">
        <f>-2*G1125*F1125</f>
        <v>-1.5</v>
      </c>
    </row>
    <row r="1126" spans="2:8" s="71" customFormat="1" ht="19.5" customHeight="1" x14ac:dyDescent="0.25">
      <c r="B1126" s="200"/>
      <c r="C1126" s="163"/>
      <c r="D1126" s="70" t="s">
        <v>72</v>
      </c>
      <c r="E1126" s="277" t="s">
        <v>14</v>
      </c>
      <c r="F1126" s="276">
        <v>0.7</v>
      </c>
      <c r="G1126" s="276">
        <v>2.1</v>
      </c>
      <c r="H1126" s="197">
        <f>-2*G1126*F1126</f>
        <v>-2.94</v>
      </c>
    </row>
    <row r="1127" spans="2:8" s="71" customFormat="1" ht="19.5" customHeight="1" x14ac:dyDescent="0.25">
      <c r="B1127" s="200"/>
      <c r="C1127" s="163"/>
      <c r="D1127" s="70" t="s">
        <v>81</v>
      </c>
      <c r="E1127" s="277" t="s">
        <v>14</v>
      </c>
      <c r="F1127" s="276">
        <f>6.06+6.06+6.33</f>
        <v>18.45</v>
      </c>
      <c r="G1127" s="276">
        <v>3</v>
      </c>
      <c r="H1127" s="197">
        <f>G1127*F1127</f>
        <v>55.349999999999994</v>
      </c>
    </row>
    <row r="1128" spans="2:8" s="71" customFormat="1" ht="19.5" customHeight="1" x14ac:dyDescent="0.25">
      <c r="B1128" s="200"/>
      <c r="C1128" s="163"/>
      <c r="D1128" s="70" t="s">
        <v>51</v>
      </c>
      <c r="E1128" s="277" t="s">
        <v>14</v>
      </c>
      <c r="F1128" s="276">
        <v>0.8</v>
      </c>
      <c r="G1128" s="276">
        <v>2.1</v>
      </c>
      <c r="H1128" s="197">
        <f>G1128*F1128*-1</f>
        <v>-1.6800000000000002</v>
      </c>
    </row>
    <row r="1129" spans="2:8" s="71" customFormat="1" ht="19.5" customHeight="1" x14ac:dyDescent="0.25">
      <c r="B1129" s="200"/>
      <c r="C1129" s="163"/>
      <c r="D1129" s="70" t="s">
        <v>65</v>
      </c>
      <c r="E1129" s="277" t="s">
        <v>14</v>
      </c>
      <c r="F1129" s="276">
        <v>2</v>
      </c>
      <c r="G1129" s="276">
        <v>1</v>
      </c>
      <c r="H1129" s="197">
        <f>-2*G1129*F1129</f>
        <v>-4</v>
      </c>
    </row>
    <row r="1130" spans="2:8" s="71" customFormat="1" ht="19.5" customHeight="1" x14ac:dyDescent="0.25">
      <c r="B1130" s="301"/>
      <c r="C1130" s="28"/>
      <c r="D1130" s="70" t="s">
        <v>520</v>
      </c>
      <c r="E1130" s="277" t="s">
        <v>14</v>
      </c>
      <c r="F1130" s="276">
        <v>5.4</v>
      </c>
      <c r="G1130" s="276">
        <v>3</v>
      </c>
      <c r="H1130" s="197">
        <f>G1130*F1130*2</f>
        <v>32.400000000000006</v>
      </c>
    </row>
    <row r="1131" spans="2:8" s="71" customFormat="1" ht="19.5" customHeight="1" x14ac:dyDescent="0.25">
      <c r="B1131" s="301"/>
      <c r="C1131" s="28"/>
      <c r="D1131" s="70" t="s">
        <v>521</v>
      </c>
      <c r="E1131" s="277" t="s">
        <v>14</v>
      </c>
      <c r="F1131" s="276">
        <v>4.7699999999999996</v>
      </c>
      <c r="G1131" s="276">
        <v>1.95</v>
      </c>
      <c r="H1131" s="197">
        <f>G1131*F1131*-1</f>
        <v>-9.301499999999999</v>
      </c>
    </row>
    <row r="1132" spans="2:8" s="71" customFormat="1" ht="19.5" customHeight="1" x14ac:dyDescent="0.25">
      <c r="B1132" s="301"/>
      <c r="C1132" s="28"/>
      <c r="D1132" s="229" t="s">
        <v>95</v>
      </c>
      <c r="E1132" s="277" t="s">
        <v>14</v>
      </c>
      <c r="F1132" s="395">
        <v>25.65</v>
      </c>
      <c r="G1132" s="406"/>
      <c r="H1132" s="197">
        <f>F1132</f>
        <v>25.65</v>
      </c>
    </row>
    <row r="1133" spans="2:8" s="71" customFormat="1" ht="19.5" customHeight="1" x14ac:dyDescent="0.25">
      <c r="B1133" s="301"/>
      <c r="C1133" s="28"/>
      <c r="D1133" s="229" t="s">
        <v>96</v>
      </c>
      <c r="E1133" s="277" t="s">
        <v>14</v>
      </c>
      <c r="F1133" s="395">
        <v>15.54</v>
      </c>
      <c r="G1133" s="406"/>
      <c r="H1133" s="197">
        <f>F1133</f>
        <v>15.54</v>
      </c>
    </row>
    <row r="1134" spans="2:8" s="71" customFormat="1" ht="19.5" customHeight="1" x14ac:dyDescent="0.25">
      <c r="B1134" s="301"/>
      <c r="C1134" s="28"/>
      <c r="D1134" s="229" t="s">
        <v>97</v>
      </c>
      <c r="E1134" s="277" t="s">
        <v>14</v>
      </c>
      <c r="F1134" s="395">
        <v>14.65</v>
      </c>
      <c r="G1134" s="406"/>
      <c r="H1134" s="197">
        <f>F1134</f>
        <v>14.65</v>
      </c>
    </row>
    <row r="1135" spans="2:8" s="71" customFormat="1" ht="19.5" customHeight="1" x14ac:dyDescent="0.25">
      <c r="B1135" s="301"/>
      <c r="C1135" s="28"/>
      <c r="D1135" s="229" t="s">
        <v>522</v>
      </c>
      <c r="E1135" s="277" t="s">
        <v>14</v>
      </c>
      <c r="F1135" s="395">
        <v>12.54</v>
      </c>
      <c r="G1135" s="406"/>
      <c r="H1135" s="197">
        <f>F1135</f>
        <v>12.54</v>
      </c>
    </row>
    <row r="1136" spans="2:8" s="71" customFormat="1" ht="19.5" customHeight="1" x14ac:dyDescent="0.25">
      <c r="B1136" s="198" t="s">
        <v>529</v>
      </c>
      <c r="C1136" s="108">
        <v>261001</v>
      </c>
      <c r="D1136" s="77" t="s">
        <v>530</v>
      </c>
      <c r="E1136" s="76" t="s">
        <v>14</v>
      </c>
      <c r="F1136" s="298" t="s">
        <v>15</v>
      </c>
      <c r="G1136" s="298" t="s">
        <v>16</v>
      </c>
      <c r="H1136" s="199">
        <f>SUM(H1137:H1271)</f>
        <v>1956.2035999999996</v>
      </c>
    </row>
    <row r="1137" spans="2:8" s="71" customFormat="1" ht="19.5" customHeight="1" x14ac:dyDescent="0.25">
      <c r="B1137" s="369"/>
      <c r="C1137" s="370"/>
      <c r="D1137" s="70" t="s">
        <v>17</v>
      </c>
      <c r="E1137" s="277" t="s">
        <v>14</v>
      </c>
      <c r="F1137" s="276">
        <v>6</v>
      </c>
      <c r="G1137" s="276">
        <v>1.5</v>
      </c>
      <c r="H1137" s="197">
        <f>G1137*F1137</f>
        <v>9</v>
      </c>
    </row>
    <row r="1138" spans="2:8" s="71" customFormat="1" ht="19.5" customHeight="1" x14ac:dyDescent="0.25">
      <c r="B1138" s="371"/>
      <c r="C1138" s="372"/>
      <c r="D1138" s="70" t="s">
        <v>18</v>
      </c>
      <c r="E1138" s="277" t="s">
        <v>14</v>
      </c>
      <c r="F1138" s="303">
        <v>0</v>
      </c>
      <c r="G1138" s="303">
        <v>0.6</v>
      </c>
      <c r="H1138" s="197">
        <f>-G1138*F1138*3</f>
        <v>0</v>
      </c>
    </row>
    <row r="1139" spans="2:8" s="71" customFormat="1" ht="19.5" customHeight="1" x14ac:dyDescent="0.25">
      <c r="B1139" s="371"/>
      <c r="C1139" s="372"/>
      <c r="D1139" s="70" t="s">
        <v>19</v>
      </c>
      <c r="E1139" s="277" t="s">
        <v>14</v>
      </c>
      <c r="F1139" s="303">
        <v>0.75</v>
      </c>
      <c r="G1139" s="303">
        <v>0.6</v>
      </c>
      <c r="H1139" s="197">
        <f>-G1139*F1139</f>
        <v>-0.44999999999999996</v>
      </c>
    </row>
    <row r="1140" spans="2:8" s="71" customFormat="1" ht="19.5" customHeight="1" x14ac:dyDescent="0.25">
      <c r="B1140" s="371"/>
      <c r="C1140" s="372"/>
      <c r="D1140" s="70" t="s">
        <v>20</v>
      </c>
      <c r="E1140" s="277" t="s">
        <v>14</v>
      </c>
      <c r="F1140" s="303">
        <v>0.8</v>
      </c>
      <c r="G1140" s="303">
        <v>0.6</v>
      </c>
      <c r="H1140" s="197">
        <f>-G1140*F1140</f>
        <v>-0.48</v>
      </c>
    </row>
    <row r="1141" spans="2:8" s="71" customFormat="1" ht="19.5" customHeight="1" x14ac:dyDescent="0.25">
      <c r="B1141" s="371"/>
      <c r="C1141" s="372"/>
      <c r="D1141" s="70" t="s">
        <v>21</v>
      </c>
      <c r="E1141" s="277" t="s">
        <v>14</v>
      </c>
      <c r="F1141" s="276">
        <f>4.3+16.48+4.96+12.71+0.68+3.8</f>
        <v>42.93</v>
      </c>
      <c r="G1141" s="276">
        <v>1.5</v>
      </c>
      <c r="H1141" s="197">
        <f>G1141*F1141</f>
        <v>64.394999999999996</v>
      </c>
    </row>
    <row r="1142" spans="2:8" s="71" customFormat="1" ht="19.5" customHeight="1" x14ac:dyDescent="0.25">
      <c r="B1142" s="371"/>
      <c r="C1142" s="372"/>
      <c r="D1142" s="70" t="s">
        <v>22</v>
      </c>
      <c r="E1142" s="277" t="s">
        <v>14</v>
      </c>
      <c r="F1142" s="303">
        <v>2</v>
      </c>
      <c r="G1142" s="276">
        <v>0.6</v>
      </c>
      <c r="H1142" s="197">
        <f>-4*G1142*F1142</f>
        <v>-4.8</v>
      </c>
    </row>
    <row r="1143" spans="2:8" s="71" customFormat="1" ht="19.5" customHeight="1" x14ac:dyDescent="0.25">
      <c r="B1143" s="371"/>
      <c r="C1143" s="372"/>
      <c r="D1143" s="70" t="s">
        <v>23</v>
      </c>
      <c r="E1143" s="277" t="s">
        <v>14</v>
      </c>
      <c r="F1143" s="276">
        <v>0.8</v>
      </c>
      <c r="G1143" s="276">
        <v>0.6</v>
      </c>
      <c r="H1143" s="197">
        <f>-G1143*F1143</f>
        <v>-0.48</v>
      </c>
    </row>
    <row r="1144" spans="2:8" s="71" customFormat="1" ht="19.5" customHeight="1" x14ac:dyDescent="0.25">
      <c r="B1144" s="371"/>
      <c r="C1144" s="372"/>
      <c r="D1144" s="70" t="s">
        <v>513</v>
      </c>
      <c r="E1144" s="277" t="s">
        <v>14</v>
      </c>
      <c r="F1144" s="276">
        <v>0.6</v>
      </c>
      <c r="G1144" s="276">
        <v>0.36</v>
      </c>
      <c r="H1144" s="197">
        <f>-G1144*F1144*2</f>
        <v>-0.432</v>
      </c>
    </row>
    <row r="1145" spans="2:8" s="71" customFormat="1" ht="19.5" customHeight="1" x14ac:dyDescent="0.25">
      <c r="B1145" s="371"/>
      <c r="C1145" s="372"/>
      <c r="D1145" s="70" t="s">
        <v>24</v>
      </c>
      <c r="E1145" s="277" t="s">
        <v>14</v>
      </c>
      <c r="F1145" s="276">
        <v>1.4</v>
      </c>
      <c r="G1145" s="276">
        <v>1.5</v>
      </c>
      <c r="H1145" s="197">
        <f>G1145*F1145</f>
        <v>2.0999999999999996</v>
      </c>
    </row>
    <row r="1146" spans="2:8" s="71" customFormat="1" ht="19.5" customHeight="1" x14ac:dyDescent="0.25">
      <c r="B1146" s="371"/>
      <c r="C1146" s="372"/>
      <c r="D1146" s="70" t="s">
        <v>510</v>
      </c>
      <c r="E1146" s="277" t="s">
        <v>14</v>
      </c>
      <c r="F1146" s="276">
        <v>0.6</v>
      </c>
      <c r="G1146" s="276">
        <v>0.36</v>
      </c>
      <c r="H1146" s="197">
        <f>-G1146*F1146</f>
        <v>-0.216</v>
      </c>
    </row>
    <row r="1147" spans="2:8" s="71" customFormat="1" ht="19.5" customHeight="1" x14ac:dyDescent="0.25">
      <c r="B1147" s="371"/>
      <c r="C1147" s="372"/>
      <c r="D1147" s="70" t="s">
        <v>531</v>
      </c>
      <c r="E1147" s="277" t="s">
        <v>14</v>
      </c>
      <c r="F1147" s="276">
        <v>0.7</v>
      </c>
      <c r="G1147" s="276">
        <v>0.6</v>
      </c>
      <c r="H1147" s="197">
        <f>-G1147*F1147</f>
        <v>-0.42</v>
      </c>
    </row>
    <row r="1148" spans="2:8" s="71" customFormat="1" ht="19.5" customHeight="1" x14ac:dyDescent="0.25">
      <c r="B1148" s="371"/>
      <c r="C1148" s="372"/>
      <c r="D1148" s="70" t="s">
        <v>26</v>
      </c>
      <c r="E1148" s="277" t="s">
        <v>14</v>
      </c>
      <c r="F1148" s="276">
        <f>3.63+3.63+3.97+3.97</f>
        <v>15.200000000000001</v>
      </c>
      <c r="G1148" s="276">
        <v>1.5</v>
      </c>
      <c r="H1148" s="197">
        <f>G1148*F1148</f>
        <v>22.8</v>
      </c>
    </row>
    <row r="1149" spans="2:8" s="71" customFormat="1" ht="19.5" customHeight="1" x14ac:dyDescent="0.25">
      <c r="B1149" s="371"/>
      <c r="C1149" s="372"/>
      <c r="D1149" s="70" t="s">
        <v>20</v>
      </c>
      <c r="E1149" s="277" t="s">
        <v>14</v>
      </c>
      <c r="F1149" s="276">
        <v>0.8</v>
      </c>
      <c r="G1149" s="276">
        <v>0.6</v>
      </c>
      <c r="H1149" s="197">
        <f>-G1149*F1149</f>
        <v>-0.48</v>
      </c>
    </row>
    <row r="1150" spans="2:8" s="71" customFormat="1" ht="19.5" customHeight="1" x14ac:dyDescent="0.25">
      <c r="B1150" s="371"/>
      <c r="C1150" s="372"/>
      <c r="D1150" s="70" t="s">
        <v>27</v>
      </c>
      <c r="E1150" s="277" t="s">
        <v>14</v>
      </c>
      <c r="F1150" s="276">
        <v>2</v>
      </c>
      <c r="G1150" s="276">
        <v>0.6</v>
      </c>
      <c r="H1150" s="197">
        <f>-G1150*F1150</f>
        <v>-1.2</v>
      </c>
    </row>
    <row r="1151" spans="2:8" s="71" customFormat="1" ht="19.5" customHeight="1" x14ac:dyDescent="0.25">
      <c r="B1151" s="371"/>
      <c r="C1151" s="372"/>
      <c r="D1151" s="70" t="s">
        <v>28</v>
      </c>
      <c r="E1151" s="277" t="s">
        <v>14</v>
      </c>
      <c r="F1151" s="276">
        <f>4.4+4.4+3.68+3.68</f>
        <v>16.16</v>
      </c>
      <c r="G1151" s="276">
        <v>2.13</v>
      </c>
      <c r="H1151" s="197">
        <f>G1151*F1151</f>
        <v>34.4208</v>
      </c>
    </row>
    <row r="1152" spans="2:8" s="71" customFormat="1" ht="19.5" customHeight="1" x14ac:dyDescent="0.25">
      <c r="B1152" s="371"/>
      <c r="C1152" s="372"/>
      <c r="D1152" s="70" t="s">
        <v>532</v>
      </c>
      <c r="E1152" s="277" t="s">
        <v>14</v>
      </c>
      <c r="F1152" s="276">
        <v>1.5</v>
      </c>
      <c r="G1152" s="276">
        <v>0.6</v>
      </c>
      <c r="H1152" s="197">
        <f>-G1152*F1152</f>
        <v>-0.89999999999999991</v>
      </c>
    </row>
    <row r="1153" spans="2:8" s="71" customFormat="1" ht="19.5" customHeight="1" x14ac:dyDescent="0.25">
      <c r="B1153" s="371"/>
      <c r="C1153" s="372"/>
      <c r="D1153" s="70" t="s">
        <v>30</v>
      </c>
      <c r="E1153" s="277" t="s">
        <v>14</v>
      </c>
      <c r="F1153" s="276">
        <v>0.8</v>
      </c>
      <c r="G1153" s="276">
        <v>0.6</v>
      </c>
      <c r="H1153" s="197">
        <f>-G1153*F1153*3</f>
        <v>-1.44</v>
      </c>
    </row>
    <row r="1154" spans="2:8" s="71" customFormat="1" ht="19.5" customHeight="1" x14ac:dyDescent="0.25">
      <c r="B1154" s="371"/>
      <c r="C1154" s="372"/>
      <c r="D1154" s="70" t="s">
        <v>31</v>
      </c>
      <c r="E1154" s="277" t="s">
        <v>14</v>
      </c>
      <c r="F1154" s="205">
        <v>1.5</v>
      </c>
      <c r="G1154" s="205">
        <v>0.6</v>
      </c>
      <c r="H1154" s="197">
        <f>-G1154*F1154</f>
        <v>-0.89999999999999991</v>
      </c>
    </row>
    <row r="1155" spans="2:8" s="71" customFormat="1" ht="19.5" customHeight="1" x14ac:dyDescent="0.25">
      <c r="B1155" s="371"/>
      <c r="C1155" s="372"/>
      <c r="D1155" s="70" t="s">
        <v>32</v>
      </c>
      <c r="E1155" s="277" t="s">
        <v>14</v>
      </c>
      <c r="F1155" s="205">
        <f>3.915+4.655</f>
        <v>8.57</v>
      </c>
      <c r="G1155" s="205">
        <v>1.5</v>
      </c>
      <c r="H1155" s="197">
        <f>G1155*F1155</f>
        <v>12.855</v>
      </c>
    </row>
    <row r="1156" spans="2:8" s="71" customFormat="1" ht="19.5" customHeight="1" x14ac:dyDescent="0.25">
      <c r="B1156" s="371"/>
      <c r="C1156" s="372"/>
      <c r="D1156" s="70" t="s">
        <v>30</v>
      </c>
      <c r="E1156" s="277" t="s">
        <v>14</v>
      </c>
      <c r="F1156" s="276">
        <v>0.8</v>
      </c>
      <c r="G1156" s="276">
        <v>0.65</v>
      </c>
      <c r="H1156" s="197">
        <f>-G1156*F1156*3</f>
        <v>-1.56</v>
      </c>
    </row>
    <row r="1157" spans="2:8" s="71" customFormat="1" ht="19.5" customHeight="1" x14ac:dyDescent="0.25">
      <c r="B1157" s="371"/>
      <c r="C1157" s="372"/>
      <c r="D1157" s="70" t="s">
        <v>31</v>
      </c>
      <c r="E1157" s="277" t="s">
        <v>14</v>
      </c>
      <c r="F1157" s="205">
        <v>1.5</v>
      </c>
      <c r="G1157" s="205">
        <v>0.65</v>
      </c>
      <c r="H1157" s="197">
        <f>G1157*F1157</f>
        <v>0.97500000000000009</v>
      </c>
    </row>
    <row r="1158" spans="2:8" s="71" customFormat="1" ht="19.5" customHeight="1" x14ac:dyDescent="0.25">
      <c r="B1158" s="371"/>
      <c r="C1158" s="372"/>
      <c r="D1158" s="70" t="s">
        <v>33</v>
      </c>
      <c r="E1158" s="277" t="s">
        <v>14</v>
      </c>
      <c r="F1158" s="303">
        <f>3.02+3.02+6.18+6.18</f>
        <v>18.399999999999999</v>
      </c>
      <c r="G1158" s="276">
        <v>2.13</v>
      </c>
      <c r="H1158" s="197">
        <f>G1158*F1158</f>
        <v>39.191999999999993</v>
      </c>
    </row>
    <row r="1159" spans="2:8" s="71" customFormat="1" ht="19.5" customHeight="1" x14ac:dyDescent="0.25">
      <c r="B1159" s="371"/>
      <c r="C1159" s="372"/>
      <c r="D1159" s="70" t="s">
        <v>34</v>
      </c>
      <c r="E1159" s="277" t="s">
        <v>14</v>
      </c>
      <c r="F1159" s="303">
        <v>1.1000000000000001</v>
      </c>
      <c r="G1159" s="303">
        <v>0.6</v>
      </c>
      <c r="H1159" s="197">
        <f>G1159*F1159*-2</f>
        <v>-1.32</v>
      </c>
    </row>
    <row r="1160" spans="2:8" s="71" customFormat="1" ht="19.5" customHeight="1" x14ac:dyDescent="0.25">
      <c r="B1160" s="371"/>
      <c r="C1160" s="372"/>
      <c r="D1160" s="70" t="s">
        <v>23</v>
      </c>
      <c r="E1160" s="277" t="s">
        <v>14</v>
      </c>
      <c r="F1160" s="303">
        <v>0.8</v>
      </c>
      <c r="G1160" s="303">
        <v>0.6</v>
      </c>
      <c r="H1160" s="197">
        <f>G1160*F1160*-1</f>
        <v>-0.48</v>
      </c>
    </row>
    <row r="1161" spans="2:8" s="71" customFormat="1" ht="19.5" customHeight="1" x14ac:dyDescent="0.25">
      <c r="B1161" s="371"/>
      <c r="C1161" s="372"/>
      <c r="D1161" s="70" t="s">
        <v>35</v>
      </c>
      <c r="E1161" s="277" t="s">
        <v>14</v>
      </c>
      <c r="F1161" s="303">
        <v>0.7</v>
      </c>
      <c r="G1161" s="303">
        <v>0.6</v>
      </c>
      <c r="H1161" s="197">
        <f>G1161*F1161*-1</f>
        <v>-0.42</v>
      </c>
    </row>
    <row r="1162" spans="2:8" s="71" customFormat="1" ht="19.5" customHeight="1" x14ac:dyDescent="0.25">
      <c r="B1162" s="371"/>
      <c r="C1162" s="372"/>
      <c r="D1162" s="70" t="s">
        <v>36</v>
      </c>
      <c r="E1162" s="277" t="s">
        <v>14</v>
      </c>
      <c r="F1162" s="276">
        <f>3.17+0.075+8.42+3.22</f>
        <v>14.885</v>
      </c>
      <c r="G1162" s="276">
        <v>1.5</v>
      </c>
      <c r="H1162" s="197">
        <f>G1162*F1162</f>
        <v>22.327500000000001</v>
      </c>
    </row>
    <row r="1163" spans="2:8" s="71" customFormat="1" ht="19.5" customHeight="1" x14ac:dyDescent="0.25">
      <c r="B1163" s="371"/>
      <c r="C1163" s="372"/>
      <c r="D1163" s="70" t="s">
        <v>34</v>
      </c>
      <c r="E1163" s="277" t="s">
        <v>14</v>
      </c>
      <c r="F1163" s="303">
        <v>1.1000000000000001</v>
      </c>
      <c r="G1163" s="303">
        <v>0.6</v>
      </c>
      <c r="H1163" s="197">
        <f>G1163*F1163*-2</f>
        <v>-1.32</v>
      </c>
    </row>
    <row r="1164" spans="2:8" s="71" customFormat="1" ht="19.5" customHeight="1" x14ac:dyDescent="0.25">
      <c r="B1164" s="371"/>
      <c r="C1164" s="372"/>
      <c r="D1164" s="70" t="s">
        <v>37</v>
      </c>
      <c r="E1164" s="277" t="s">
        <v>14</v>
      </c>
      <c r="F1164" s="303">
        <v>0.8</v>
      </c>
      <c r="G1164" s="276">
        <v>0.6</v>
      </c>
      <c r="H1164" s="197">
        <f>G1164*F1164*-2</f>
        <v>-0.96</v>
      </c>
    </row>
    <row r="1165" spans="2:8" s="71" customFormat="1" ht="19.5" customHeight="1" x14ac:dyDescent="0.25">
      <c r="B1165" s="371"/>
      <c r="C1165" s="372"/>
      <c r="D1165" s="70" t="s">
        <v>38</v>
      </c>
      <c r="E1165" s="277" t="s">
        <v>14</v>
      </c>
      <c r="F1165" s="276">
        <f>4.3+4.3+4.4+4.4</f>
        <v>17.399999999999999</v>
      </c>
      <c r="G1165" s="276">
        <v>1.5</v>
      </c>
      <c r="H1165" s="197">
        <f>G1165*F1165</f>
        <v>26.099999999999998</v>
      </c>
    </row>
    <row r="1166" spans="2:8" s="71" customFormat="1" ht="19.5" customHeight="1" x14ac:dyDescent="0.25">
      <c r="B1166" s="371"/>
      <c r="C1166" s="372"/>
      <c r="D1166" s="70" t="s">
        <v>39</v>
      </c>
      <c r="E1166" s="277" t="s">
        <v>14</v>
      </c>
      <c r="F1166" s="303">
        <v>0.8</v>
      </c>
      <c r="G1166" s="276">
        <v>0.6</v>
      </c>
      <c r="H1166" s="197">
        <f>G1166*F1166*-2</f>
        <v>-0.96</v>
      </c>
    </row>
    <row r="1167" spans="2:8" s="71" customFormat="1" ht="19.5" customHeight="1" x14ac:dyDescent="0.25">
      <c r="B1167" s="371"/>
      <c r="C1167" s="372"/>
      <c r="D1167" s="70" t="s">
        <v>35</v>
      </c>
      <c r="E1167" s="277" t="s">
        <v>14</v>
      </c>
      <c r="F1167" s="303">
        <v>0.7</v>
      </c>
      <c r="G1167" s="276">
        <v>0.6</v>
      </c>
      <c r="H1167" s="197">
        <f>-G1167*F1167</f>
        <v>-0.42</v>
      </c>
    </row>
    <row r="1168" spans="2:8" s="71" customFormat="1" ht="19.5" customHeight="1" x14ac:dyDescent="0.25">
      <c r="B1168" s="371"/>
      <c r="C1168" s="372"/>
      <c r="D1168" s="70" t="s">
        <v>31</v>
      </c>
      <c r="E1168" s="277" t="s">
        <v>14</v>
      </c>
      <c r="F1168" s="303">
        <v>1.5</v>
      </c>
      <c r="G1168" s="303">
        <v>0.6</v>
      </c>
      <c r="H1168" s="197">
        <f>F1168*G1168*-2</f>
        <v>-1.7999999999999998</v>
      </c>
    </row>
    <row r="1169" spans="2:8" s="71" customFormat="1" ht="19.5" customHeight="1" x14ac:dyDescent="0.25">
      <c r="B1169" s="371"/>
      <c r="C1169" s="372"/>
      <c r="D1169" s="70" t="s">
        <v>40</v>
      </c>
      <c r="E1169" s="277" t="s">
        <v>14</v>
      </c>
      <c r="F1169" s="303">
        <f>4.65+4.43</f>
        <v>9.08</v>
      </c>
      <c r="G1169" s="276">
        <v>1.5</v>
      </c>
      <c r="H1169" s="197">
        <f>G1169*F1169</f>
        <v>13.620000000000001</v>
      </c>
    </row>
    <row r="1170" spans="2:8" s="71" customFormat="1" ht="19.5" customHeight="1" x14ac:dyDescent="0.25">
      <c r="B1170" s="371"/>
      <c r="C1170" s="372"/>
      <c r="D1170" s="70" t="s">
        <v>23</v>
      </c>
      <c r="E1170" s="277" t="s">
        <v>14</v>
      </c>
      <c r="F1170" s="303">
        <v>0.8</v>
      </c>
      <c r="G1170" s="276">
        <v>0.6</v>
      </c>
      <c r="H1170" s="197">
        <f>-G1170*F1170</f>
        <v>-0.48</v>
      </c>
    </row>
    <row r="1171" spans="2:8" s="71" customFormat="1" ht="19.5" customHeight="1" x14ac:dyDescent="0.25">
      <c r="B1171" s="373"/>
      <c r="C1171" s="374"/>
      <c r="D1171" s="70" t="s">
        <v>31</v>
      </c>
      <c r="E1171" s="277" t="s">
        <v>14</v>
      </c>
      <c r="F1171" s="276">
        <v>1.5</v>
      </c>
      <c r="G1171" s="276">
        <v>0.6</v>
      </c>
      <c r="H1171" s="197">
        <f>G1171*F1171*-2</f>
        <v>-1.7999999999999998</v>
      </c>
    </row>
    <row r="1172" spans="2:8" s="71" customFormat="1" ht="19.5" customHeight="1" x14ac:dyDescent="0.25">
      <c r="B1172" s="369"/>
      <c r="C1172" s="370"/>
      <c r="D1172" s="70" t="s">
        <v>41</v>
      </c>
      <c r="E1172" s="277" t="s">
        <v>14</v>
      </c>
      <c r="F1172" s="303">
        <f>5.51+4+5.51+4</f>
        <v>19.02</v>
      </c>
      <c r="G1172" s="276">
        <v>1.5</v>
      </c>
      <c r="H1172" s="197">
        <f>G1172*F1172</f>
        <v>28.53</v>
      </c>
    </row>
    <row r="1173" spans="2:8" s="71" customFormat="1" ht="19.5" customHeight="1" x14ac:dyDescent="0.25">
      <c r="B1173" s="371"/>
      <c r="C1173" s="372"/>
      <c r="D1173" s="70" t="s">
        <v>42</v>
      </c>
      <c r="E1173" s="277" t="s">
        <v>14</v>
      </c>
      <c r="F1173" s="303">
        <v>0.7</v>
      </c>
      <c r="G1173" s="276">
        <v>0.6</v>
      </c>
      <c r="H1173" s="197">
        <f>G1173*F1173*-1</f>
        <v>-0.42</v>
      </c>
    </row>
    <row r="1174" spans="2:8" s="71" customFormat="1" ht="19.5" customHeight="1" x14ac:dyDescent="0.25">
      <c r="B1174" s="371"/>
      <c r="C1174" s="372"/>
      <c r="D1174" s="70" t="s">
        <v>43</v>
      </c>
      <c r="E1174" s="277" t="s">
        <v>14</v>
      </c>
      <c r="F1174" s="303">
        <v>0.8</v>
      </c>
      <c r="G1174" s="276">
        <v>0.6</v>
      </c>
      <c r="H1174" s="197">
        <f>G1174*F1174*-1</f>
        <v>-0.48</v>
      </c>
    </row>
    <row r="1175" spans="2:8" s="71" customFormat="1" ht="19.5" customHeight="1" x14ac:dyDescent="0.25">
      <c r="B1175" s="371"/>
      <c r="C1175" s="372"/>
      <c r="D1175" s="70" t="s">
        <v>31</v>
      </c>
      <c r="E1175" s="277" t="s">
        <v>14</v>
      </c>
      <c r="F1175" s="303">
        <v>1.5</v>
      </c>
      <c r="G1175" s="303">
        <v>0.6</v>
      </c>
      <c r="H1175" s="197">
        <f>-2*G1175*F1175</f>
        <v>-1.7999999999999998</v>
      </c>
    </row>
    <row r="1176" spans="2:8" s="71" customFormat="1" ht="19.5" customHeight="1" x14ac:dyDescent="0.25">
      <c r="B1176" s="371"/>
      <c r="C1176" s="372"/>
      <c r="D1176" s="70" t="s">
        <v>44</v>
      </c>
      <c r="E1176" s="277" t="s">
        <v>14</v>
      </c>
      <c r="F1176" s="303">
        <f>5.71+4.15+0.075</f>
        <v>9.9349999999999987</v>
      </c>
      <c r="G1176" s="276">
        <v>1.5</v>
      </c>
      <c r="H1176" s="197">
        <f>G1176*F1176</f>
        <v>14.902499999999998</v>
      </c>
    </row>
    <row r="1177" spans="2:8" s="71" customFormat="1" ht="19.5" customHeight="1" x14ac:dyDescent="0.25">
      <c r="B1177" s="371"/>
      <c r="C1177" s="372"/>
      <c r="D1177" s="70" t="s">
        <v>45</v>
      </c>
      <c r="E1177" s="277" t="s">
        <v>14</v>
      </c>
      <c r="F1177" s="303">
        <v>0.8</v>
      </c>
      <c r="G1177" s="276">
        <v>0.6</v>
      </c>
      <c r="H1177" s="197">
        <f>-G1177*F1177</f>
        <v>-0.48</v>
      </c>
    </row>
    <row r="1178" spans="2:8" s="71" customFormat="1" ht="19.5" customHeight="1" x14ac:dyDescent="0.25">
      <c r="B1178" s="371"/>
      <c r="C1178" s="372"/>
      <c r="D1178" s="70" t="s">
        <v>31</v>
      </c>
      <c r="E1178" s="277" t="s">
        <v>14</v>
      </c>
      <c r="F1178" s="276">
        <v>1.5</v>
      </c>
      <c r="G1178" s="276">
        <v>0.6</v>
      </c>
      <c r="H1178" s="197">
        <f>-2*G1178*F1178</f>
        <v>-1.7999999999999998</v>
      </c>
    </row>
    <row r="1179" spans="2:8" s="71" customFormat="1" ht="19.5" customHeight="1" x14ac:dyDescent="0.25">
      <c r="B1179" s="371"/>
      <c r="C1179" s="372"/>
      <c r="D1179" s="70" t="s">
        <v>46</v>
      </c>
      <c r="E1179" s="277" t="s">
        <v>14</v>
      </c>
      <c r="F1179" s="303">
        <f>2.66+6.26</f>
        <v>8.92</v>
      </c>
      <c r="G1179" s="276">
        <v>1.5</v>
      </c>
      <c r="H1179" s="197">
        <f>G1179*F1179</f>
        <v>13.379999999999999</v>
      </c>
    </row>
    <row r="1180" spans="2:8" s="71" customFormat="1" ht="19.5" customHeight="1" x14ac:dyDescent="0.25">
      <c r="B1180" s="371"/>
      <c r="C1180" s="372"/>
      <c r="D1180" s="70" t="s">
        <v>35</v>
      </c>
      <c r="E1180" s="277" t="s">
        <v>14</v>
      </c>
      <c r="F1180" s="303">
        <v>0.7</v>
      </c>
      <c r="G1180" s="276">
        <v>0.6</v>
      </c>
      <c r="H1180" s="197">
        <f>G1180*F1180*-1</f>
        <v>-0.42</v>
      </c>
    </row>
    <row r="1181" spans="2:8" s="71" customFormat="1" ht="19.5" customHeight="1" x14ac:dyDescent="0.25">
      <c r="B1181" s="371"/>
      <c r="C1181" s="372"/>
      <c r="D1181" s="70" t="s">
        <v>47</v>
      </c>
      <c r="E1181" s="277" t="s">
        <v>14</v>
      </c>
      <c r="F1181" s="303">
        <v>0.6</v>
      </c>
      <c r="G1181" s="276">
        <v>0.4</v>
      </c>
      <c r="H1181" s="197">
        <f>G1181*F1181*-3</f>
        <v>-0.72</v>
      </c>
    </row>
    <row r="1182" spans="2:8" s="71" customFormat="1" ht="19.5" customHeight="1" x14ac:dyDescent="0.25">
      <c r="B1182" s="371"/>
      <c r="C1182" s="372"/>
      <c r="D1182" s="70" t="s">
        <v>48</v>
      </c>
      <c r="E1182" s="277" t="s">
        <v>14</v>
      </c>
      <c r="F1182" s="303">
        <f>5.4+6.56+4+5.52+1.48</f>
        <v>22.96</v>
      </c>
      <c r="G1182" s="276">
        <v>2.13</v>
      </c>
      <c r="H1182" s="197">
        <f>G1182*F1182</f>
        <v>48.904800000000002</v>
      </c>
    </row>
    <row r="1183" spans="2:8" s="71" customFormat="1" ht="19.5" customHeight="1" x14ac:dyDescent="0.25">
      <c r="B1183" s="371"/>
      <c r="C1183" s="372"/>
      <c r="D1183" s="70" t="s">
        <v>30</v>
      </c>
      <c r="E1183" s="277" t="s">
        <v>14</v>
      </c>
      <c r="F1183" s="303">
        <v>0.8</v>
      </c>
      <c r="G1183" s="303">
        <v>0.6</v>
      </c>
      <c r="H1183" s="197">
        <f>-3*F1183*G1183</f>
        <v>-1.4400000000000002</v>
      </c>
    </row>
    <row r="1184" spans="2:8" s="71" customFormat="1" ht="19.5" customHeight="1" x14ac:dyDescent="0.25">
      <c r="B1184" s="371"/>
      <c r="C1184" s="372"/>
      <c r="D1184" s="70" t="s">
        <v>31</v>
      </c>
      <c r="E1184" s="277" t="s">
        <v>14</v>
      </c>
      <c r="F1184" s="303">
        <v>1.5</v>
      </c>
      <c r="G1184" s="303">
        <v>0.6</v>
      </c>
      <c r="H1184" s="197">
        <f>-2*F1184*G1184</f>
        <v>-1.7999999999999998</v>
      </c>
    </row>
    <row r="1185" spans="2:8" s="71" customFormat="1" ht="19.5" customHeight="1" x14ac:dyDescent="0.25">
      <c r="B1185" s="371"/>
      <c r="C1185" s="372"/>
      <c r="D1185" s="70" t="s">
        <v>50</v>
      </c>
      <c r="E1185" s="277" t="s">
        <v>14</v>
      </c>
      <c r="F1185" s="303">
        <f>3.97+5.4+3.97+5.4</f>
        <v>18.740000000000002</v>
      </c>
      <c r="G1185" s="303">
        <v>2.13</v>
      </c>
      <c r="H1185" s="197">
        <f>G1185*F1185</f>
        <v>39.916200000000003</v>
      </c>
    </row>
    <row r="1186" spans="2:8" s="71" customFormat="1" ht="19.5" customHeight="1" x14ac:dyDescent="0.25">
      <c r="B1186" s="371"/>
      <c r="C1186" s="372"/>
      <c r="D1186" s="70" t="s">
        <v>51</v>
      </c>
      <c r="E1186" s="277" t="s">
        <v>14</v>
      </c>
      <c r="F1186" s="303">
        <v>0.8</v>
      </c>
      <c r="G1186" s="303">
        <v>0.6</v>
      </c>
      <c r="H1186" s="197">
        <f>G1186*-F1186</f>
        <v>-0.48</v>
      </c>
    </row>
    <row r="1187" spans="2:8" s="71" customFormat="1" ht="19.5" customHeight="1" x14ac:dyDescent="0.25">
      <c r="B1187" s="371"/>
      <c r="C1187" s="372"/>
      <c r="D1187" s="70" t="s">
        <v>52</v>
      </c>
      <c r="E1187" s="277" t="s">
        <v>14</v>
      </c>
      <c r="F1187" s="303">
        <v>2</v>
      </c>
      <c r="G1187" s="303">
        <v>0.6</v>
      </c>
      <c r="H1187" s="197">
        <f>G1187*-F1187</f>
        <v>-1.2</v>
      </c>
    </row>
    <row r="1188" spans="2:8" s="71" customFormat="1" ht="19.5" customHeight="1" x14ac:dyDescent="0.25">
      <c r="B1188" s="371"/>
      <c r="C1188" s="372"/>
      <c r="D1188" s="70" t="s">
        <v>53</v>
      </c>
      <c r="E1188" s="277" t="s">
        <v>14</v>
      </c>
      <c r="F1188" s="303">
        <f>8.44+6.84+1.53</f>
        <v>16.809999999999999</v>
      </c>
      <c r="G1188" s="303">
        <v>1.5</v>
      </c>
      <c r="H1188" s="197">
        <f>G1188*F1188</f>
        <v>25.214999999999996</v>
      </c>
    </row>
    <row r="1189" spans="2:8" s="71" customFormat="1" ht="19.5" customHeight="1" x14ac:dyDescent="0.25">
      <c r="B1189" s="371"/>
      <c r="C1189" s="372"/>
      <c r="D1189" s="70" t="s">
        <v>51</v>
      </c>
      <c r="E1189" s="277" t="s">
        <v>14</v>
      </c>
      <c r="F1189" s="303">
        <v>0.8</v>
      </c>
      <c r="G1189" s="303">
        <v>0.6</v>
      </c>
      <c r="H1189" s="197">
        <f>-G1189*F1189</f>
        <v>-0.48</v>
      </c>
    </row>
    <row r="1190" spans="2:8" s="71" customFormat="1" ht="19.5" customHeight="1" x14ac:dyDescent="0.25">
      <c r="B1190" s="371"/>
      <c r="C1190" s="372"/>
      <c r="D1190" s="70" t="s">
        <v>54</v>
      </c>
      <c r="E1190" s="277" t="s">
        <v>14</v>
      </c>
      <c r="F1190" s="303">
        <v>1.5</v>
      </c>
      <c r="G1190" s="276">
        <v>0.6</v>
      </c>
      <c r="H1190" s="197">
        <f>-2*G1190*F1190</f>
        <v>-1.7999999999999998</v>
      </c>
    </row>
    <row r="1191" spans="2:8" s="71" customFormat="1" ht="19.5" customHeight="1" x14ac:dyDescent="0.25">
      <c r="B1191" s="371"/>
      <c r="C1191" s="372"/>
      <c r="D1191" s="70" t="s">
        <v>52</v>
      </c>
      <c r="E1191" s="277" t="s">
        <v>14</v>
      </c>
      <c r="F1191" s="303">
        <v>2</v>
      </c>
      <c r="G1191" s="276">
        <v>0.6</v>
      </c>
      <c r="H1191" s="197">
        <f>-G1191*F1191</f>
        <v>-1.2</v>
      </c>
    </row>
    <row r="1192" spans="2:8" s="71" customFormat="1" ht="19.5" customHeight="1" x14ac:dyDescent="0.25">
      <c r="B1192" s="371"/>
      <c r="C1192" s="372"/>
      <c r="D1192" s="70" t="s">
        <v>55</v>
      </c>
      <c r="E1192" s="277" t="s">
        <v>14</v>
      </c>
      <c r="F1192" s="303">
        <f>3.94+2.22</f>
        <v>6.16</v>
      </c>
      <c r="G1192" s="303">
        <v>1.5</v>
      </c>
      <c r="H1192" s="197">
        <f>G1192*F1192</f>
        <v>9.24</v>
      </c>
    </row>
    <row r="1193" spans="2:8" s="71" customFormat="1" ht="19.5" customHeight="1" x14ac:dyDescent="0.25">
      <c r="B1193" s="371"/>
      <c r="C1193" s="372"/>
      <c r="D1193" s="70" t="s">
        <v>51</v>
      </c>
      <c r="E1193" s="277" t="s">
        <v>14</v>
      </c>
      <c r="F1193" s="303">
        <v>0.8</v>
      </c>
      <c r="G1193" s="276">
        <v>0.6</v>
      </c>
      <c r="H1193" s="197">
        <f>-G1193*F1193</f>
        <v>-0.48</v>
      </c>
    </row>
    <row r="1194" spans="2:8" s="71" customFormat="1" ht="19.5" customHeight="1" x14ac:dyDescent="0.25">
      <c r="B1194" s="371"/>
      <c r="C1194" s="372"/>
      <c r="D1194" s="70" t="s">
        <v>533</v>
      </c>
      <c r="E1194" s="277" t="s">
        <v>14</v>
      </c>
      <c r="F1194" s="303">
        <v>1.45</v>
      </c>
      <c r="G1194" s="276">
        <v>0.5</v>
      </c>
      <c r="H1194" s="197">
        <f>-G1194*F1194</f>
        <v>-0.72499999999999998</v>
      </c>
    </row>
    <row r="1195" spans="2:8" s="71" customFormat="1" ht="19.5" customHeight="1" x14ac:dyDescent="0.25">
      <c r="B1195" s="371"/>
      <c r="C1195" s="372"/>
      <c r="D1195" s="70" t="s">
        <v>57</v>
      </c>
      <c r="E1195" s="277" t="s">
        <v>14</v>
      </c>
      <c r="F1195" s="303">
        <v>4.0659999999999998</v>
      </c>
      <c r="G1195" s="303">
        <v>1.5</v>
      </c>
      <c r="H1195" s="197">
        <f>G1195*F1195</f>
        <v>6.0990000000000002</v>
      </c>
    </row>
    <row r="1196" spans="2:8" s="71" customFormat="1" ht="19.5" customHeight="1" x14ac:dyDescent="0.25">
      <c r="B1196" s="371"/>
      <c r="C1196" s="372"/>
      <c r="D1196" s="70" t="s">
        <v>533</v>
      </c>
      <c r="E1196" s="277" t="s">
        <v>14</v>
      </c>
      <c r="F1196" s="303">
        <v>1.45</v>
      </c>
      <c r="G1196" s="276">
        <v>0.5</v>
      </c>
      <c r="H1196" s="197">
        <f>-G1196*F1196</f>
        <v>-0.72499999999999998</v>
      </c>
    </row>
    <row r="1197" spans="2:8" s="71" customFormat="1" ht="19.5" customHeight="1" x14ac:dyDescent="0.25">
      <c r="B1197" s="371"/>
      <c r="C1197" s="372"/>
      <c r="D1197" s="70" t="s">
        <v>58</v>
      </c>
      <c r="E1197" s="277" t="s">
        <v>14</v>
      </c>
      <c r="F1197" s="303">
        <f>9.52+9.52+5.97+5.97</f>
        <v>30.979999999999997</v>
      </c>
      <c r="G1197" s="303">
        <v>1.5</v>
      </c>
      <c r="H1197" s="197">
        <f>F1197*G1197</f>
        <v>46.47</v>
      </c>
    </row>
    <row r="1198" spans="2:8" s="71" customFormat="1" ht="19.5" customHeight="1" x14ac:dyDescent="0.25">
      <c r="B1198" s="371"/>
      <c r="C1198" s="372"/>
      <c r="D1198" s="70" t="s">
        <v>59</v>
      </c>
      <c r="E1198" s="277" t="s">
        <v>14</v>
      </c>
      <c r="F1198" s="303">
        <v>2</v>
      </c>
      <c r="G1198" s="303">
        <v>0.65</v>
      </c>
      <c r="H1198" s="197">
        <f>G1198*F1198*-2</f>
        <v>-2.6</v>
      </c>
    </row>
    <row r="1199" spans="2:8" s="71" customFormat="1" ht="19.5" customHeight="1" x14ac:dyDescent="0.25">
      <c r="B1199" s="371"/>
      <c r="C1199" s="372"/>
      <c r="D1199" s="70" t="s">
        <v>60</v>
      </c>
      <c r="E1199" s="277" t="s">
        <v>14</v>
      </c>
      <c r="F1199" s="303">
        <v>0.8</v>
      </c>
      <c r="G1199" s="276">
        <v>0.6</v>
      </c>
      <c r="H1199" s="197">
        <f>-G1199*F1199*1</f>
        <v>-0.48</v>
      </c>
    </row>
    <row r="1200" spans="2:8" s="71" customFormat="1" ht="19.5" customHeight="1" x14ac:dyDescent="0.25">
      <c r="B1200" s="371"/>
      <c r="C1200" s="372"/>
      <c r="D1200" s="70" t="s">
        <v>61</v>
      </c>
      <c r="E1200" s="277" t="s">
        <v>14</v>
      </c>
      <c r="F1200" s="303">
        <v>2</v>
      </c>
      <c r="G1200" s="276">
        <v>0.6</v>
      </c>
      <c r="H1200" s="197">
        <f>-G1200*F1200</f>
        <v>-1.2</v>
      </c>
    </row>
    <row r="1201" spans="2:8" s="71" customFormat="1" ht="19.5" customHeight="1" x14ac:dyDescent="0.25">
      <c r="B1201" s="371"/>
      <c r="C1201" s="372"/>
      <c r="D1201" s="70" t="s">
        <v>62</v>
      </c>
      <c r="E1201" s="277" t="s">
        <v>14</v>
      </c>
      <c r="F1201" s="303">
        <f>6.11+6.11</f>
        <v>12.22</v>
      </c>
      <c r="G1201" s="276">
        <v>1.5</v>
      </c>
      <c r="H1201" s="197">
        <f>G1201*F1201</f>
        <v>18.330000000000002</v>
      </c>
    </row>
    <row r="1202" spans="2:8" s="71" customFormat="1" ht="19.5" customHeight="1" x14ac:dyDescent="0.25">
      <c r="B1202" s="371"/>
      <c r="C1202" s="372"/>
      <c r="D1202" s="70" t="s">
        <v>51</v>
      </c>
      <c r="E1202" s="277" t="s">
        <v>14</v>
      </c>
      <c r="F1202" s="303">
        <v>0.8</v>
      </c>
      <c r="G1202" s="276">
        <v>0.6</v>
      </c>
      <c r="H1202" s="197">
        <f>-G1202*F1202</f>
        <v>-0.48</v>
      </c>
    </row>
    <row r="1203" spans="2:8" s="71" customFormat="1" ht="19.5" customHeight="1" x14ac:dyDescent="0.25">
      <c r="B1203" s="371"/>
      <c r="C1203" s="372"/>
      <c r="D1203" s="70" t="s">
        <v>63</v>
      </c>
      <c r="E1203" s="277" t="s">
        <v>14</v>
      </c>
      <c r="F1203" s="303">
        <v>1.5</v>
      </c>
      <c r="G1203" s="276">
        <v>0.65</v>
      </c>
      <c r="H1203" s="197">
        <f>-3*G1203*F1203</f>
        <v>-2.9250000000000003</v>
      </c>
    </row>
    <row r="1204" spans="2:8" s="71" customFormat="1" ht="19.5" customHeight="1" x14ac:dyDescent="0.25">
      <c r="B1204" s="371"/>
      <c r="C1204" s="372"/>
      <c r="D1204" s="70" t="s">
        <v>64</v>
      </c>
      <c r="E1204" s="277" t="s">
        <v>14</v>
      </c>
      <c r="F1204" s="303">
        <f>9.63+9.63</f>
        <v>19.260000000000002</v>
      </c>
      <c r="G1204" s="303">
        <v>1.5</v>
      </c>
      <c r="H1204" s="197">
        <f>G1204*F1204</f>
        <v>28.89</v>
      </c>
    </row>
    <row r="1205" spans="2:8" s="71" customFormat="1" ht="19.5" customHeight="1" x14ac:dyDescent="0.25">
      <c r="B1205" s="371"/>
      <c r="C1205" s="372"/>
      <c r="D1205" s="70" t="s">
        <v>61</v>
      </c>
      <c r="E1205" s="277" t="s">
        <v>14</v>
      </c>
      <c r="F1205" s="303">
        <v>2</v>
      </c>
      <c r="G1205" s="276">
        <v>0.6</v>
      </c>
      <c r="H1205" s="197">
        <f>-G1205*F1205*1</f>
        <v>-1.2</v>
      </c>
    </row>
    <row r="1206" spans="2:8" s="71" customFormat="1" ht="19.5" customHeight="1" x14ac:dyDescent="0.25">
      <c r="B1206" s="371"/>
      <c r="C1206" s="372"/>
      <c r="D1206" s="70" t="s">
        <v>65</v>
      </c>
      <c r="E1206" s="277" t="s">
        <v>14</v>
      </c>
      <c r="F1206" s="303">
        <v>2</v>
      </c>
      <c r="G1206" s="276">
        <v>0.6</v>
      </c>
      <c r="H1206" s="197">
        <f>-2*G1206*F1206</f>
        <v>-2.4</v>
      </c>
    </row>
    <row r="1207" spans="2:8" s="71" customFormat="1" ht="19.5" customHeight="1" x14ac:dyDescent="0.25">
      <c r="B1207" s="371"/>
      <c r="C1207" s="372"/>
      <c r="D1207" s="70" t="s">
        <v>66</v>
      </c>
      <c r="E1207" s="277" t="s">
        <v>14</v>
      </c>
      <c r="F1207" s="303">
        <f>7.17+4.92+7.17+4.92</f>
        <v>24.18</v>
      </c>
      <c r="G1207" s="303">
        <v>1.5</v>
      </c>
      <c r="H1207" s="197">
        <f>G1207*F1207</f>
        <v>36.269999999999996</v>
      </c>
    </row>
    <row r="1208" spans="2:8" s="71" customFormat="1" ht="19.5" customHeight="1" x14ac:dyDescent="0.25">
      <c r="B1208" s="371"/>
      <c r="C1208" s="372"/>
      <c r="D1208" s="70" t="s">
        <v>51</v>
      </c>
      <c r="E1208" s="277" t="s">
        <v>14</v>
      </c>
      <c r="F1208" s="303">
        <v>0.8</v>
      </c>
      <c r="G1208" s="276">
        <v>0.6</v>
      </c>
      <c r="H1208" s="197">
        <f>-G1208*F1208*1</f>
        <v>-0.48</v>
      </c>
    </row>
    <row r="1209" spans="2:8" s="71" customFormat="1" ht="19.5" customHeight="1" x14ac:dyDescent="0.25">
      <c r="B1209" s="371"/>
      <c r="C1209" s="372"/>
      <c r="D1209" s="70" t="s">
        <v>67</v>
      </c>
      <c r="E1209" s="277" t="s">
        <v>14</v>
      </c>
      <c r="F1209" s="303">
        <v>0.6</v>
      </c>
      <c r="G1209" s="276">
        <v>0.6</v>
      </c>
      <c r="H1209" s="197">
        <f>-G1209*F1209</f>
        <v>-0.36</v>
      </c>
    </row>
    <row r="1210" spans="2:8" s="71" customFormat="1" ht="19.5" customHeight="1" x14ac:dyDescent="0.25">
      <c r="B1210" s="371"/>
      <c r="C1210" s="372"/>
      <c r="D1210" s="70" t="s">
        <v>68</v>
      </c>
      <c r="E1210" s="277" t="s">
        <v>14</v>
      </c>
      <c r="F1210" s="303">
        <v>2.5</v>
      </c>
      <c r="G1210" s="303">
        <v>0.6</v>
      </c>
      <c r="H1210" s="197">
        <f>G1210*F1210</f>
        <v>1.5</v>
      </c>
    </row>
    <row r="1211" spans="2:8" s="71" customFormat="1" ht="19.5" customHeight="1" x14ac:dyDescent="0.25">
      <c r="B1211" s="371"/>
      <c r="C1211" s="372"/>
      <c r="D1211" s="70" t="s">
        <v>69</v>
      </c>
      <c r="E1211" s="277" t="s">
        <v>14</v>
      </c>
      <c r="F1211" s="276">
        <f>1.11+5.22+7.43</f>
        <v>13.76</v>
      </c>
      <c r="G1211" s="276">
        <v>1.5</v>
      </c>
      <c r="H1211" s="197">
        <f>G1211*F1211</f>
        <v>20.64</v>
      </c>
    </row>
    <row r="1212" spans="2:8" s="71" customFormat="1" ht="19.5" customHeight="1" x14ac:dyDescent="0.25">
      <c r="B1212" s="371"/>
      <c r="C1212" s="372"/>
      <c r="D1212" s="70" t="s">
        <v>51</v>
      </c>
      <c r="E1212" s="277" t="s">
        <v>14</v>
      </c>
      <c r="F1212" s="276">
        <v>0.8</v>
      </c>
      <c r="G1212" s="276">
        <v>0.6</v>
      </c>
      <c r="H1212" s="197">
        <f>-G1212*F1212</f>
        <v>-0.48</v>
      </c>
    </row>
    <row r="1213" spans="2:8" s="71" customFormat="1" ht="19.5" customHeight="1" x14ac:dyDescent="0.25">
      <c r="B1213" s="371"/>
      <c r="C1213" s="372"/>
      <c r="D1213" s="70" t="s">
        <v>70</v>
      </c>
      <c r="E1213" s="277" t="s">
        <v>14</v>
      </c>
      <c r="F1213" s="276">
        <v>2.5</v>
      </c>
      <c r="G1213" s="276">
        <v>0.6</v>
      </c>
      <c r="H1213" s="197">
        <f>-2*G1213*F1213</f>
        <v>-3</v>
      </c>
    </row>
    <row r="1214" spans="2:8" s="71" customFormat="1" ht="19.5" customHeight="1" x14ac:dyDescent="0.25">
      <c r="B1214" s="371"/>
      <c r="C1214" s="372"/>
      <c r="D1214" s="70" t="s">
        <v>71</v>
      </c>
      <c r="E1214" s="277" t="s">
        <v>14</v>
      </c>
      <c r="F1214" s="276">
        <f>2.15+2.15</f>
        <v>4.3</v>
      </c>
      <c r="G1214" s="276">
        <v>1.5</v>
      </c>
      <c r="H1214" s="197">
        <f>G1214*F1214</f>
        <v>6.4499999999999993</v>
      </c>
    </row>
    <row r="1215" spans="2:8" s="71" customFormat="1" ht="19.5" customHeight="1" x14ac:dyDescent="0.25">
      <c r="B1215" s="371"/>
      <c r="C1215" s="372"/>
      <c r="D1215" s="70" t="s">
        <v>72</v>
      </c>
      <c r="E1215" s="277" t="s">
        <v>14</v>
      </c>
      <c r="F1215" s="276">
        <v>0.7</v>
      </c>
      <c r="G1215" s="276">
        <v>0.6</v>
      </c>
      <c r="H1215" s="197">
        <f>-2*G1215*F1215</f>
        <v>-0.84</v>
      </c>
    </row>
    <row r="1216" spans="2:8" s="71" customFormat="1" ht="19.5" customHeight="1" x14ac:dyDescent="0.25">
      <c r="B1216" s="371"/>
      <c r="C1216" s="372"/>
      <c r="D1216" s="70" t="s">
        <v>514</v>
      </c>
      <c r="E1216" s="277" t="s">
        <v>14</v>
      </c>
      <c r="F1216" s="276">
        <v>1.6</v>
      </c>
      <c r="G1216" s="276">
        <v>0.6</v>
      </c>
      <c r="H1216" s="197">
        <f>G1216*F1216*-1</f>
        <v>-0.96</v>
      </c>
    </row>
    <row r="1217" spans="2:8" s="71" customFormat="1" ht="19.5" customHeight="1" x14ac:dyDescent="0.25">
      <c r="B1217" s="371"/>
      <c r="C1217" s="372"/>
      <c r="D1217" s="70" t="s">
        <v>73</v>
      </c>
      <c r="E1217" s="277" t="s">
        <v>14</v>
      </c>
      <c r="F1217" s="276">
        <f>7.43+7.43+5.01+5.01</f>
        <v>24.879999999999995</v>
      </c>
      <c r="G1217" s="276">
        <v>1.5</v>
      </c>
      <c r="H1217" s="197">
        <f>G1217*F1217</f>
        <v>37.319999999999993</v>
      </c>
    </row>
    <row r="1218" spans="2:8" s="71" customFormat="1" ht="19.5" customHeight="1" x14ac:dyDescent="0.25">
      <c r="B1218" s="371"/>
      <c r="C1218" s="372"/>
      <c r="D1218" s="70" t="s">
        <v>51</v>
      </c>
      <c r="E1218" s="277" t="s">
        <v>14</v>
      </c>
      <c r="F1218" s="276">
        <v>0.8</v>
      </c>
      <c r="G1218" s="276">
        <v>0.6</v>
      </c>
      <c r="H1218" s="197">
        <f>G1218*F1218*-1</f>
        <v>-0.48</v>
      </c>
    </row>
    <row r="1219" spans="2:8" s="71" customFormat="1" ht="19.5" customHeight="1" x14ac:dyDescent="0.25">
      <c r="B1219" s="371"/>
      <c r="C1219" s="372"/>
      <c r="D1219" s="70" t="s">
        <v>70</v>
      </c>
      <c r="E1219" s="277" t="s">
        <v>14</v>
      </c>
      <c r="F1219" s="276">
        <v>2.5</v>
      </c>
      <c r="G1219" s="276">
        <v>0.6</v>
      </c>
      <c r="H1219" s="197">
        <f>-2*F1219*G1219</f>
        <v>-3</v>
      </c>
    </row>
    <row r="1220" spans="2:8" s="71" customFormat="1" ht="19.5" customHeight="1" x14ac:dyDescent="0.25">
      <c r="B1220" s="371"/>
      <c r="C1220" s="372"/>
      <c r="D1220" s="70" t="s">
        <v>74</v>
      </c>
      <c r="E1220" s="277" t="s">
        <v>14</v>
      </c>
      <c r="F1220" s="276">
        <f>7.65+7.65</f>
        <v>15.3</v>
      </c>
      <c r="G1220" s="276">
        <v>1.5</v>
      </c>
      <c r="H1220" s="197">
        <f>G1220*F1220</f>
        <v>22.950000000000003</v>
      </c>
    </row>
    <row r="1221" spans="2:8" s="71" customFormat="1" ht="19.5" customHeight="1" x14ac:dyDescent="0.25">
      <c r="B1221" s="371"/>
      <c r="C1221" s="372"/>
      <c r="D1221" s="70" t="s">
        <v>51</v>
      </c>
      <c r="E1221" s="277" t="s">
        <v>14</v>
      </c>
      <c r="F1221" s="276">
        <v>0.8</v>
      </c>
      <c r="G1221" s="276">
        <v>0.6</v>
      </c>
      <c r="H1221" s="197">
        <f>G1221*F1221*-1</f>
        <v>-0.48</v>
      </c>
    </row>
    <row r="1222" spans="2:8" s="71" customFormat="1" ht="19.5" customHeight="1" x14ac:dyDescent="0.25">
      <c r="B1222" s="371"/>
      <c r="C1222" s="372"/>
      <c r="D1222" s="70" t="s">
        <v>70</v>
      </c>
      <c r="E1222" s="277" t="s">
        <v>14</v>
      </c>
      <c r="F1222" s="276">
        <v>2.5</v>
      </c>
      <c r="G1222" s="276">
        <v>0.6</v>
      </c>
      <c r="H1222" s="197">
        <f>-2*F1222*G1222</f>
        <v>-3</v>
      </c>
    </row>
    <row r="1223" spans="2:8" s="71" customFormat="1" ht="19.5" customHeight="1" x14ac:dyDescent="0.25">
      <c r="B1223" s="371"/>
      <c r="C1223" s="372"/>
      <c r="D1223" s="70" t="s">
        <v>75</v>
      </c>
      <c r="E1223" s="277" t="s">
        <v>14</v>
      </c>
      <c r="F1223" s="276">
        <f>7.51+7.51+4.97+4.97</f>
        <v>24.959999999999997</v>
      </c>
      <c r="G1223" s="276">
        <v>1.5</v>
      </c>
      <c r="H1223" s="197">
        <f>G1223*F1223</f>
        <v>37.44</v>
      </c>
    </row>
    <row r="1224" spans="2:8" s="71" customFormat="1" ht="19.5" customHeight="1" x14ac:dyDescent="0.25">
      <c r="B1224" s="371"/>
      <c r="C1224" s="372"/>
      <c r="D1224" s="70" t="s">
        <v>51</v>
      </c>
      <c r="E1224" s="277" t="s">
        <v>14</v>
      </c>
      <c r="F1224" s="276">
        <v>0.8</v>
      </c>
      <c r="G1224" s="276">
        <v>0.6</v>
      </c>
      <c r="H1224" s="197">
        <f>G1224*F1224*-1</f>
        <v>-0.48</v>
      </c>
    </row>
    <row r="1225" spans="2:8" s="71" customFormat="1" ht="19.5" customHeight="1" x14ac:dyDescent="0.25">
      <c r="B1225" s="371"/>
      <c r="C1225" s="372"/>
      <c r="D1225" s="70" t="s">
        <v>70</v>
      </c>
      <c r="E1225" s="277" t="s">
        <v>14</v>
      </c>
      <c r="F1225" s="276">
        <v>2.5</v>
      </c>
      <c r="G1225" s="276">
        <v>0.6</v>
      </c>
      <c r="H1225" s="197">
        <f>-2*F1225*G1225</f>
        <v>-3</v>
      </c>
    </row>
    <row r="1226" spans="2:8" s="71" customFormat="1" ht="19.5" customHeight="1" x14ac:dyDescent="0.25">
      <c r="B1226" s="371"/>
      <c r="C1226" s="372"/>
      <c r="D1226" s="70" t="s">
        <v>76</v>
      </c>
      <c r="E1226" s="277" t="s">
        <v>14</v>
      </c>
      <c r="F1226" s="276">
        <f>1.41+7.72+5.22</f>
        <v>14.349999999999998</v>
      </c>
      <c r="G1226" s="276">
        <v>1.5</v>
      </c>
      <c r="H1226" s="197">
        <f>G1226*F1226</f>
        <v>21.524999999999999</v>
      </c>
    </row>
    <row r="1227" spans="2:8" s="71" customFormat="1" ht="19.5" customHeight="1" x14ac:dyDescent="0.25">
      <c r="B1227" s="371"/>
      <c r="C1227" s="372"/>
      <c r="D1227" s="70" t="s">
        <v>51</v>
      </c>
      <c r="E1227" s="277" t="s">
        <v>14</v>
      </c>
      <c r="F1227" s="276">
        <v>0.8</v>
      </c>
      <c r="G1227" s="276">
        <v>0.6</v>
      </c>
      <c r="H1227" s="197">
        <f>G1227*F1227*-1</f>
        <v>-0.48</v>
      </c>
    </row>
    <row r="1228" spans="2:8" s="71" customFormat="1" ht="19.5" customHeight="1" x14ac:dyDescent="0.25">
      <c r="B1228" s="371"/>
      <c r="C1228" s="372"/>
      <c r="D1228" s="70" t="s">
        <v>70</v>
      </c>
      <c r="E1228" s="277" t="s">
        <v>14</v>
      </c>
      <c r="F1228" s="276">
        <v>2.5</v>
      </c>
      <c r="G1228" s="276">
        <v>0.6</v>
      </c>
      <c r="H1228" s="197">
        <f>-2*F1228*G1228</f>
        <v>-3</v>
      </c>
    </row>
    <row r="1229" spans="2:8" s="71" customFormat="1" ht="19.5" customHeight="1" x14ac:dyDescent="0.25">
      <c r="B1229" s="371"/>
      <c r="C1229" s="372"/>
      <c r="D1229" s="70" t="s">
        <v>77</v>
      </c>
      <c r="E1229" s="277" t="s">
        <v>14</v>
      </c>
      <c r="F1229" s="276">
        <f>5.98+5.93+5.98+5.93</f>
        <v>23.82</v>
      </c>
      <c r="G1229" s="276">
        <v>1.5</v>
      </c>
      <c r="H1229" s="197">
        <f>G1229*F1229</f>
        <v>35.730000000000004</v>
      </c>
    </row>
    <row r="1230" spans="2:8" s="71" customFormat="1" ht="19.5" customHeight="1" x14ac:dyDescent="0.25">
      <c r="B1230" s="371"/>
      <c r="C1230" s="372"/>
      <c r="D1230" s="70" t="s">
        <v>51</v>
      </c>
      <c r="E1230" s="277" t="s">
        <v>14</v>
      </c>
      <c r="F1230" s="276">
        <v>0.8</v>
      </c>
      <c r="G1230" s="276">
        <v>0.6</v>
      </c>
      <c r="H1230" s="197">
        <f>G1230*F1230*-1</f>
        <v>-0.48</v>
      </c>
    </row>
    <row r="1231" spans="2:8" s="71" customFormat="1" ht="19.5" customHeight="1" x14ac:dyDescent="0.25">
      <c r="B1231" s="371"/>
      <c r="C1231" s="372"/>
      <c r="D1231" s="70" t="s">
        <v>65</v>
      </c>
      <c r="E1231" s="277" t="s">
        <v>14</v>
      </c>
      <c r="F1231" s="276">
        <v>2</v>
      </c>
      <c r="G1231" s="276">
        <v>0.6</v>
      </c>
      <c r="H1231" s="197">
        <f>-2*G1231*F1231</f>
        <v>-2.4</v>
      </c>
    </row>
    <row r="1232" spans="2:8" s="71" customFormat="1" ht="19.5" customHeight="1" x14ac:dyDescent="0.25">
      <c r="B1232" s="371"/>
      <c r="C1232" s="372"/>
      <c r="D1232" s="70" t="s">
        <v>78</v>
      </c>
      <c r="E1232" s="277" t="s">
        <v>14</v>
      </c>
      <c r="F1232" s="276">
        <f>6.13+6.13</f>
        <v>12.26</v>
      </c>
      <c r="G1232" s="276">
        <v>1.5</v>
      </c>
      <c r="H1232" s="197">
        <f>G1232*F1232</f>
        <v>18.39</v>
      </c>
    </row>
    <row r="1233" spans="2:8" s="71" customFormat="1" ht="19.5" customHeight="1" x14ac:dyDescent="0.25">
      <c r="B1233" s="371"/>
      <c r="C1233" s="372"/>
      <c r="D1233" s="70" t="s">
        <v>51</v>
      </c>
      <c r="E1233" s="277" t="s">
        <v>14</v>
      </c>
      <c r="F1233" s="276">
        <v>0.8</v>
      </c>
      <c r="G1233" s="276">
        <v>0.6</v>
      </c>
      <c r="H1233" s="197">
        <f>G1233*F1233*-1</f>
        <v>-0.48</v>
      </c>
    </row>
    <row r="1234" spans="2:8" s="71" customFormat="1" ht="19.5" customHeight="1" x14ac:dyDescent="0.25">
      <c r="B1234" s="371"/>
      <c r="C1234" s="372"/>
      <c r="D1234" s="70" t="s">
        <v>65</v>
      </c>
      <c r="E1234" s="277" t="s">
        <v>14</v>
      </c>
      <c r="F1234" s="276">
        <v>2.1</v>
      </c>
      <c r="G1234" s="276">
        <v>0.6</v>
      </c>
      <c r="H1234" s="197">
        <f>-2*G1234*F1234</f>
        <v>-2.52</v>
      </c>
    </row>
    <row r="1235" spans="2:8" s="71" customFormat="1" ht="19.5" customHeight="1" x14ac:dyDescent="0.25">
      <c r="B1235" s="371"/>
      <c r="C1235" s="372"/>
      <c r="D1235" s="70" t="s">
        <v>79</v>
      </c>
      <c r="E1235" s="277" t="s">
        <v>14</v>
      </c>
      <c r="F1235" s="276">
        <f>0.85+0.85+5.26+5.26+1.35+1.35</f>
        <v>14.919999999999998</v>
      </c>
      <c r="G1235" s="276">
        <v>1.5</v>
      </c>
      <c r="H1235" s="197">
        <f>G1235*F1235</f>
        <v>22.379999999999995</v>
      </c>
    </row>
    <row r="1236" spans="2:8" s="71" customFormat="1" ht="19.5" customHeight="1" x14ac:dyDescent="0.25">
      <c r="B1236" s="371"/>
      <c r="C1236" s="372"/>
      <c r="D1236" s="70" t="s">
        <v>515</v>
      </c>
      <c r="E1236" s="277" t="s">
        <v>14</v>
      </c>
      <c r="F1236" s="276">
        <v>1.5</v>
      </c>
      <c r="G1236" s="276">
        <v>0.5</v>
      </c>
      <c r="H1236" s="197">
        <f>-2*G1236*F1236</f>
        <v>-1.5</v>
      </c>
    </row>
    <row r="1237" spans="2:8" s="71" customFormat="1" ht="19.5" customHeight="1" x14ac:dyDescent="0.25">
      <c r="B1237" s="371"/>
      <c r="C1237" s="372"/>
      <c r="D1237" s="70" t="s">
        <v>72</v>
      </c>
      <c r="E1237" s="277" t="s">
        <v>14</v>
      </c>
      <c r="F1237" s="276">
        <v>0.7</v>
      </c>
      <c r="G1237" s="276">
        <v>0.6</v>
      </c>
      <c r="H1237" s="197">
        <f>-2*G1237*F1237</f>
        <v>-0.84</v>
      </c>
    </row>
    <row r="1238" spans="2:8" s="71" customFormat="1" ht="19.5" customHeight="1" x14ac:dyDescent="0.25">
      <c r="B1238" s="371"/>
      <c r="C1238" s="372"/>
      <c r="D1238" s="70" t="s">
        <v>80</v>
      </c>
      <c r="E1238" s="277" t="s">
        <v>14</v>
      </c>
      <c r="F1238" s="276">
        <f>5.9+6.02+5.9+6.02</f>
        <v>23.84</v>
      </c>
      <c r="G1238" s="276">
        <v>1.5</v>
      </c>
      <c r="H1238" s="197">
        <f>G1238*F1238</f>
        <v>35.76</v>
      </c>
    </row>
    <row r="1239" spans="2:8" s="71" customFormat="1" ht="19.5" customHeight="1" x14ac:dyDescent="0.25">
      <c r="B1239" s="371"/>
      <c r="C1239" s="372"/>
      <c r="D1239" s="70" t="s">
        <v>51</v>
      </c>
      <c r="E1239" s="277" t="s">
        <v>14</v>
      </c>
      <c r="F1239" s="276">
        <v>0.8</v>
      </c>
      <c r="G1239" s="276">
        <v>0.6</v>
      </c>
      <c r="H1239" s="197">
        <f>G1239*F1239*-1</f>
        <v>-0.48</v>
      </c>
    </row>
    <row r="1240" spans="2:8" s="71" customFormat="1" ht="19.5" customHeight="1" x14ac:dyDescent="0.25">
      <c r="B1240" s="371"/>
      <c r="C1240" s="372"/>
      <c r="D1240" s="70" t="s">
        <v>65</v>
      </c>
      <c r="E1240" s="277" t="s">
        <v>14</v>
      </c>
      <c r="F1240" s="276">
        <v>2</v>
      </c>
      <c r="G1240" s="276">
        <v>0.6</v>
      </c>
      <c r="H1240" s="197">
        <f>-2*G1240*F1240</f>
        <v>-2.4</v>
      </c>
    </row>
    <row r="1241" spans="2:8" s="71" customFormat="1" ht="19.5" customHeight="1" x14ac:dyDescent="0.25">
      <c r="B1241" s="371"/>
      <c r="C1241" s="372"/>
      <c r="D1241" s="70" t="s">
        <v>81</v>
      </c>
      <c r="E1241" s="277" t="s">
        <v>14</v>
      </c>
      <c r="F1241" s="276">
        <f>6.06+6.06+6.33</f>
        <v>18.45</v>
      </c>
      <c r="G1241" s="276">
        <v>1.5</v>
      </c>
      <c r="H1241" s="197">
        <f>G1241*F1241</f>
        <v>27.674999999999997</v>
      </c>
    </row>
    <row r="1242" spans="2:8" s="71" customFormat="1" ht="19.5" customHeight="1" x14ac:dyDescent="0.25">
      <c r="B1242" s="371"/>
      <c r="C1242" s="372"/>
      <c r="D1242" s="70" t="s">
        <v>51</v>
      </c>
      <c r="E1242" s="277" t="s">
        <v>14</v>
      </c>
      <c r="F1242" s="276">
        <v>0.8</v>
      </c>
      <c r="G1242" s="276">
        <v>0.6</v>
      </c>
      <c r="H1242" s="197">
        <f>G1242*F1242*-1</f>
        <v>-0.48</v>
      </c>
    </row>
    <row r="1243" spans="2:8" s="71" customFormat="1" ht="19.5" customHeight="1" x14ac:dyDescent="0.25">
      <c r="B1243" s="371"/>
      <c r="C1243" s="372"/>
      <c r="D1243" s="70" t="s">
        <v>65</v>
      </c>
      <c r="E1243" s="277" t="s">
        <v>14</v>
      </c>
      <c r="F1243" s="276">
        <v>2</v>
      </c>
      <c r="G1243" s="276">
        <v>0.6</v>
      </c>
      <c r="H1243" s="197">
        <f>-2*G1243*F1243</f>
        <v>-2.4</v>
      </c>
    </row>
    <row r="1244" spans="2:8" s="71" customFormat="1" ht="19.5" customHeight="1" x14ac:dyDescent="0.25">
      <c r="B1244" s="371"/>
      <c r="C1244" s="372"/>
      <c r="D1244" s="70" t="s">
        <v>82</v>
      </c>
      <c r="E1244" s="277" t="s">
        <v>14</v>
      </c>
      <c r="F1244" s="276">
        <v>10.15</v>
      </c>
      <c r="G1244" s="276">
        <v>3.1</v>
      </c>
      <c r="H1244" s="197">
        <f>G1244*F1244</f>
        <v>31.465000000000003</v>
      </c>
    </row>
    <row r="1245" spans="2:8" s="71" customFormat="1" ht="19.5" customHeight="1" x14ac:dyDescent="0.25">
      <c r="B1245" s="371"/>
      <c r="C1245" s="372"/>
      <c r="D1245" s="70" t="s">
        <v>83</v>
      </c>
      <c r="E1245" s="277" t="s">
        <v>14</v>
      </c>
      <c r="F1245" s="276">
        <v>4.5</v>
      </c>
      <c r="G1245" s="276">
        <v>6.94</v>
      </c>
      <c r="H1245" s="197">
        <f>G1245*F1245</f>
        <v>31.23</v>
      </c>
    </row>
    <row r="1246" spans="2:8" s="71" customFormat="1" ht="19.5" customHeight="1" x14ac:dyDescent="0.25">
      <c r="B1246" s="371"/>
      <c r="C1246" s="372"/>
      <c r="D1246" s="70" t="s">
        <v>84</v>
      </c>
      <c r="E1246" s="277" t="s">
        <v>14</v>
      </c>
      <c r="F1246" s="276">
        <v>4.37</v>
      </c>
      <c r="G1246" s="276">
        <v>3.66</v>
      </c>
      <c r="H1246" s="197">
        <f t="shared" ref="H1246:H1253" si="29">G1246*F1246</f>
        <v>15.994200000000001</v>
      </c>
    </row>
    <row r="1247" spans="2:8" s="71" customFormat="1" ht="19.5" customHeight="1" x14ac:dyDescent="0.25">
      <c r="B1247" s="371"/>
      <c r="C1247" s="372"/>
      <c r="D1247" s="70" t="s">
        <v>85</v>
      </c>
      <c r="E1247" s="277" t="s">
        <v>14</v>
      </c>
      <c r="F1247" s="276">
        <v>2.98</v>
      </c>
      <c r="G1247" s="276">
        <v>6.2</v>
      </c>
      <c r="H1247" s="197">
        <f t="shared" si="29"/>
        <v>18.475999999999999</v>
      </c>
    </row>
    <row r="1248" spans="2:8" s="71" customFormat="1" ht="19.5" customHeight="1" x14ac:dyDescent="0.25">
      <c r="B1248" s="373"/>
      <c r="C1248" s="374"/>
      <c r="D1248" s="70" t="s">
        <v>86</v>
      </c>
      <c r="E1248" s="277" t="s">
        <v>14</v>
      </c>
      <c r="F1248" s="276">
        <v>4.41</v>
      </c>
      <c r="G1248" s="276">
        <v>4.2699999999999996</v>
      </c>
      <c r="H1248" s="197">
        <f t="shared" si="29"/>
        <v>18.8307</v>
      </c>
    </row>
    <row r="1249" spans="2:8" s="71" customFormat="1" ht="19.5" customHeight="1" x14ac:dyDescent="0.25">
      <c r="B1249" s="200"/>
      <c r="D1249" s="70" t="s">
        <v>87</v>
      </c>
      <c r="E1249" s="277" t="s">
        <v>14</v>
      </c>
      <c r="F1249" s="276">
        <v>1.45</v>
      </c>
      <c r="G1249" s="276">
        <v>1.8</v>
      </c>
      <c r="H1249" s="197">
        <f t="shared" si="29"/>
        <v>2.61</v>
      </c>
    </row>
    <row r="1250" spans="2:8" s="71" customFormat="1" ht="19.5" customHeight="1" x14ac:dyDescent="0.25">
      <c r="B1250" s="200"/>
      <c r="D1250" s="70" t="s">
        <v>88</v>
      </c>
      <c r="E1250" s="277" t="s">
        <v>14</v>
      </c>
      <c r="F1250" s="276">
        <v>1.45</v>
      </c>
      <c r="G1250" s="276">
        <v>1.8</v>
      </c>
      <c r="H1250" s="197">
        <f t="shared" si="29"/>
        <v>2.61</v>
      </c>
    </row>
    <row r="1251" spans="2:8" s="71" customFormat="1" ht="19.5" customHeight="1" x14ac:dyDescent="0.25">
      <c r="B1251" s="200"/>
      <c r="D1251" s="70" t="s">
        <v>89</v>
      </c>
      <c r="E1251" s="277" t="s">
        <v>14</v>
      </c>
      <c r="F1251" s="276">
        <v>5.54</v>
      </c>
      <c r="G1251" s="276">
        <v>4</v>
      </c>
      <c r="H1251" s="197">
        <f t="shared" si="29"/>
        <v>22.16</v>
      </c>
    </row>
    <row r="1252" spans="2:8" s="71" customFormat="1" ht="19.5" customHeight="1" x14ac:dyDescent="0.25">
      <c r="B1252" s="200"/>
      <c r="D1252" s="70" t="s">
        <v>90</v>
      </c>
      <c r="E1252" s="277" t="s">
        <v>14</v>
      </c>
      <c r="F1252" s="276">
        <v>1.8</v>
      </c>
      <c r="G1252" s="276">
        <v>2.48</v>
      </c>
      <c r="H1252" s="197">
        <f t="shared" si="29"/>
        <v>4.4640000000000004</v>
      </c>
    </row>
    <row r="1253" spans="2:8" s="71" customFormat="1" ht="19.5" customHeight="1" x14ac:dyDescent="0.25">
      <c r="B1253" s="200"/>
      <c r="D1253" s="70" t="s">
        <v>91</v>
      </c>
      <c r="E1253" s="277" t="s">
        <v>14</v>
      </c>
      <c r="F1253" s="276">
        <v>2.29</v>
      </c>
      <c r="G1253" s="276">
        <v>2.48</v>
      </c>
      <c r="H1253" s="197">
        <f t="shared" si="29"/>
        <v>5.6791999999999998</v>
      </c>
    </row>
    <row r="1254" spans="2:8" s="71" customFormat="1" ht="19.5" customHeight="1" x14ac:dyDescent="0.25">
      <c r="B1254" s="200"/>
      <c r="D1254" s="70" t="s">
        <v>92</v>
      </c>
      <c r="E1254" s="277" t="s">
        <v>14</v>
      </c>
      <c r="F1254" s="276">
        <v>6.55</v>
      </c>
      <c r="G1254" s="276">
        <v>4</v>
      </c>
      <c r="H1254" s="197">
        <f>G1254*F1254+(1.5*1)</f>
        <v>27.7</v>
      </c>
    </row>
    <row r="1255" spans="2:8" s="71" customFormat="1" ht="19.5" customHeight="1" x14ac:dyDescent="0.25">
      <c r="B1255" s="200"/>
      <c r="D1255" s="70" t="s">
        <v>93</v>
      </c>
      <c r="E1255" s="277" t="s">
        <v>14</v>
      </c>
      <c r="F1255" s="276">
        <v>5.4</v>
      </c>
      <c r="G1255" s="276">
        <v>4</v>
      </c>
      <c r="H1255" s="197">
        <f t="shared" ref="H1255:H1259" si="30">G1255*F1255</f>
        <v>21.6</v>
      </c>
    </row>
    <row r="1256" spans="2:8" s="71" customFormat="1" ht="19.5" customHeight="1" x14ac:dyDescent="0.25">
      <c r="B1256" s="200"/>
      <c r="D1256" s="70" t="s">
        <v>94</v>
      </c>
      <c r="E1256" s="277" t="s">
        <v>14</v>
      </c>
      <c r="F1256" s="276">
        <v>2.29</v>
      </c>
      <c r="G1256" s="276">
        <v>2.48</v>
      </c>
      <c r="H1256" s="197">
        <f t="shared" si="30"/>
        <v>5.6791999999999998</v>
      </c>
    </row>
    <row r="1257" spans="2:8" s="102" customFormat="1" ht="19.5" customHeight="1" x14ac:dyDescent="0.25">
      <c r="B1257" s="200"/>
      <c r="C1257" s="71"/>
      <c r="D1257" s="229" t="s">
        <v>518</v>
      </c>
      <c r="E1257" s="222" t="s">
        <v>14</v>
      </c>
      <c r="F1257" s="231">
        <v>2.1</v>
      </c>
      <c r="G1257" s="231">
        <v>3</v>
      </c>
      <c r="H1257" s="230">
        <f t="shared" si="30"/>
        <v>6.3000000000000007</v>
      </c>
    </row>
    <row r="1258" spans="2:8" s="71" customFormat="1" ht="19.5" customHeight="1" x14ac:dyDescent="0.25">
      <c r="B1258" s="200"/>
      <c r="D1258" s="70" t="s">
        <v>521</v>
      </c>
      <c r="E1258" s="277" t="s">
        <v>14</v>
      </c>
      <c r="F1258" s="276">
        <v>1.7</v>
      </c>
      <c r="G1258" s="276">
        <v>2</v>
      </c>
      <c r="H1258" s="197">
        <f>G1258*F1258*-1</f>
        <v>-3.4</v>
      </c>
    </row>
    <row r="1259" spans="2:8" s="71" customFormat="1" ht="15" x14ac:dyDescent="0.25">
      <c r="B1259" s="200"/>
      <c r="D1259" s="70" t="s">
        <v>534</v>
      </c>
      <c r="E1259" s="277" t="s">
        <v>14</v>
      </c>
      <c r="F1259" s="276">
        <v>1.7</v>
      </c>
      <c r="G1259" s="276">
        <v>2</v>
      </c>
      <c r="H1259" s="197">
        <f t="shared" si="30"/>
        <v>3.4</v>
      </c>
    </row>
    <row r="1260" spans="2:8" s="71" customFormat="1" ht="19.5" customHeight="1" x14ac:dyDescent="0.25">
      <c r="B1260" s="200"/>
      <c r="D1260" s="70" t="s">
        <v>520</v>
      </c>
      <c r="E1260" s="277" t="s">
        <v>14</v>
      </c>
      <c r="F1260" s="276">
        <v>5.4</v>
      </c>
      <c r="G1260" s="276">
        <v>1.5</v>
      </c>
      <c r="H1260" s="197">
        <f>G1260*F1260*2</f>
        <v>16.200000000000003</v>
      </c>
    </row>
    <row r="1261" spans="2:8" s="71" customFormat="1" ht="19.5" customHeight="1" x14ac:dyDescent="0.25">
      <c r="B1261" s="200"/>
      <c r="D1261" s="70" t="s">
        <v>521</v>
      </c>
      <c r="E1261" s="277" t="s">
        <v>14</v>
      </c>
      <c r="F1261" s="276">
        <v>4.7699999999999996</v>
      </c>
      <c r="G1261" s="276">
        <v>1.95</v>
      </c>
      <c r="H1261" s="197">
        <f>G1261*F1261*-1</f>
        <v>-9.301499999999999</v>
      </c>
    </row>
    <row r="1262" spans="2:8" s="71" customFormat="1" ht="19.5" customHeight="1" x14ac:dyDescent="0.25">
      <c r="B1262" s="200"/>
      <c r="D1262" s="70" t="s">
        <v>535</v>
      </c>
      <c r="E1262" s="277" t="s">
        <v>14</v>
      </c>
      <c r="F1262" s="276">
        <v>4.7699999999999996</v>
      </c>
      <c r="G1262" s="276">
        <v>1.95</v>
      </c>
      <c r="H1262" s="197">
        <f>G1262*F1262*2</f>
        <v>18.602999999999998</v>
      </c>
    </row>
    <row r="1263" spans="2:8" s="71" customFormat="1" ht="19.5" customHeight="1" x14ac:dyDescent="0.25">
      <c r="B1263" s="200"/>
      <c r="D1263" s="206" t="s">
        <v>536</v>
      </c>
      <c r="E1263" s="277" t="s">
        <v>14</v>
      </c>
      <c r="F1263" s="205">
        <f>0.15*4</f>
        <v>0.6</v>
      </c>
      <c r="G1263" s="205">
        <v>1.55</v>
      </c>
      <c r="H1263" s="197">
        <f>G1263*F1263*12</f>
        <v>11.16</v>
      </c>
    </row>
    <row r="1264" spans="2:8" s="71" customFormat="1" ht="19.5" customHeight="1" x14ac:dyDescent="0.25">
      <c r="B1264" s="200"/>
      <c r="D1264" s="229" t="s">
        <v>95</v>
      </c>
      <c r="E1264" s="277" t="s">
        <v>14</v>
      </c>
      <c r="F1264" s="395">
        <v>25.65</v>
      </c>
      <c r="G1264" s="406"/>
      <c r="H1264" s="197">
        <f>F1264</f>
        <v>25.65</v>
      </c>
    </row>
    <row r="1265" spans="2:8" s="71" customFormat="1" ht="19.5" customHeight="1" x14ac:dyDescent="0.25">
      <c r="B1265" s="200"/>
      <c r="D1265" s="229" t="s">
        <v>96</v>
      </c>
      <c r="E1265" s="277" t="s">
        <v>14</v>
      </c>
      <c r="F1265" s="395">
        <v>15.54</v>
      </c>
      <c r="G1265" s="406"/>
      <c r="H1265" s="197">
        <f>F1265</f>
        <v>15.54</v>
      </c>
    </row>
    <row r="1266" spans="2:8" s="71" customFormat="1" ht="19.5" customHeight="1" x14ac:dyDescent="0.25">
      <c r="B1266" s="200"/>
      <c r="D1266" s="229" t="s">
        <v>97</v>
      </c>
      <c r="E1266" s="277" t="s">
        <v>14</v>
      </c>
      <c r="F1266" s="395">
        <v>14.65</v>
      </c>
      <c r="G1266" s="406"/>
      <c r="H1266" s="197">
        <f>F1266</f>
        <v>14.65</v>
      </c>
    </row>
    <row r="1267" spans="2:8" s="71" customFormat="1" ht="19.5" customHeight="1" x14ac:dyDescent="0.25">
      <c r="B1267" s="200"/>
      <c r="D1267" s="229" t="s">
        <v>522</v>
      </c>
      <c r="E1267" s="222"/>
      <c r="F1267" s="276">
        <v>0.35</v>
      </c>
      <c r="G1267" s="276">
        <v>1.32</v>
      </c>
      <c r="H1267" s="197">
        <f>G1267*F1267*4*3</f>
        <v>5.5439999999999996</v>
      </c>
    </row>
    <row r="1268" spans="2:8" s="71" customFormat="1" ht="19.5" customHeight="1" x14ac:dyDescent="0.25">
      <c r="B1268" s="200"/>
      <c r="D1268" s="229" t="s">
        <v>523</v>
      </c>
      <c r="E1268" s="277" t="s">
        <v>14</v>
      </c>
      <c r="F1268" s="231">
        <v>45.46</v>
      </c>
      <c r="G1268" s="231">
        <v>3</v>
      </c>
      <c r="H1268" s="197">
        <f>G1268*F1268</f>
        <v>136.38</v>
      </c>
    </row>
    <row r="1269" spans="2:8" s="71" customFormat="1" ht="19.5" customHeight="1" x14ac:dyDescent="0.25">
      <c r="B1269" s="200"/>
      <c r="D1269" s="229" t="s">
        <v>524</v>
      </c>
      <c r="E1269" s="277" t="s">
        <v>14</v>
      </c>
      <c r="F1269" s="231">
        <v>45.46</v>
      </c>
      <c r="G1269" s="231">
        <v>3</v>
      </c>
      <c r="H1269" s="197">
        <f>F1269*2*G1269</f>
        <v>272.76</v>
      </c>
    </row>
    <row r="1270" spans="2:8" s="71" customFormat="1" ht="19.5" customHeight="1" x14ac:dyDescent="0.25">
      <c r="B1270" s="200"/>
      <c r="D1270" s="229" t="s">
        <v>525</v>
      </c>
      <c r="E1270" s="277" t="s">
        <v>14</v>
      </c>
      <c r="F1270" s="231">
        <v>39</v>
      </c>
      <c r="G1270" s="231">
        <v>3</v>
      </c>
      <c r="H1270" s="197">
        <f>G1270*F1270*2</f>
        <v>234</v>
      </c>
    </row>
    <row r="1271" spans="2:8" s="71" customFormat="1" ht="19.5" customHeight="1" x14ac:dyDescent="0.25">
      <c r="B1271" s="203"/>
      <c r="C1271" s="278"/>
      <c r="D1271" s="229" t="s">
        <v>526</v>
      </c>
      <c r="E1271" s="277" t="s">
        <v>14</v>
      </c>
      <c r="F1271" s="231">
        <v>39</v>
      </c>
      <c r="G1271" s="231">
        <v>3</v>
      </c>
      <c r="H1271" s="197">
        <f>G1271*F1271*2</f>
        <v>234</v>
      </c>
    </row>
    <row r="1272" spans="2:8" s="71" customFormat="1" ht="19.5" customHeight="1" x14ac:dyDescent="0.25">
      <c r="B1272" s="198" t="s">
        <v>537</v>
      </c>
      <c r="C1272" s="108">
        <v>260601</v>
      </c>
      <c r="D1272" s="77" t="s">
        <v>538</v>
      </c>
      <c r="E1272" s="76" t="s">
        <v>14</v>
      </c>
      <c r="F1272" s="298" t="s">
        <v>15</v>
      </c>
      <c r="G1272" s="298" t="s">
        <v>16</v>
      </c>
      <c r="H1272" s="199">
        <f>SUM(H1273:H1317)</f>
        <v>325.64949999999999</v>
      </c>
    </row>
    <row r="1273" spans="2:8" s="71" customFormat="1" ht="19.5" customHeight="1" x14ac:dyDescent="0.25">
      <c r="B1273" s="371"/>
      <c r="C1273" s="372"/>
      <c r="D1273" s="70" t="s">
        <v>21</v>
      </c>
      <c r="E1273" s="277" t="s">
        <v>14</v>
      </c>
      <c r="F1273" s="276">
        <v>46.57</v>
      </c>
      <c r="G1273" s="276">
        <v>1.5</v>
      </c>
      <c r="H1273" s="197">
        <f>G1273*F1273</f>
        <v>69.855000000000004</v>
      </c>
    </row>
    <row r="1274" spans="2:8" s="71" customFormat="1" ht="19.5" customHeight="1" x14ac:dyDescent="0.25">
      <c r="B1274" s="371"/>
      <c r="C1274" s="372"/>
      <c r="D1274" s="70" t="s">
        <v>22</v>
      </c>
      <c r="E1274" s="277" t="s">
        <v>14</v>
      </c>
      <c r="F1274" s="303">
        <v>2</v>
      </c>
      <c r="G1274" s="276">
        <v>0.4</v>
      </c>
      <c r="H1274" s="197">
        <f>-4*G1274*F1274</f>
        <v>-3.2</v>
      </c>
    </row>
    <row r="1275" spans="2:8" s="71" customFormat="1" ht="19.5" customHeight="1" x14ac:dyDescent="0.25">
      <c r="B1275" s="371"/>
      <c r="C1275" s="372"/>
      <c r="D1275" s="70" t="s">
        <v>23</v>
      </c>
      <c r="E1275" s="277" t="s">
        <v>14</v>
      </c>
      <c r="F1275" s="276">
        <v>0.8</v>
      </c>
      <c r="G1275" s="276">
        <v>1.5</v>
      </c>
      <c r="H1275" s="197">
        <f>-G1275*F1275</f>
        <v>-1.2000000000000002</v>
      </c>
    </row>
    <row r="1276" spans="2:8" s="71" customFormat="1" ht="19.5" customHeight="1" x14ac:dyDescent="0.25">
      <c r="B1276" s="371"/>
      <c r="C1276" s="372"/>
      <c r="D1276" s="70" t="s">
        <v>32</v>
      </c>
      <c r="E1276" s="277" t="s">
        <v>14</v>
      </c>
      <c r="F1276" s="205">
        <f>3.915+4.655</f>
        <v>8.57</v>
      </c>
      <c r="G1276" s="205">
        <v>1.5</v>
      </c>
      <c r="H1276" s="197">
        <f>G1276*F1276</f>
        <v>12.855</v>
      </c>
    </row>
    <row r="1277" spans="2:8" s="71" customFormat="1" ht="19.5" customHeight="1" x14ac:dyDescent="0.25">
      <c r="B1277" s="371"/>
      <c r="C1277" s="372"/>
      <c r="D1277" s="70" t="s">
        <v>30</v>
      </c>
      <c r="E1277" s="277" t="s">
        <v>14</v>
      </c>
      <c r="F1277" s="276">
        <v>0.8</v>
      </c>
      <c r="G1277" s="276">
        <v>1.5</v>
      </c>
      <c r="H1277" s="197">
        <f>-G1277*F1277*3</f>
        <v>-3.6000000000000005</v>
      </c>
    </row>
    <row r="1278" spans="2:8" s="71" customFormat="1" ht="19.5" customHeight="1" x14ac:dyDescent="0.25">
      <c r="B1278" s="371"/>
      <c r="C1278" s="372"/>
      <c r="D1278" s="70" t="s">
        <v>31</v>
      </c>
      <c r="E1278" s="277" t="s">
        <v>14</v>
      </c>
      <c r="F1278" s="205">
        <v>1.5</v>
      </c>
      <c r="G1278" s="205">
        <v>0.4</v>
      </c>
      <c r="H1278" s="197">
        <f>G1278*F1278</f>
        <v>0.60000000000000009</v>
      </c>
    </row>
    <row r="1279" spans="2:8" s="71" customFormat="1" ht="19.5" customHeight="1" x14ac:dyDescent="0.25">
      <c r="B1279" s="371"/>
      <c r="C1279" s="372"/>
      <c r="D1279" s="70" t="s">
        <v>36</v>
      </c>
      <c r="E1279" s="277" t="s">
        <v>14</v>
      </c>
      <c r="F1279" s="276">
        <f>3.17+0.075+8.42+3.22</f>
        <v>14.885</v>
      </c>
      <c r="G1279" s="276">
        <v>1.5</v>
      </c>
      <c r="H1279" s="197">
        <f>G1279*F1279</f>
        <v>22.327500000000001</v>
      </c>
    </row>
    <row r="1280" spans="2:8" s="71" customFormat="1" ht="19.5" customHeight="1" x14ac:dyDescent="0.25">
      <c r="B1280" s="371"/>
      <c r="C1280" s="372"/>
      <c r="D1280" s="70" t="s">
        <v>34</v>
      </c>
      <c r="E1280" s="277" t="s">
        <v>14</v>
      </c>
      <c r="F1280" s="303">
        <v>1.1000000000000001</v>
      </c>
      <c r="G1280" s="303">
        <v>0.4</v>
      </c>
      <c r="H1280" s="197">
        <f>G1280*F1280*-2</f>
        <v>-0.88000000000000012</v>
      </c>
    </row>
    <row r="1281" spans="2:8" s="71" customFormat="1" ht="19.5" customHeight="1" x14ac:dyDescent="0.25">
      <c r="B1281" s="371"/>
      <c r="C1281" s="372"/>
      <c r="D1281" s="70" t="s">
        <v>40</v>
      </c>
      <c r="E1281" s="277" t="s">
        <v>14</v>
      </c>
      <c r="F1281" s="303">
        <f>4.65+4.43</f>
        <v>9.08</v>
      </c>
      <c r="G1281" s="276">
        <v>1.5</v>
      </c>
      <c r="H1281" s="197">
        <f>G1281*F1281</f>
        <v>13.620000000000001</v>
      </c>
    </row>
    <row r="1282" spans="2:8" s="71" customFormat="1" ht="19.5" customHeight="1" x14ac:dyDescent="0.25">
      <c r="B1282" s="371"/>
      <c r="C1282" s="372"/>
      <c r="D1282" s="70" t="s">
        <v>23</v>
      </c>
      <c r="E1282" s="277" t="s">
        <v>14</v>
      </c>
      <c r="F1282" s="205">
        <v>0.8</v>
      </c>
      <c r="G1282" s="276">
        <v>1.5</v>
      </c>
      <c r="H1282" s="197">
        <f>-G1282*F1282</f>
        <v>-1.2000000000000002</v>
      </c>
    </row>
    <row r="1283" spans="2:8" s="71" customFormat="1" ht="19.5" customHeight="1" x14ac:dyDescent="0.25">
      <c r="B1283" s="371"/>
      <c r="C1283" s="372"/>
      <c r="D1283" s="70" t="s">
        <v>31</v>
      </c>
      <c r="E1283" s="277" t="s">
        <v>14</v>
      </c>
      <c r="F1283" s="276">
        <v>1.5</v>
      </c>
      <c r="G1283" s="276">
        <v>0.4</v>
      </c>
      <c r="H1283" s="197">
        <f>G1283*F1283*-2</f>
        <v>-1.2000000000000002</v>
      </c>
    </row>
    <row r="1284" spans="2:8" s="71" customFormat="1" ht="19.5" customHeight="1" x14ac:dyDescent="0.25">
      <c r="B1284" s="371"/>
      <c r="C1284" s="372"/>
      <c r="D1284" s="70" t="s">
        <v>31</v>
      </c>
      <c r="E1284" s="277" t="s">
        <v>14</v>
      </c>
      <c r="F1284" s="205">
        <v>1.5</v>
      </c>
      <c r="G1284" s="303">
        <v>0.4</v>
      </c>
      <c r="H1284" s="197">
        <f>-2*G1284*F1284</f>
        <v>-1.2000000000000002</v>
      </c>
    </row>
    <row r="1285" spans="2:8" s="71" customFormat="1" ht="19.5" customHeight="1" x14ac:dyDescent="0.25">
      <c r="B1285" s="371"/>
      <c r="C1285" s="372"/>
      <c r="D1285" s="70" t="s">
        <v>44</v>
      </c>
      <c r="E1285" s="277" t="s">
        <v>14</v>
      </c>
      <c r="F1285" s="205">
        <v>10.24</v>
      </c>
      <c r="G1285" s="276">
        <v>1.5</v>
      </c>
      <c r="H1285" s="197">
        <f>G1285*F1285</f>
        <v>15.36</v>
      </c>
    </row>
    <row r="1286" spans="2:8" s="71" customFormat="1" ht="19.5" customHeight="1" x14ac:dyDescent="0.25">
      <c r="B1286" s="371"/>
      <c r="C1286" s="372"/>
      <c r="D1286" s="70" t="s">
        <v>45</v>
      </c>
      <c r="E1286" s="277" t="s">
        <v>14</v>
      </c>
      <c r="F1286" s="205">
        <v>0.8</v>
      </c>
      <c r="G1286" s="276">
        <v>1.5</v>
      </c>
      <c r="H1286" s="197">
        <f>-G1286*F1286</f>
        <v>-1.2000000000000002</v>
      </c>
    </row>
    <row r="1287" spans="2:8" s="71" customFormat="1" ht="19.5" customHeight="1" x14ac:dyDescent="0.25">
      <c r="B1287" s="371"/>
      <c r="C1287" s="372"/>
      <c r="D1287" s="70" t="s">
        <v>31</v>
      </c>
      <c r="E1287" s="277" t="s">
        <v>14</v>
      </c>
      <c r="F1287" s="276">
        <v>1.5</v>
      </c>
      <c r="G1287" s="276">
        <v>0.4</v>
      </c>
      <c r="H1287" s="197">
        <f>-2*G1287*F1287</f>
        <v>-1.2000000000000002</v>
      </c>
    </row>
    <row r="1288" spans="2:8" s="71" customFormat="1" ht="19.5" customHeight="1" x14ac:dyDescent="0.25">
      <c r="B1288" s="371"/>
      <c r="C1288" s="372"/>
      <c r="D1288" s="70" t="s">
        <v>46</v>
      </c>
      <c r="E1288" s="277" t="s">
        <v>14</v>
      </c>
      <c r="F1288" s="205">
        <v>10.23</v>
      </c>
      <c r="G1288" s="276">
        <v>1.5</v>
      </c>
      <c r="H1288" s="197">
        <f>G1288*F1288</f>
        <v>15.345000000000001</v>
      </c>
    </row>
    <row r="1289" spans="2:8" s="71" customFormat="1" ht="19.5" customHeight="1" x14ac:dyDescent="0.25">
      <c r="B1289" s="371"/>
      <c r="C1289" s="372"/>
      <c r="D1289" s="70" t="s">
        <v>35</v>
      </c>
      <c r="E1289" s="277" t="s">
        <v>14</v>
      </c>
      <c r="F1289" s="205">
        <v>0.7</v>
      </c>
      <c r="G1289" s="276">
        <v>1.5</v>
      </c>
      <c r="H1289" s="197">
        <f>G1289*F1289*-1</f>
        <v>-1.0499999999999998</v>
      </c>
    </row>
    <row r="1290" spans="2:8" s="71" customFormat="1" ht="19.5" customHeight="1" x14ac:dyDescent="0.25">
      <c r="B1290" s="371"/>
      <c r="C1290" s="372"/>
      <c r="D1290" s="70" t="s">
        <v>53</v>
      </c>
      <c r="E1290" s="277" t="s">
        <v>14</v>
      </c>
      <c r="F1290" s="205">
        <v>18.54</v>
      </c>
      <c r="G1290" s="303">
        <v>1.5</v>
      </c>
      <c r="H1290" s="197">
        <f>G1290*F1290</f>
        <v>27.81</v>
      </c>
    </row>
    <row r="1291" spans="2:8" s="71" customFormat="1" ht="19.5" customHeight="1" x14ac:dyDescent="0.25">
      <c r="B1291" s="371"/>
      <c r="C1291" s="372"/>
      <c r="D1291" s="70" t="s">
        <v>51</v>
      </c>
      <c r="E1291" s="277" t="s">
        <v>14</v>
      </c>
      <c r="F1291" s="205">
        <v>0.8</v>
      </c>
      <c r="G1291" s="303">
        <v>1.5</v>
      </c>
      <c r="H1291" s="197">
        <f>-G1291*F1291</f>
        <v>-1.2000000000000002</v>
      </c>
    </row>
    <row r="1292" spans="2:8" s="71" customFormat="1" ht="19.5" customHeight="1" x14ac:dyDescent="0.25">
      <c r="B1292" s="371"/>
      <c r="C1292" s="372"/>
      <c r="D1292" s="70" t="s">
        <v>54</v>
      </c>
      <c r="E1292" s="277" t="s">
        <v>14</v>
      </c>
      <c r="F1292" s="205">
        <v>1.5</v>
      </c>
      <c r="G1292" s="276">
        <v>0.4</v>
      </c>
      <c r="H1292" s="197">
        <f>-2*G1292*F1292</f>
        <v>-1.2000000000000002</v>
      </c>
    </row>
    <row r="1293" spans="2:8" s="71" customFormat="1" ht="19.5" customHeight="1" x14ac:dyDescent="0.25">
      <c r="B1293" s="371"/>
      <c r="C1293" s="372"/>
      <c r="D1293" s="70" t="s">
        <v>52</v>
      </c>
      <c r="E1293" s="277" t="s">
        <v>14</v>
      </c>
      <c r="F1293" s="205">
        <v>2.5</v>
      </c>
      <c r="G1293" s="276">
        <v>0.4</v>
      </c>
      <c r="H1293" s="197">
        <f>-G1293*F1293</f>
        <v>-1</v>
      </c>
    </row>
    <row r="1294" spans="2:8" s="71" customFormat="1" ht="19.5" customHeight="1" x14ac:dyDescent="0.25">
      <c r="B1294" s="200"/>
      <c r="C1294" s="163"/>
      <c r="D1294" s="70" t="s">
        <v>57</v>
      </c>
      <c r="E1294" s="277" t="s">
        <v>14</v>
      </c>
      <c r="F1294" s="205">
        <v>5.2</v>
      </c>
      <c r="G1294" s="303">
        <v>1.5</v>
      </c>
      <c r="H1294" s="197">
        <f>G1294*F1294</f>
        <v>7.8000000000000007</v>
      </c>
    </row>
    <row r="1295" spans="2:8" s="71" customFormat="1" ht="19.5" customHeight="1" x14ac:dyDescent="0.25">
      <c r="B1295" s="200"/>
      <c r="C1295" s="163"/>
      <c r="D1295" s="70" t="s">
        <v>56</v>
      </c>
      <c r="E1295" s="277" t="s">
        <v>14</v>
      </c>
      <c r="F1295" s="205">
        <v>1.45</v>
      </c>
      <c r="G1295" s="276">
        <v>0.4</v>
      </c>
      <c r="H1295" s="197">
        <f>-G1295*F1295</f>
        <v>-0.57999999999999996</v>
      </c>
    </row>
    <row r="1296" spans="2:8" s="71" customFormat="1" ht="19.5" customHeight="1" x14ac:dyDescent="0.25">
      <c r="B1296" s="200"/>
      <c r="C1296" s="163"/>
      <c r="D1296" s="70" t="s">
        <v>62</v>
      </c>
      <c r="E1296" s="277" t="s">
        <v>14</v>
      </c>
      <c r="F1296" s="205">
        <v>13.254</v>
      </c>
      <c r="G1296" s="276">
        <v>1.5</v>
      </c>
      <c r="H1296" s="197">
        <f>G1296*F1296</f>
        <v>19.881</v>
      </c>
    </row>
    <row r="1297" spans="2:8" s="71" customFormat="1" ht="19.5" customHeight="1" x14ac:dyDescent="0.25">
      <c r="B1297" s="200"/>
      <c r="C1297" s="163"/>
      <c r="D1297" s="70" t="s">
        <v>51</v>
      </c>
      <c r="E1297" s="277" t="s">
        <v>14</v>
      </c>
      <c r="F1297" s="205">
        <v>0.8</v>
      </c>
      <c r="G1297" s="276">
        <v>1.5</v>
      </c>
      <c r="H1297" s="197">
        <f>-G1297*F1297</f>
        <v>-1.2000000000000002</v>
      </c>
    </row>
    <row r="1298" spans="2:8" s="71" customFormat="1" ht="19.5" customHeight="1" x14ac:dyDescent="0.25">
      <c r="B1298" s="200"/>
      <c r="C1298" s="163"/>
      <c r="D1298" s="70" t="s">
        <v>63</v>
      </c>
      <c r="E1298" s="277" t="s">
        <v>14</v>
      </c>
      <c r="F1298" s="205">
        <v>1.5</v>
      </c>
      <c r="G1298" s="276">
        <v>0.4</v>
      </c>
      <c r="H1298" s="197">
        <f>-3*G1298*F1298</f>
        <v>-1.8000000000000003</v>
      </c>
    </row>
    <row r="1299" spans="2:8" s="71" customFormat="1" ht="19.5" customHeight="1" x14ac:dyDescent="0.25">
      <c r="B1299" s="200"/>
      <c r="C1299" s="163"/>
      <c r="D1299" s="70" t="s">
        <v>64</v>
      </c>
      <c r="E1299" s="277" t="s">
        <v>14</v>
      </c>
      <c r="F1299" s="205">
        <v>21.41</v>
      </c>
      <c r="G1299" s="303">
        <v>1.5</v>
      </c>
      <c r="H1299" s="197">
        <f>G1299*F1299</f>
        <v>32.115000000000002</v>
      </c>
    </row>
    <row r="1300" spans="2:8" s="71" customFormat="1" ht="19.5" customHeight="1" x14ac:dyDescent="0.25">
      <c r="B1300" s="200"/>
      <c r="C1300" s="163"/>
      <c r="D1300" s="70" t="s">
        <v>61</v>
      </c>
      <c r="E1300" s="277" t="s">
        <v>14</v>
      </c>
      <c r="F1300" s="205">
        <v>2</v>
      </c>
      <c r="G1300" s="276">
        <v>1.5</v>
      </c>
      <c r="H1300" s="197">
        <f>-G1300*F1300*1</f>
        <v>-3</v>
      </c>
    </row>
    <row r="1301" spans="2:8" s="71" customFormat="1" ht="19.5" customHeight="1" x14ac:dyDescent="0.25">
      <c r="B1301" s="200"/>
      <c r="C1301" s="163"/>
      <c r="D1301" s="70" t="s">
        <v>65</v>
      </c>
      <c r="E1301" s="277" t="s">
        <v>14</v>
      </c>
      <c r="F1301" s="205">
        <v>2</v>
      </c>
      <c r="G1301" s="276">
        <v>0.4</v>
      </c>
      <c r="H1301" s="197">
        <f>-2*G1301*F1301</f>
        <v>-1.6</v>
      </c>
    </row>
    <row r="1302" spans="2:8" s="71" customFormat="1" ht="19.5" customHeight="1" x14ac:dyDescent="0.25">
      <c r="B1302" s="200"/>
      <c r="C1302" s="163"/>
      <c r="D1302" s="70" t="s">
        <v>69</v>
      </c>
      <c r="E1302" s="277" t="s">
        <v>14</v>
      </c>
      <c r="F1302" s="276">
        <v>15.214</v>
      </c>
      <c r="G1302" s="276">
        <v>1.5</v>
      </c>
      <c r="H1302" s="197">
        <f>G1302*F1302</f>
        <v>22.821000000000002</v>
      </c>
    </row>
    <row r="1303" spans="2:8" s="71" customFormat="1" ht="19.5" customHeight="1" x14ac:dyDescent="0.25">
      <c r="B1303" s="200"/>
      <c r="C1303" s="163"/>
      <c r="D1303" s="70" t="s">
        <v>51</v>
      </c>
      <c r="E1303" s="277" t="s">
        <v>14</v>
      </c>
      <c r="F1303" s="276">
        <v>0.8</v>
      </c>
      <c r="G1303" s="276">
        <v>1.5</v>
      </c>
      <c r="H1303" s="197">
        <f>-G1303*F1303</f>
        <v>-1.2000000000000002</v>
      </c>
    </row>
    <row r="1304" spans="2:8" s="71" customFormat="1" ht="19.5" customHeight="1" x14ac:dyDescent="0.25">
      <c r="B1304" s="200"/>
      <c r="C1304" s="163"/>
      <c r="D1304" s="70" t="s">
        <v>70</v>
      </c>
      <c r="E1304" s="277" t="s">
        <v>14</v>
      </c>
      <c r="F1304" s="276">
        <v>2.5</v>
      </c>
      <c r="G1304" s="276">
        <v>0.4</v>
      </c>
      <c r="H1304" s="197">
        <f>-2*G1304*F1304</f>
        <v>-2</v>
      </c>
    </row>
    <row r="1305" spans="2:8" s="71" customFormat="1" ht="19.5" customHeight="1" x14ac:dyDescent="0.25">
      <c r="B1305" s="200"/>
      <c r="C1305" s="163"/>
      <c r="D1305" s="70" t="s">
        <v>71</v>
      </c>
      <c r="E1305" s="277" t="s">
        <v>14</v>
      </c>
      <c r="F1305" s="276">
        <f>2.15+2.15</f>
        <v>4.3</v>
      </c>
      <c r="G1305" s="276">
        <v>1.5</v>
      </c>
      <c r="H1305" s="197">
        <f>G1305*F1305</f>
        <v>6.4499999999999993</v>
      </c>
    </row>
    <row r="1306" spans="2:8" s="71" customFormat="1" ht="19.5" customHeight="1" x14ac:dyDescent="0.25">
      <c r="B1306" s="200"/>
      <c r="C1306" s="163"/>
      <c r="D1306" s="70" t="s">
        <v>72</v>
      </c>
      <c r="E1306" s="277" t="s">
        <v>14</v>
      </c>
      <c r="F1306" s="276">
        <v>0.7</v>
      </c>
      <c r="G1306" s="276">
        <v>1.5</v>
      </c>
      <c r="H1306" s="197">
        <f>-2*G1306*F1306</f>
        <v>-2.0999999999999996</v>
      </c>
    </row>
    <row r="1307" spans="2:8" s="71" customFormat="1" ht="19.5" customHeight="1" x14ac:dyDescent="0.25">
      <c r="B1307" s="200"/>
      <c r="C1307" s="163"/>
      <c r="D1307" s="70" t="s">
        <v>74</v>
      </c>
      <c r="E1307" s="277" t="s">
        <v>14</v>
      </c>
      <c r="F1307" s="276">
        <v>17.54</v>
      </c>
      <c r="G1307" s="276">
        <v>1.5</v>
      </c>
      <c r="H1307" s="197">
        <f>G1307*F1307</f>
        <v>26.31</v>
      </c>
    </row>
    <row r="1308" spans="2:8" s="71" customFormat="1" ht="19.5" customHeight="1" x14ac:dyDescent="0.25">
      <c r="B1308" s="200"/>
      <c r="C1308" s="163"/>
      <c r="D1308" s="70" t="s">
        <v>51</v>
      </c>
      <c r="E1308" s="277" t="s">
        <v>14</v>
      </c>
      <c r="F1308" s="276">
        <v>0.8</v>
      </c>
      <c r="G1308" s="276">
        <v>1.5</v>
      </c>
      <c r="H1308" s="197">
        <f>G1308*F1308*-1</f>
        <v>-1.2000000000000002</v>
      </c>
    </row>
    <row r="1309" spans="2:8" s="71" customFormat="1" ht="19.5" customHeight="1" x14ac:dyDescent="0.25">
      <c r="B1309" s="200"/>
      <c r="C1309" s="163"/>
      <c r="D1309" s="70" t="s">
        <v>70</v>
      </c>
      <c r="E1309" s="277" t="s">
        <v>14</v>
      </c>
      <c r="F1309" s="276">
        <v>2.5</v>
      </c>
      <c r="G1309" s="276">
        <v>0.4</v>
      </c>
      <c r="H1309" s="197">
        <f>-2*F1309*G1309</f>
        <v>-2</v>
      </c>
    </row>
    <row r="1310" spans="2:8" s="71" customFormat="1" ht="19.5" customHeight="1" x14ac:dyDescent="0.25">
      <c r="B1310" s="200"/>
      <c r="C1310" s="163"/>
      <c r="D1310" s="70" t="s">
        <v>78</v>
      </c>
      <c r="E1310" s="277" t="s">
        <v>14</v>
      </c>
      <c r="F1310" s="276">
        <v>14.68</v>
      </c>
      <c r="G1310" s="276">
        <v>1.5</v>
      </c>
      <c r="H1310" s="197">
        <f>G1310*F1310</f>
        <v>22.02</v>
      </c>
    </row>
    <row r="1311" spans="2:8" s="71" customFormat="1" ht="19.5" customHeight="1" x14ac:dyDescent="0.25">
      <c r="B1311" s="200"/>
      <c r="C1311" s="163"/>
      <c r="D1311" s="70" t="s">
        <v>51</v>
      </c>
      <c r="E1311" s="277" t="s">
        <v>14</v>
      </c>
      <c r="F1311" s="276">
        <v>0.8</v>
      </c>
      <c r="G1311" s="276">
        <v>1.5</v>
      </c>
      <c r="H1311" s="197">
        <f>G1311*F1311*-1</f>
        <v>-1.2000000000000002</v>
      </c>
    </row>
    <row r="1312" spans="2:8" s="71" customFormat="1" ht="19.5" customHeight="1" x14ac:dyDescent="0.25">
      <c r="B1312" s="200"/>
      <c r="C1312" s="163"/>
      <c r="D1312" s="70" t="s">
        <v>65</v>
      </c>
      <c r="E1312" s="277" t="s">
        <v>14</v>
      </c>
      <c r="F1312" s="276">
        <v>2.1</v>
      </c>
      <c r="G1312" s="276">
        <v>0.4</v>
      </c>
      <c r="H1312" s="197">
        <f>-2*G1312*F1312</f>
        <v>-1.6800000000000002</v>
      </c>
    </row>
    <row r="1313" spans="2:8" s="71" customFormat="1" ht="19.5" customHeight="1" x14ac:dyDescent="0.25">
      <c r="B1313" s="200"/>
      <c r="C1313" s="163"/>
      <c r="D1313" s="70" t="s">
        <v>79</v>
      </c>
      <c r="E1313" s="277" t="s">
        <v>14</v>
      </c>
      <c r="F1313" s="276">
        <v>15.64</v>
      </c>
      <c r="G1313" s="276">
        <v>1.5</v>
      </c>
      <c r="H1313" s="197">
        <f>G1313*F1313</f>
        <v>23.46</v>
      </c>
    </row>
    <row r="1314" spans="2:8" s="71" customFormat="1" ht="19.5" customHeight="1" x14ac:dyDescent="0.25">
      <c r="B1314" s="200"/>
      <c r="C1314" s="163"/>
      <c r="D1314" s="70" t="s">
        <v>72</v>
      </c>
      <c r="E1314" s="277" t="s">
        <v>14</v>
      </c>
      <c r="F1314" s="276">
        <v>0.7</v>
      </c>
      <c r="G1314" s="276">
        <v>1.5</v>
      </c>
      <c r="H1314" s="197">
        <f>-2*G1314*F1314</f>
        <v>-2.0999999999999996</v>
      </c>
    </row>
    <row r="1315" spans="2:8" s="71" customFormat="1" ht="19.5" customHeight="1" x14ac:dyDescent="0.25">
      <c r="B1315" s="200"/>
      <c r="D1315" s="70" t="s">
        <v>81</v>
      </c>
      <c r="E1315" s="277" t="s">
        <v>14</v>
      </c>
      <c r="F1315" s="276">
        <v>20.54</v>
      </c>
      <c r="G1315" s="276">
        <v>1.5</v>
      </c>
      <c r="H1315" s="197">
        <f>G1315*F1315</f>
        <v>30.81</v>
      </c>
    </row>
    <row r="1316" spans="2:8" s="71" customFormat="1" ht="19.5" customHeight="1" x14ac:dyDescent="0.25">
      <c r="B1316" s="200"/>
      <c r="D1316" s="70" t="s">
        <v>51</v>
      </c>
      <c r="E1316" s="277" t="s">
        <v>14</v>
      </c>
      <c r="F1316" s="276">
        <v>0.8</v>
      </c>
      <c r="G1316" s="276">
        <v>1.5</v>
      </c>
      <c r="H1316" s="197">
        <f>G1316*F1316*-1</f>
        <v>-1.2000000000000002</v>
      </c>
    </row>
    <row r="1317" spans="2:8" s="71" customFormat="1" ht="19.5" customHeight="1" x14ac:dyDescent="0.25">
      <c r="B1317" s="200"/>
      <c r="D1317" s="70" t="s">
        <v>65</v>
      </c>
      <c r="E1317" s="277" t="s">
        <v>14</v>
      </c>
      <c r="F1317" s="276">
        <v>2</v>
      </c>
      <c r="G1317" s="276">
        <v>0.4</v>
      </c>
      <c r="H1317" s="197">
        <f>-2*G1317*F1317</f>
        <v>-1.6</v>
      </c>
    </row>
    <row r="1318" spans="2:8" s="71" customFormat="1" ht="19.5" customHeight="1" x14ac:dyDescent="0.25">
      <c r="B1318" s="198" t="s">
        <v>539</v>
      </c>
      <c r="C1318" s="108" t="s">
        <v>540</v>
      </c>
      <c r="D1318" s="77" t="s">
        <v>541</v>
      </c>
      <c r="E1318" s="76" t="s">
        <v>14</v>
      </c>
      <c r="F1318" s="298" t="s">
        <v>15</v>
      </c>
      <c r="G1318" s="298" t="s">
        <v>16</v>
      </c>
      <c r="H1318" s="199">
        <f>SUM(H1319:H1326)</f>
        <v>25.2</v>
      </c>
    </row>
    <row r="1319" spans="2:8" s="71" customFormat="1" ht="20.100000000000001" customHeight="1" x14ac:dyDescent="0.25">
      <c r="B1319" s="26"/>
      <c r="C1319" s="15"/>
      <c r="D1319" s="70" t="s">
        <v>542</v>
      </c>
      <c r="E1319" s="277" t="s">
        <v>14</v>
      </c>
      <c r="F1319" s="303">
        <v>0.8</v>
      </c>
      <c r="G1319" s="276">
        <v>2.1</v>
      </c>
      <c r="H1319" s="197">
        <f>2*G1319*F1319</f>
        <v>3.3600000000000003</v>
      </c>
    </row>
    <row r="1320" spans="2:8" s="71" customFormat="1" ht="20.100000000000001" customHeight="1" x14ac:dyDescent="0.25">
      <c r="B1320" s="26"/>
      <c r="C1320" s="15"/>
      <c r="D1320" s="70" t="s">
        <v>543</v>
      </c>
      <c r="E1320" s="277" t="s">
        <v>14</v>
      </c>
      <c r="F1320" s="303">
        <v>0.7</v>
      </c>
      <c r="G1320" s="276">
        <v>2.1</v>
      </c>
      <c r="H1320" s="197">
        <f t="shared" ref="H1320:H1326" si="31">2*G1320*F1320</f>
        <v>2.94</v>
      </c>
    </row>
    <row r="1321" spans="2:8" s="71" customFormat="1" ht="20.100000000000001" customHeight="1" x14ac:dyDescent="0.25">
      <c r="B1321" s="26"/>
      <c r="C1321" s="15"/>
      <c r="D1321" s="70" t="s">
        <v>544</v>
      </c>
      <c r="E1321" s="277" t="s">
        <v>14</v>
      </c>
      <c r="F1321" s="303">
        <v>0.8</v>
      </c>
      <c r="G1321" s="276">
        <v>2.1</v>
      </c>
      <c r="H1321" s="197">
        <f t="shared" si="31"/>
        <v>3.3600000000000003</v>
      </c>
    </row>
    <row r="1322" spans="2:8" s="71" customFormat="1" ht="20.100000000000001" customHeight="1" x14ac:dyDescent="0.25">
      <c r="B1322" s="26"/>
      <c r="C1322" s="15"/>
      <c r="D1322" s="70" t="s">
        <v>545</v>
      </c>
      <c r="E1322" s="277" t="s">
        <v>14</v>
      </c>
      <c r="F1322" s="303">
        <v>0.8</v>
      </c>
      <c r="G1322" s="276">
        <v>2.1</v>
      </c>
      <c r="H1322" s="197">
        <f t="shared" si="31"/>
        <v>3.3600000000000003</v>
      </c>
    </row>
    <row r="1323" spans="2:8" s="71" customFormat="1" ht="20.100000000000001" customHeight="1" x14ac:dyDescent="0.25">
      <c r="B1323" s="26"/>
      <c r="C1323" s="15"/>
      <c r="D1323" s="70" t="s">
        <v>546</v>
      </c>
      <c r="E1323" s="277" t="s">
        <v>14</v>
      </c>
      <c r="F1323" s="303">
        <v>0.7</v>
      </c>
      <c r="G1323" s="276">
        <v>2.1</v>
      </c>
      <c r="H1323" s="197">
        <f t="shared" si="31"/>
        <v>2.94</v>
      </c>
    </row>
    <row r="1324" spans="2:8" s="71" customFormat="1" ht="20.100000000000001" customHeight="1" x14ac:dyDescent="0.25">
      <c r="B1324" s="26"/>
      <c r="C1324" s="15"/>
      <c r="D1324" s="70" t="s">
        <v>547</v>
      </c>
      <c r="E1324" s="277" t="s">
        <v>14</v>
      </c>
      <c r="F1324" s="303">
        <v>0.7</v>
      </c>
      <c r="G1324" s="276">
        <v>2.1</v>
      </c>
      <c r="H1324" s="197">
        <f t="shared" si="31"/>
        <v>2.94</v>
      </c>
    </row>
    <row r="1325" spans="2:8" s="71" customFormat="1" ht="20.100000000000001" customHeight="1" x14ac:dyDescent="0.25">
      <c r="B1325" s="26"/>
      <c r="C1325" s="15"/>
      <c r="D1325" s="70" t="s">
        <v>548</v>
      </c>
      <c r="E1325" s="277" t="s">
        <v>14</v>
      </c>
      <c r="F1325" s="303">
        <v>0.8</v>
      </c>
      <c r="G1325" s="276">
        <v>2.1</v>
      </c>
      <c r="H1325" s="197">
        <f t="shared" si="31"/>
        <v>3.3600000000000003</v>
      </c>
    </row>
    <row r="1326" spans="2:8" s="71" customFormat="1" ht="20.100000000000001" customHeight="1" x14ac:dyDescent="0.25">
      <c r="B1326" s="26"/>
      <c r="C1326" s="15"/>
      <c r="D1326" s="70" t="s">
        <v>549</v>
      </c>
      <c r="E1326" s="277" t="s">
        <v>14</v>
      </c>
      <c r="F1326" s="303">
        <v>0.7</v>
      </c>
      <c r="G1326" s="276">
        <v>2.1</v>
      </c>
      <c r="H1326" s="197">
        <f t="shared" si="31"/>
        <v>2.94</v>
      </c>
    </row>
    <row r="1327" spans="2:8" s="71" customFormat="1" ht="19.5" customHeight="1" x14ac:dyDescent="0.25">
      <c r="B1327" s="198" t="s">
        <v>550</v>
      </c>
      <c r="C1327" s="108">
        <v>260902</v>
      </c>
      <c r="D1327" s="77" t="s">
        <v>551</v>
      </c>
      <c r="E1327" s="76" t="s">
        <v>14</v>
      </c>
      <c r="F1327" s="298" t="s">
        <v>15</v>
      </c>
      <c r="G1327" s="298" t="s">
        <v>16</v>
      </c>
      <c r="H1327" s="199">
        <f>SUM(H1328:H1337)</f>
        <v>32.339999999999996</v>
      </c>
    </row>
    <row r="1328" spans="2:8" s="71" customFormat="1" ht="20.100000000000001" customHeight="1" x14ac:dyDescent="0.25">
      <c r="B1328" s="354"/>
      <c r="C1328" s="311"/>
      <c r="D1328" s="70" t="s">
        <v>542</v>
      </c>
      <c r="E1328" s="277" t="s">
        <v>14</v>
      </c>
      <c r="F1328" s="303">
        <v>0.8</v>
      </c>
      <c r="G1328" s="276">
        <v>2.1</v>
      </c>
      <c r="H1328" s="197">
        <f>2*G1328*F1328</f>
        <v>3.3600000000000003</v>
      </c>
    </row>
    <row r="1329" spans="2:8" s="71" customFormat="1" ht="20.100000000000001" customHeight="1" x14ac:dyDescent="0.25">
      <c r="B1329" s="26"/>
      <c r="C1329" s="312"/>
      <c r="D1329" s="70" t="s">
        <v>543</v>
      </c>
      <c r="E1329" s="277" t="s">
        <v>14</v>
      </c>
      <c r="F1329" s="303">
        <v>0.7</v>
      </c>
      <c r="G1329" s="276">
        <v>2.1</v>
      </c>
      <c r="H1329" s="197">
        <f t="shared" ref="H1329:H1337" si="32">2*G1329*F1329</f>
        <v>2.94</v>
      </c>
    </row>
    <row r="1330" spans="2:8" s="71" customFormat="1" ht="20.100000000000001" customHeight="1" x14ac:dyDescent="0.25">
      <c r="B1330" s="26"/>
      <c r="C1330" s="312"/>
      <c r="D1330" s="70" t="s">
        <v>544</v>
      </c>
      <c r="E1330" s="277" t="s">
        <v>14</v>
      </c>
      <c r="F1330" s="303">
        <v>0.8</v>
      </c>
      <c r="G1330" s="276">
        <v>2.1</v>
      </c>
      <c r="H1330" s="197">
        <f t="shared" si="32"/>
        <v>3.3600000000000003</v>
      </c>
    </row>
    <row r="1331" spans="2:8" s="71" customFormat="1" ht="20.100000000000001" customHeight="1" x14ac:dyDescent="0.25">
      <c r="B1331" s="26"/>
      <c r="C1331" s="312"/>
      <c r="D1331" s="70" t="s">
        <v>545</v>
      </c>
      <c r="E1331" s="277" t="s">
        <v>14</v>
      </c>
      <c r="F1331" s="303">
        <v>0.8</v>
      </c>
      <c r="G1331" s="276">
        <v>2.1</v>
      </c>
      <c r="H1331" s="197">
        <f t="shared" si="32"/>
        <v>3.3600000000000003</v>
      </c>
    </row>
    <row r="1332" spans="2:8" s="71" customFormat="1" ht="20.100000000000001" customHeight="1" x14ac:dyDescent="0.25">
      <c r="B1332" s="26"/>
      <c r="C1332" s="312"/>
      <c r="D1332" s="70" t="s">
        <v>546</v>
      </c>
      <c r="E1332" s="277" t="s">
        <v>14</v>
      </c>
      <c r="F1332" s="303">
        <v>0.7</v>
      </c>
      <c r="G1332" s="276">
        <v>2.1</v>
      </c>
      <c r="H1332" s="197">
        <f t="shared" si="32"/>
        <v>2.94</v>
      </c>
    </row>
    <row r="1333" spans="2:8" s="71" customFormat="1" ht="20.100000000000001" customHeight="1" x14ac:dyDescent="0.25">
      <c r="B1333" s="26"/>
      <c r="C1333" s="312"/>
      <c r="D1333" s="70" t="s">
        <v>547</v>
      </c>
      <c r="E1333" s="277" t="s">
        <v>14</v>
      </c>
      <c r="F1333" s="303">
        <v>0.7</v>
      </c>
      <c r="G1333" s="276">
        <v>2.1</v>
      </c>
      <c r="H1333" s="197">
        <f t="shared" si="32"/>
        <v>2.94</v>
      </c>
    </row>
    <row r="1334" spans="2:8" s="71" customFormat="1" ht="20.100000000000001" customHeight="1" x14ac:dyDescent="0.25">
      <c r="B1334" s="26"/>
      <c r="C1334" s="312"/>
      <c r="D1334" s="70" t="s">
        <v>548</v>
      </c>
      <c r="E1334" s="277" t="s">
        <v>14</v>
      </c>
      <c r="F1334" s="303">
        <v>0.8</v>
      </c>
      <c r="G1334" s="276">
        <v>2.1</v>
      </c>
      <c r="H1334" s="197">
        <f t="shared" si="32"/>
        <v>3.3600000000000003</v>
      </c>
    </row>
    <row r="1335" spans="2:8" s="71" customFormat="1" ht="20.100000000000001" customHeight="1" x14ac:dyDescent="0.25">
      <c r="B1335" s="173"/>
      <c r="C1335" s="313"/>
      <c r="D1335" s="70" t="s">
        <v>552</v>
      </c>
      <c r="E1335" s="277" t="s">
        <v>14</v>
      </c>
      <c r="F1335" s="303">
        <v>0.8</v>
      </c>
      <c r="G1335" s="276">
        <v>2.1</v>
      </c>
      <c r="H1335" s="197">
        <f t="shared" si="32"/>
        <v>3.3600000000000003</v>
      </c>
    </row>
    <row r="1336" spans="2:8" s="71" customFormat="1" ht="20.100000000000001" customHeight="1" x14ac:dyDescent="0.25">
      <c r="B1336" s="26"/>
      <c r="C1336" s="15"/>
      <c r="D1336" s="70" t="s">
        <v>553</v>
      </c>
      <c r="E1336" s="277" t="s">
        <v>14</v>
      </c>
      <c r="F1336" s="303">
        <v>0.7</v>
      </c>
      <c r="G1336" s="276">
        <v>2.1</v>
      </c>
      <c r="H1336" s="197">
        <f t="shared" si="32"/>
        <v>2.94</v>
      </c>
    </row>
    <row r="1337" spans="2:8" s="71" customFormat="1" ht="20.100000000000001" customHeight="1" x14ac:dyDescent="0.25">
      <c r="B1337" s="26"/>
      <c r="C1337" s="15"/>
      <c r="D1337" s="70" t="s">
        <v>148</v>
      </c>
      <c r="E1337" s="277" t="s">
        <v>14</v>
      </c>
      <c r="F1337" s="303">
        <v>0.9</v>
      </c>
      <c r="G1337" s="276">
        <v>2.1</v>
      </c>
      <c r="H1337" s="197">
        <f t="shared" si="32"/>
        <v>3.7800000000000002</v>
      </c>
    </row>
    <row r="1338" spans="2:8" s="71" customFormat="1" ht="19.5" customHeight="1" x14ac:dyDescent="0.25">
      <c r="B1338" s="198" t="s">
        <v>554</v>
      </c>
      <c r="C1338" s="108">
        <v>261008</v>
      </c>
      <c r="D1338" s="78" t="s">
        <v>555</v>
      </c>
      <c r="E1338" s="107" t="s">
        <v>14</v>
      </c>
      <c r="F1338" s="304" t="s">
        <v>15</v>
      </c>
      <c r="G1338" s="304" t="s">
        <v>100</v>
      </c>
      <c r="H1338" s="199">
        <f>SUM(H1339:H1360)</f>
        <v>97.447999999999993</v>
      </c>
    </row>
    <row r="1339" spans="2:8" s="71" customFormat="1" ht="20.100000000000001" customHeight="1" x14ac:dyDescent="0.25">
      <c r="B1339" s="26"/>
      <c r="C1339" s="15"/>
      <c r="D1339" s="70" t="s">
        <v>556</v>
      </c>
      <c r="E1339" s="277" t="s">
        <v>14</v>
      </c>
      <c r="F1339" s="303">
        <v>0.8</v>
      </c>
      <c r="G1339" s="276">
        <v>2.1</v>
      </c>
      <c r="H1339" s="197">
        <f>G1339*F1339*2</f>
        <v>3.3600000000000003</v>
      </c>
    </row>
    <row r="1340" spans="2:8" s="71" customFormat="1" ht="20.100000000000001" customHeight="1" x14ac:dyDescent="0.25">
      <c r="B1340" s="26"/>
      <c r="C1340" s="15"/>
      <c r="D1340" s="70" t="s">
        <v>557</v>
      </c>
      <c r="E1340" s="277" t="s">
        <v>14</v>
      </c>
      <c r="F1340" s="303">
        <v>0.8</v>
      </c>
      <c r="G1340" s="276">
        <v>2.1</v>
      </c>
      <c r="H1340" s="197">
        <f t="shared" ref="H1340:H1360" si="33">G1340*F1340*2</f>
        <v>3.3600000000000003</v>
      </c>
    </row>
    <row r="1341" spans="2:8" s="71" customFormat="1" ht="20.100000000000001" customHeight="1" x14ac:dyDescent="0.25">
      <c r="B1341" s="26"/>
      <c r="C1341" s="15"/>
      <c r="D1341" s="70" t="s">
        <v>169</v>
      </c>
      <c r="E1341" s="277" t="s">
        <v>14</v>
      </c>
      <c r="F1341" s="303">
        <v>0.8</v>
      </c>
      <c r="G1341" s="276">
        <v>2.1</v>
      </c>
      <c r="H1341" s="197">
        <f t="shared" si="33"/>
        <v>3.3600000000000003</v>
      </c>
    </row>
    <row r="1342" spans="2:8" s="71" customFormat="1" ht="20.100000000000001" customHeight="1" x14ac:dyDescent="0.25">
      <c r="B1342" s="26"/>
      <c r="C1342" s="15"/>
      <c r="D1342" s="70" t="s">
        <v>171</v>
      </c>
      <c r="E1342" s="277" t="s">
        <v>14</v>
      </c>
      <c r="F1342" s="303">
        <v>0.8</v>
      </c>
      <c r="G1342" s="276">
        <v>2.1</v>
      </c>
      <c r="H1342" s="197">
        <f t="shared" si="33"/>
        <v>3.3600000000000003</v>
      </c>
    </row>
    <row r="1343" spans="2:8" s="71" customFormat="1" ht="20.100000000000001" customHeight="1" x14ac:dyDescent="0.25">
      <c r="B1343" s="26"/>
      <c r="C1343" s="15"/>
      <c r="D1343" s="70" t="s">
        <v>172</v>
      </c>
      <c r="E1343" s="277" t="s">
        <v>14</v>
      </c>
      <c r="F1343" s="303">
        <v>0.8</v>
      </c>
      <c r="G1343" s="276">
        <v>2.1</v>
      </c>
      <c r="H1343" s="197">
        <f t="shared" si="33"/>
        <v>3.3600000000000003</v>
      </c>
    </row>
    <row r="1344" spans="2:8" s="71" customFormat="1" ht="20.100000000000001" customHeight="1" x14ac:dyDescent="0.25">
      <c r="B1344" s="26"/>
      <c r="C1344" s="15"/>
      <c r="D1344" s="70" t="s">
        <v>124</v>
      </c>
      <c r="E1344" s="277" t="s">
        <v>14</v>
      </c>
      <c r="F1344" s="303">
        <v>0.7</v>
      </c>
      <c r="G1344" s="276">
        <v>2.1</v>
      </c>
      <c r="H1344" s="197">
        <f t="shared" si="33"/>
        <v>2.94</v>
      </c>
    </row>
    <row r="1345" spans="2:8" s="71" customFormat="1" ht="20.100000000000001" customHeight="1" x14ac:dyDescent="0.25">
      <c r="B1345" s="26"/>
      <c r="C1345" s="15"/>
      <c r="D1345" s="70" t="s">
        <v>187</v>
      </c>
      <c r="E1345" s="277" t="s">
        <v>14</v>
      </c>
      <c r="F1345" s="303">
        <v>0.8</v>
      </c>
      <c r="G1345" s="276">
        <v>2.1</v>
      </c>
      <c r="H1345" s="197">
        <f t="shared" si="33"/>
        <v>3.3600000000000003</v>
      </c>
    </row>
    <row r="1346" spans="2:8" s="71" customFormat="1" ht="20.100000000000001" customHeight="1" x14ac:dyDescent="0.25">
      <c r="B1346" s="26"/>
      <c r="C1346" s="15"/>
      <c r="D1346" s="70" t="s">
        <v>116</v>
      </c>
      <c r="E1346" s="277" t="s">
        <v>14</v>
      </c>
      <c r="F1346" s="303">
        <v>0.8</v>
      </c>
      <c r="G1346" s="276">
        <v>2.1</v>
      </c>
      <c r="H1346" s="197">
        <f t="shared" si="33"/>
        <v>3.3600000000000003</v>
      </c>
    </row>
    <row r="1347" spans="2:8" s="71" customFormat="1" ht="20.100000000000001" customHeight="1" x14ac:dyDescent="0.25">
      <c r="B1347" s="26"/>
      <c r="C1347" s="15"/>
      <c r="D1347" s="70" t="s">
        <v>129</v>
      </c>
      <c r="E1347" s="277" t="s">
        <v>14</v>
      </c>
      <c r="F1347" s="303">
        <v>0.8</v>
      </c>
      <c r="G1347" s="276">
        <v>2.1</v>
      </c>
      <c r="H1347" s="197">
        <f t="shared" si="33"/>
        <v>3.3600000000000003</v>
      </c>
    </row>
    <row r="1348" spans="2:8" s="71" customFormat="1" ht="20.100000000000001" customHeight="1" x14ac:dyDescent="0.25">
      <c r="B1348" s="26"/>
      <c r="C1348" s="15"/>
      <c r="D1348" s="70" t="s">
        <v>117</v>
      </c>
      <c r="E1348" s="277" t="s">
        <v>14</v>
      </c>
      <c r="F1348" s="303">
        <v>0.9</v>
      </c>
      <c r="G1348" s="276">
        <v>2.1</v>
      </c>
      <c r="H1348" s="197">
        <f t="shared" si="33"/>
        <v>3.7800000000000002</v>
      </c>
    </row>
    <row r="1349" spans="2:8" s="71" customFormat="1" ht="20.100000000000001" customHeight="1" x14ac:dyDescent="0.25">
      <c r="B1349" s="26"/>
      <c r="C1349" s="15"/>
      <c r="D1349" s="70" t="s">
        <v>492</v>
      </c>
      <c r="E1349" s="277" t="s">
        <v>14</v>
      </c>
      <c r="F1349" s="303">
        <v>2</v>
      </c>
      <c r="G1349" s="276">
        <v>2.1</v>
      </c>
      <c r="H1349" s="197">
        <f t="shared" si="33"/>
        <v>8.4</v>
      </c>
    </row>
    <row r="1350" spans="2:8" s="71" customFormat="1" ht="20.100000000000001" customHeight="1" x14ac:dyDescent="0.25">
      <c r="B1350" s="26"/>
      <c r="C1350" s="15"/>
      <c r="D1350" s="70" t="s">
        <v>181</v>
      </c>
      <c r="E1350" s="277" t="s">
        <v>14</v>
      </c>
      <c r="F1350" s="303">
        <v>0.8</v>
      </c>
      <c r="G1350" s="276">
        <v>2.1</v>
      </c>
      <c r="H1350" s="197">
        <f t="shared" si="33"/>
        <v>3.3600000000000003</v>
      </c>
    </row>
    <row r="1351" spans="2:8" s="71" customFormat="1" ht="20.100000000000001" customHeight="1" x14ac:dyDescent="0.25">
      <c r="B1351" s="26"/>
      <c r="C1351" s="15"/>
      <c r="D1351" s="70" t="s">
        <v>558</v>
      </c>
      <c r="E1351" s="277" t="s">
        <v>14</v>
      </c>
      <c r="F1351" s="303">
        <v>0.7</v>
      </c>
      <c r="G1351" s="276">
        <v>2.1</v>
      </c>
      <c r="H1351" s="197">
        <f t="shared" si="33"/>
        <v>2.94</v>
      </c>
    </row>
    <row r="1352" spans="2:8" s="71" customFormat="1" ht="20.100000000000001" customHeight="1" x14ac:dyDescent="0.25">
      <c r="B1352" s="26"/>
      <c r="C1352" s="15"/>
      <c r="D1352" s="70" t="s">
        <v>559</v>
      </c>
      <c r="E1352" s="277" t="s">
        <v>14</v>
      </c>
      <c r="F1352" s="303">
        <v>0.7</v>
      </c>
      <c r="G1352" s="276">
        <v>2.1</v>
      </c>
      <c r="H1352" s="197">
        <f t="shared" si="33"/>
        <v>2.94</v>
      </c>
    </row>
    <row r="1353" spans="2:8" s="71" customFormat="1" ht="20.100000000000001" customHeight="1" x14ac:dyDescent="0.25">
      <c r="B1353" s="26"/>
      <c r="C1353" s="15"/>
      <c r="D1353" s="70" t="s">
        <v>180</v>
      </c>
      <c r="E1353" s="277" t="s">
        <v>14</v>
      </c>
      <c r="F1353" s="303">
        <v>0.7</v>
      </c>
      <c r="G1353" s="276">
        <v>2.1</v>
      </c>
      <c r="H1353" s="197">
        <f t="shared" si="33"/>
        <v>2.94</v>
      </c>
    </row>
    <row r="1354" spans="2:8" s="71" customFormat="1" ht="20.100000000000001" customHeight="1" x14ac:dyDescent="0.25">
      <c r="B1354" s="26"/>
      <c r="C1354" s="15"/>
      <c r="D1354" s="70" t="s">
        <v>179</v>
      </c>
      <c r="E1354" s="277" t="s">
        <v>14</v>
      </c>
      <c r="F1354" s="303">
        <v>0.8</v>
      </c>
      <c r="G1354" s="276">
        <v>2.1</v>
      </c>
      <c r="H1354" s="197">
        <f t="shared" si="33"/>
        <v>3.3600000000000003</v>
      </c>
    </row>
    <row r="1355" spans="2:8" s="71" customFormat="1" ht="20.100000000000001" customHeight="1" x14ac:dyDescent="0.25">
      <c r="B1355" s="26"/>
      <c r="C1355" s="15"/>
      <c r="D1355" s="70" t="s">
        <v>176</v>
      </c>
      <c r="E1355" s="277" t="s">
        <v>14</v>
      </c>
      <c r="F1355" s="303">
        <v>1</v>
      </c>
      <c r="G1355" s="276">
        <v>2.1</v>
      </c>
      <c r="H1355" s="197">
        <f t="shared" si="33"/>
        <v>4.2</v>
      </c>
    </row>
    <row r="1356" spans="2:8" s="71" customFormat="1" ht="20.100000000000001" customHeight="1" x14ac:dyDescent="0.25">
      <c r="B1356" s="26"/>
      <c r="C1356" s="15"/>
      <c r="D1356" s="70" t="s">
        <v>178</v>
      </c>
      <c r="E1356" s="277" t="s">
        <v>14</v>
      </c>
      <c r="F1356" s="303">
        <v>1</v>
      </c>
      <c r="G1356" s="276">
        <v>2.1</v>
      </c>
      <c r="H1356" s="197">
        <f t="shared" si="33"/>
        <v>4.2</v>
      </c>
    </row>
    <row r="1357" spans="2:8" s="71" customFormat="1" ht="20.100000000000001" customHeight="1" x14ac:dyDescent="0.25">
      <c r="B1357" s="26"/>
      <c r="C1357" s="15"/>
      <c r="D1357" s="70" t="s">
        <v>560</v>
      </c>
      <c r="E1357" s="277" t="s">
        <v>14</v>
      </c>
      <c r="F1357" s="303">
        <v>0.7</v>
      </c>
      <c r="G1357" s="276">
        <v>2.1</v>
      </c>
      <c r="H1357" s="197">
        <f t="shared" si="33"/>
        <v>2.94</v>
      </c>
    </row>
    <row r="1358" spans="2:8" s="71" customFormat="1" ht="20.100000000000001" customHeight="1" x14ac:dyDescent="0.25">
      <c r="B1358" s="26"/>
      <c r="C1358" s="15"/>
      <c r="D1358" s="70" t="s">
        <v>177</v>
      </c>
      <c r="E1358" s="277" t="s">
        <v>14</v>
      </c>
      <c r="F1358" s="303">
        <v>0.7</v>
      </c>
      <c r="G1358" s="276">
        <v>2.1</v>
      </c>
      <c r="H1358" s="197">
        <f t="shared" si="33"/>
        <v>2.94</v>
      </c>
    </row>
    <row r="1359" spans="2:8" s="71" customFormat="1" ht="20.100000000000001" customHeight="1" x14ac:dyDescent="0.25">
      <c r="B1359" s="26"/>
      <c r="C1359" s="15"/>
      <c r="D1359" s="70" t="s">
        <v>561</v>
      </c>
      <c r="E1359" s="277" t="s">
        <v>14</v>
      </c>
      <c r="F1359" s="303">
        <v>1.57</v>
      </c>
      <c r="G1359" s="276">
        <v>2.2000000000000002</v>
      </c>
      <c r="H1359" s="197">
        <f t="shared" si="33"/>
        <v>6.9080000000000013</v>
      </c>
    </row>
    <row r="1360" spans="2:8" s="71" customFormat="1" ht="20.100000000000001" customHeight="1" x14ac:dyDescent="0.25">
      <c r="B1360" s="26"/>
      <c r="C1360" s="15"/>
      <c r="D1360" s="70" t="s">
        <v>562</v>
      </c>
      <c r="E1360" s="277" t="s">
        <v>14</v>
      </c>
      <c r="F1360" s="303">
        <v>3.9</v>
      </c>
      <c r="G1360" s="276">
        <v>2.4</v>
      </c>
      <c r="H1360" s="197">
        <f t="shared" si="33"/>
        <v>18.72</v>
      </c>
    </row>
    <row r="1361" spans="2:8" s="71" customFormat="1" ht="19.5" customHeight="1" x14ac:dyDescent="0.25">
      <c r="B1361" s="198" t="s">
        <v>563</v>
      </c>
      <c r="C1361" s="108">
        <v>261609</v>
      </c>
      <c r="D1361" s="78" t="s">
        <v>564</v>
      </c>
      <c r="E1361" s="107" t="s">
        <v>14</v>
      </c>
      <c r="F1361" s="304" t="s">
        <v>15</v>
      </c>
      <c r="G1361" s="304" t="s">
        <v>100</v>
      </c>
      <c r="H1361" s="199">
        <f>SUM(H1362:H1383)</f>
        <v>99.339999999999989</v>
      </c>
    </row>
    <row r="1362" spans="2:8" s="71" customFormat="1" ht="19.5" customHeight="1" x14ac:dyDescent="0.25">
      <c r="B1362" s="26"/>
      <c r="C1362" s="15"/>
      <c r="D1362" s="70" t="s">
        <v>556</v>
      </c>
      <c r="E1362" s="277" t="s">
        <v>14</v>
      </c>
      <c r="F1362" s="303">
        <v>0.8</v>
      </c>
      <c r="G1362" s="276">
        <v>2.1</v>
      </c>
      <c r="H1362" s="197">
        <f>G1362*F1362*2</f>
        <v>3.3600000000000003</v>
      </c>
    </row>
    <row r="1363" spans="2:8" s="71" customFormat="1" ht="19.5" customHeight="1" x14ac:dyDescent="0.25">
      <c r="B1363" s="26"/>
      <c r="C1363" s="15"/>
      <c r="D1363" s="70" t="s">
        <v>557</v>
      </c>
      <c r="E1363" s="277" t="s">
        <v>14</v>
      </c>
      <c r="F1363" s="205">
        <v>0.8</v>
      </c>
      <c r="G1363" s="276">
        <v>2.1</v>
      </c>
      <c r="H1363" s="197">
        <f t="shared" ref="H1363:H1383" si="34">G1363*F1363*2</f>
        <v>3.3600000000000003</v>
      </c>
    </row>
    <row r="1364" spans="2:8" s="71" customFormat="1" ht="19.5" customHeight="1" x14ac:dyDescent="0.25">
      <c r="B1364" s="26"/>
      <c r="C1364" s="15"/>
      <c r="D1364" s="70" t="s">
        <v>169</v>
      </c>
      <c r="E1364" s="277" t="s">
        <v>14</v>
      </c>
      <c r="F1364" s="205">
        <v>0.8</v>
      </c>
      <c r="G1364" s="276">
        <v>2.1</v>
      </c>
      <c r="H1364" s="197">
        <f t="shared" si="34"/>
        <v>3.3600000000000003</v>
      </c>
    </row>
    <row r="1365" spans="2:8" s="71" customFormat="1" ht="19.5" customHeight="1" x14ac:dyDescent="0.25">
      <c r="B1365" s="26"/>
      <c r="C1365" s="15"/>
      <c r="D1365" s="70" t="s">
        <v>171</v>
      </c>
      <c r="E1365" s="277" t="s">
        <v>14</v>
      </c>
      <c r="F1365" s="205">
        <v>0.8</v>
      </c>
      <c r="G1365" s="276">
        <v>2.1</v>
      </c>
      <c r="H1365" s="197">
        <f t="shared" si="34"/>
        <v>3.3600000000000003</v>
      </c>
    </row>
    <row r="1366" spans="2:8" s="71" customFormat="1" ht="19.5" customHeight="1" x14ac:dyDescent="0.25">
      <c r="B1366" s="26"/>
      <c r="C1366" s="15"/>
      <c r="D1366" s="70" t="s">
        <v>172</v>
      </c>
      <c r="E1366" s="277" t="s">
        <v>14</v>
      </c>
      <c r="F1366" s="205">
        <v>0.8</v>
      </c>
      <c r="G1366" s="276">
        <v>2.1</v>
      </c>
      <c r="H1366" s="197">
        <f t="shared" si="34"/>
        <v>3.3600000000000003</v>
      </c>
    </row>
    <row r="1367" spans="2:8" s="71" customFormat="1" ht="19.5" customHeight="1" x14ac:dyDescent="0.25">
      <c r="B1367" s="26"/>
      <c r="C1367" s="15"/>
      <c r="D1367" s="70" t="s">
        <v>124</v>
      </c>
      <c r="E1367" s="277" t="s">
        <v>14</v>
      </c>
      <c r="F1367" s="205">
        <v>0.7</v>
      </c>
      <c r="G1367" s="276">
        <v>2.1</v>
      </c>
      <c r="H1367" s="197">
        <f t="shared" si="34"/>
        <v>2.94</v>
      </c>
    </row>
    <row r="1368" spans="2:8" s="71" customFormat="1" ht="19.5" customHeight="1" x14ac:dyDescent="0.25">
      <c r="B1368" s="26"/>
      <c r="C1368" s="15"/>
      <c r="D1368" s="70" t="s">
        <v>187</v>
      </c>
      <c r="E1368" s="277" t="s">
        <v>14</v>
      </c>
      <c r="F1368" s="205">
        <v>0.8</v>
      </c>
      <c r="G1368" s="276">
        <v>2.1</v>
      </c>
      <c r="H1368" s="197">
        <f t="shared" si="34"/>
        <v>3.3600000000000003</v>
      </c>
    </row>
    <row r="1369" spans="2:8" s="71" customFormat="1" ht="19.5" customHeight="1" x14ac:dyDescent="0.25">
      <c r="B1369" s="26"/>
      <c r="C1369" s="15"/>
      <c r="D1369" s="70" t="s">
        <v>116</v>
      </c>
      <c r="E1369" s="277" t="s">
        <v>14</v>
      </c>
      <c r="F1369" s="205">
        <v>0.8</v>
      </c>
      <c r="G1369" s="276">
        <v>2.1</v>
      </c>
      <c r="H1369" s="197">
        <f t="shared" si="34"/>
        <v>3.3600000000000003</v>
      </c>
    </row>
    <row r="1370" spans="2:8" s="71" customFormat="1" ht="19.5" customHeight="1" x14ac:dyDescent="0.25">
      <c r="B1370" s="26"/>
      <c r="C1370" s="15"/>
      <c r="D1370" s="70" t="s">
        <v>129</v>
      </c>
      <c r="E1370" s="277" t="s">
        <v>14</v>
      </c>
      <c r="F1370" s="205">
        <v>0.8</v>
      </c>
      <c r="G1370" s="276">
        <v>2.1</v>
      </c>
      <c r="H1370" s="197">
        <f t="shared" si="34"/>
        <v>3.3600000000000003</v>
      </c>
    </row>
    <row r="1371" spans="2:8" s="71" customFormat="1" ht="19.5" customHeight="1" x14ac:dyDescent="0.25">
      <c r="B1371" s="26"/>
      <c r="C1371" s="15"/>
      <c r="D1371" s="70" t="s">
        <v>117</v>
      </c>
      <c r="E1371" s="277" t="s">
        <v>14</v>
      </c>
      <c r="F1371" s="205">
        <v>0.8</v>
      </c>
      <c r="G1371" s="276">
        <v>2.1</v>
      </c>
      <c r="H1371" s="197">
        <f t="shared" si="34"/>
        <v>3.3600000000000003</v>
      </c>
    </row>
    <row r="1372" spans="2:8" s="71" customFormat="1" ht="19.5" customHeight="1" x14ac:dyDescent="0.25">
      <c r="B1372" s="26"/>
      <c r="C1372" s="15"/>
      <c r="D1372" s="70" t="s">
        <v>492</v>
      </c>
      <c r="E1372" s="277" t="s">
        <v>14</v>
      </c>
      <c r="F1372" s="205">
        <v>2</v>
      </c>
      <c r="G1372" s="276">
        <v>2.1</v>
      </c>
      <c r="H1372" s="197">
        <f t="shared" si="34"/>
        <v>8.4</v>
      </c>
    </row>
    <row r="1373" spans="2:8" s="71" customFormat="1" ht="19.5" customHeight="1" x14ac:dyDescent="0.25">
      <c r="B1373" s="26"/>
      <c r="C1373" s="15"/>
      <c r="D1373" s="70" t="s">
        <v>181</v>
      </c>
      <c r="E1373" s="277" t="s">
        <v>14</v>
      </c>
      <c r="F1373" s="205">
        <v>0.8</v>
      </c>
      <c r="G1373" s="276">
        <v>2.1</v>
      </c>
      <c r="H1373" s="197">
        <f t="shared" si="34"/>
        <v>3.3600000000000003</v>
      </c>
    </row>
    <row r="1374" spans="2:8" s="71" customFormat="1" ht="19.5" customHeight="1" x14ac:dyDescent="0.25">
      <c r="B1374" s="26"/>
      <c r="C1374" s="15"/>
      <c r="D1374" s="70" t="s">
        <v>558</v>
      </c>
      <c r="E1374" s="277" t="s">
        <v>14</v>
      </c>
      <c r="F1374" s="205">
        <v>0.7</v>
      </c>
      <c r="G1374" s="276">
        <v>2.1</v>
      </c>
      <c r="H1374" s="197">
        <f t="shared" si="34"/>
        <v>2.94</v>
      </c>
    </row>
    <row r="1375" spans="2:8" s="71" customFormat="1" ht="19.5" customHeight="1" x14ac:dyDescent="0.25">
      <c r="B1375" s="26"/>
      <c r="C1375" s="15"/>
      <c r="D1375" s="70" t="s">
        <v>559</v>
      </c>
      <c r="E1375" s="277" t="s">
        <v>14</v>
      </c>
      <c r="F1375" s="205">
        <v>0.7</v>
      </c>
      <c r="G1375" s="276">
        <v>2.1</v>
      </c>
      <c r="H1375" s="197">
        <f t="shared" si="34"/>
        <v>2.94</v>
      </c>
    </row>
    <row r="1376" spans="2:8" s="71" customFormat="1" ht="19.5" customHeight="1" x14ac:dyDescent="0.25">
      <c r="B1376" s="26"/>
      <c r="C1376" s="15"/>
      <c r="D1376" s="70" t="s">
        <v>180</v>
      </c>
      <c r="E1376" s="277" t="s">
        <v>14</v>
      </c>
      <c r="F1376" s="205">
        <v>0.8</v>
      </c>
      <c r="G1376" s="276">
        <v>2.1</v>
      </c>
      <c r="H1376" s="197">
        <f t="shared" si="34"/>
        <v>3.3600000000000003</v>
      </c>
    </row>
    <row r="1377" spans="2:8" s="71" customFormat="1" ht="19.5" customHeight="1" x14ac:dyDescent="0.25">
      <c r="B1377" s="26"/>
      <c r="C1377" s="15"/>
      <c r="D1377" s="70" t="s">
        <v>179</v>
      </c>
      <c r="E1377" s="277" t="s">
        <v>14</v>
      </c>
      <c r="F1377" s="205">
        <v>0.8</v>
      </c>
      <c r="G1377" s="276">
        <v>2.1</v>
      </c>
      <c r="H1377" s="197">
        <f t="shared" si="34"/>
        <v>3.3600000000000003</v>
      </c>
    </row>
    <row r="1378" spans="2:8" s="71" customFormat="1" ht="20.100000000000001" customHeight="1" x14ac:dyDescent="0.25">
      <c r="B1378" s="26"/>
      <c r="C1378" s="15"/>
      <c r="D1378" s="70" t="s">
        <v>176</v>
      </c>
      <c r="E1378" s="277" t="s">
        <v>14</v>
      </c>
      <c r="F1378" s="205">
        <v>1</v>
      </c>
      <c r="G1378" s="276">
        <v>2.1</v>
      </c>
      <c r="H1378" s="197">
        <f t="shared" si="34"/>
        <v>4.2</v>
      </c>
    </row>
    <row r="1379" spans="2:8" s="71" customFormat="1" ht="19.5" customHeight="1" x14ac:dyDescent="0.25">
      <c r="B1379" s="26"/>
      <c r="C1379" s="15"/>
      <c r="D1379" s="70" t="s">
        <v>178</v>
      </c>
      <c r="E1379" s="277" t="s">
        <v>14</v>
      </c>
      <c r="F1379" s="205">
        <v>1</v>
      </c>
      <c r="G1379" s="276">
        <v>2.1</v>
      </c>
      <c r="H1379" s="197">
        <f t="shared" si="34"/>
        <v>4.2</v>
      </c>
    </row>
    <row r="1380" spans="2:8" s="71" customFormat="1" ht="19.5" customHeight="1" x14ac:dyDescent="0.25">
      <c r="B1380" s="26"/>
      <c r="C1380" s="15"/>
      <c r="D1380" s="70" t="s">
        <v>560</v>
      </c>
      <c r="E1380" s="277" t="s">
        <v>14</v>
      </c>
      <c r="F1380" s="205">
        <v>0.7</v>
      </c>
      <c r="G1380" s="276">
        <v>2.1</v>
      </c>
      <c r="H1380" s="197">
        <f t="shared" si="34"/>
        <v>2.94</v>
      </c>
    </row>
    <row r="1381" spans="2:8" s="71" customFormat="1" ht="19.5" customHeight="1" x14ac:dyDescent="0.25">
      <c r="B1381" s="26"/>
      <c r="C1381" s="15"/>
      <c r="D1381" s="70" t="s">
        <v>177</v>
      </c>
      <c r="E1381" s="277" t="s">
        <v>14</v>
      </c>
      <c r="F1381" s="205">
        <v>0.7</v>
      </c>
      <c r="G1381" s="276">
        <v>2.1</v>
      </c>
      <c r="H1381" s="197">
        <f t="shared" si="34"/>
        <v>2.94</v>
      </c>
    </row>
    <row r="1382" spans="2:8" s="71" customFormat="1" ht="19.5" customHeight="1" x14ac:dyDescent="0.25">
      <c r="B1382" s="26"/>
      <c r="C1382" s="15"/>
      <c r="D1382" s="70" t="s">
        <v>561</v>
      </c>
      <c r="E1382" s="277" t="s">
        <v>14</v>
      </c>
      <c r="F1382" s="205">
        <v>2</v>
      </c>
      <c r="G1382" s="276">
        <v>2.2000000000000002</v>
      </c>
      <c r="H1382" s="197">
        <f t="shared" si="34"/>
        <v>8.8000000000000007</v>
      </c>
    </row>
    <row r="1383" spans="2:8" s="71" customFormat="1" ht="19.5" customHeight="1" x14ac:dyDescent="0.25">
      <c r="B1383" s="26"/>
      <c r="C1383" s="15"/>
      <c r="D1383" s="70" t="s">
        <v>562</v>
      </c>
      <c r="E1383" s="277" t="s">
        <v>14</v>
      </c>
      <c r="F1383" s="205">
        <v>3.9</v>
      </c>
      <c r="G1383" s="276">
        <v>2.4</v>
      </c>
      <c r="H1383" s="197">
        <f t="shared" si="34"/>
        <v>18.72</v>
      </c>
    </row>
    <row r="1384" spans="2:8" s="71" customFormat="1" ht="19.5" customHeight="1" x14ac:dyDescent="0.25">
      <c r="B1384" s="198" t="s">
        <v>565</v>
      </c>
      <c r="C1384" s="108">
        <v>261703</v>
      </c>
      <c r="D1384" s="78" t="s">
        <v>566</v>
      </c>
      <c r="E1384" s="107" t="s">
        <v>14</v>
      </c>
      <c r="F1384" s="304" t="s">
        <v>15</v>
      </c>
      <c r="G1384" s="304" t="s">
        <v>100</v>
      </c>
      <c r="H1384" s="199">
        <f>SUM(H1385:H1399)</f>
        <v>393.69520000000006</v>
      </c>
    </row>
    <row r="1385" spans="2:8" s="71" customFormat="1" ht="19.5" customHeight="1" x14ac:dyDescent="0.25">
      <c r="B1385" s="26"/>
      <c r="C1385" s="15"/>
      <c r="D1385" s="70" t="s">
        <v>101</v>
      </c>
      <c r="E1385" s="277" t="s">
        <v>14</v>
      </c>
      <c r="F1385" s="28">
        <v>14.98</v>
      </c>
      <c r="G1385" s="276">
        <v>7</v>
      </c>
      <c r="H1385" s="197">
        <f>G1385*F1385</f>
        <v>104.86</v>
      </c>
    </row>
    <row r="1386" spans="2:8" s="71" customFormat="1" ht="19.5" customHeight="1" x14ac:dyDescent="0.25">
      <c r="B1386" s="26"/>
      <c r="C1386" s="15"/>
      <c r="D1386" s="70" t="s">
        <v>102</v>
      </c>
      <c r="E1386" s="277" t="s">
        <v>14</v>
      </c>
      <c r="F1386" s="276">
        <v>3.8</v>
      </c>
      <c r="G1386" s="276">
        <v>0.62</v>
      </c>
      <c r="H1386" s="197">
        <f t="shared" ref="H1386" si="35">G1386*F1386</f>
        <v>2.3559999999999999</v>
      </c>
    </row>
    <row r="1387" spans="2:8" s="71" customFormat="1" ht="19.5" customHeight="1" x14ac:dyDescent="0.25">
      <c r="B1387" s="26"/>
      <c r="C1387" s="15"/>
      <c r="D1387" s="70" t="s">
        <v>103</v>
      </c>
      <c r="E1387" s="277" t="s">
        <v>14</v>
      </c>
      <c r="F1387" s="276">
        <v>8.69</v>
      </c>
      <c r="G1387" s="276">
        <v>1.5</v>
      </c>
      <c r="H1387" s="197">
        <f>G1387*F1387+ (0.49*4.58)</f>
        <v>15.279199999999999</v>
      </c>
    </row>
    <row r="1388" spans="2:8" s="71" customFormat="1" ht="19.5" customHeight="1" x14ac:dyDescent="0.25">
      <c r="B1388" s="26"/>
      <c r="C1388" s="15"/>
      <c r="D1388" s="70" t="s">
        <v>104</v>
      </c>
      <c r="E1388" s="277" t="s">
        <v>14</v>
      </c>
      <c r="F1388" s="276">
        <v>1</v>
      </c>
      <c r="G1388" s="276">
        <v>19.059999999999999</v>
      </c>
      <c r="H1388" s="197">
        <f t="shared" ref="H1388:H1392" si="36">G1388*F1388</f>
        <v>19.059999999999999</v>
      </c>
    </row>
    <row r="1389" spans="2:8" s="71" customFormat="1" ht="19.5" customHeight="1" x14ac:dyDescent="0.25">
      <c r="B1389" s="26"/>
      <c r="C1389" s="15"/>
      <c r="D1389" s="70" t="s">
        <v>105</v>
      </c>
      <c r="E1389" s="277" t="s">
        <v>14</v>
      </c>
      <c r="F1389" s="276">
        <v>7.3</v>
      </c>
      <c r="G1389" s="276">
        <v>14.64</v>
      </c>
      <c r="H1389" s="197">
        <f t="shared" si="36"/>
        <v>106.872</v>
      </c>
    </row>
    <row r="1390" spans="2:8" s="71" customFormat="1" ht="19.5" customHeight="1" x14ac:dyDescent="0.25">
      <c r="B1390" s="26"/>
      <c r="C1390" s="15"/>
      <c r="D1390" s="70" t="s">
        <v>106</v>
      </c>
      <c r="E1390" s="277" t="s">
        <v>14</v>
      </c>
      <c r="F1390" s="276">
        <v>33.61</v>
      </c>
      <c r="G1390" s="276">
        <v>1</v>
      </c>
      <c r="H1390" s="197">
        <f t="shared" si="36"/>
        <v>33.61</v>
      </c>
    </row>
    <row r="1391" spans="2:8" s="71" customFormat="1" ht="19.5" customHeight="1" x14ac:dyDescent="0.25">
      <c r="B1391" s="26"/>
      <c r="C1391" s="15"/>
      <c r="D1391" s="70" t="s">
        <v>107</v>
      </c>
      <c r="E1391" s="277" t="s">
        <v>14</v>
      </c>
      <c r="F1391" s="276">
        <v>24.89</v>
      </c>
      <c r="G1391" s="276">
        <v>1</v>
      </c>
      <c r="H1391" s="197">
        <f t="shared" si="36"/>
        <v>24.89</v>
      </c>
    </row>
    <row r="1392" spans="2:8" s="71" customFormat="1" ht="19.5" customHeight="1" x14ac:dyDescent="0.25">
      <c r="B1392" s="26"/>
      <c r="C1392" s="15"/>
      <c r="D1392" s="70" t="s">
        <v>108</v>
      </c>
      <c r="E1392" s="277" t="s">
        <v>14</v>
      </c>
      <c r="F1392" s="276">
        <f>11.26+0.6</f>
        <v>11.86</v>
      </c>
      <c r="G1392" s="276">
        <v>1</v>
      </c>
      <c r="H1392" s="197">
        <f t="shared" si="36"/>
        <v>11.86</v>
      </c>
    </row>
    <row r="1393" spans="2:8" s="71" customFormat="1" ht="19.5" customHeight="1" x14ac:dyDescent="0.25">
      <c r="B1393" s="26"/>
      <c r="C1393" s="15"/>
      <c r="D1393" s="70" t="s">
        <v>109</v>
      </c>
      <c r="E1393" s="277" t="s">
        <v>14</v>
      </c>
      <c r="F1393" s="276">
        <v>6.45</v>
      </c>
      <c r="G1393" s="276">
        <v>1</v>
      </c>
      <c r="H1393" s="197">
        <f>G1393*F1393+(0.77*0.6*2)</f>
        <v>7.3740000000000006</v>
      </c>
    </row>
    <row r="1394" spans="2:8" s="71" customFormat="1" ht="19.5" customHeight="1" x14ac:dyDescent="0.25">
      <c r="B1394" s="26"/>
      <c r="C1394" s="15"/>
      <c r="D1394" s="70" t="s">
        <v>110</v>
      </c>
      <c r="E1394" s="277" t="s">
        <v>14</v>
      </c>
      <c r="F1394" s="276">
        <v>17.04</v>
      </c>
      <c r="G1394" s="276">
        <v>1</v>
      </c>
      <c r="H1394" s="197">
        <f t="shared" ref="H1394:H1397" si="37">G1394*F1394</f>
        <v>17.04</v>
      </c>
    </row>
    <row r="1395" spans="2:8" s="71" customFormat="1" ht="19.5" customHeight="1" x14ac:dyDescent="0.25">
      <c r="B1395" s="26"/>
      <c r="C1395" s="15"/>
      <c r="D1395" s="70" t="s">
        <v>111</v>
      </c>
      <c r="E1395" s="277" t="s">
        <v>14</v>
      </c>
      <c r="F1395" s="276">
        <v>5.48</v>
      </c>
      <c r="G1395" s="276">
        <v>1</v>
      </c>
      <c r="H1395" s="197">
        <f t="shared" si="37"/>
        <v>5.48</v>
      </c>
    </row>
    <row r="1396" spans="2:8" s="71" customFormat="1" ht="19.5" customHeight="1" x14ac:dyDescent="0.25">
      <c r="B1396" s="26"/>
      <c r="C1396" s="15"/>
      <c r="D1396" s="70" t="s">
        <v>112</v>
      </c>
      <c r="E1396" s="277" t="s">
        <v>14</v>
      </c>
      <c r="F1396" s="276">
        <v>16.690000000000001</v>
      </c>
      <c r="G1396" s="276">
        <v>1</v>
      </c>
      <c r="H1396" s="197">
        <f t="shared" si="37"/>
        <v>16.690000000000001</v>
      </c>
    </row>
    <row r="1397" spans="2:8" s="71" customFormat="1" ht="19.5" customHeight="1" x14ac:dyDescent="0.25">
      <c r="B1397" s="432"/>
      <c r="C1397" s="433"/>
      <c r="D1397" s="70" t="s">
        <v>479</v>
      </c>
      <c r="E1397" s="277" t="s">
        <v>14</v>
      </c>
      <c r="F1397" s="276">
        <v>15.56</v>
      </c>
      <c r="G1397" s="276">
        <v>2.15</v>
      </c>
      <c r="H1397" s="197">
        <f t="shared" si="37"/>
        <v>33.454000000000001</v>
      </c>
    </row>
    <row r="1398" spans="2:8" s="71" customFormat="1" ht="19.5" customHeight="1" x14ac:dyDescent="0.25">
      <c r="B1398" s="432"/>
      <c r="C1398" s="433"/>
      <c r="D1398" s="70" t="s">
        <v>480</v>
      </c>
      <c r="E1398" s="277" t="s">
        <v>14</v>
      </c>
      <c r="F1398" s="276">
        <v>1.7</v>
      </c>
      <c r="G1398" s="276">
        <v>1.8</v>
      </c>
      <c r="H1398" s="197">
        <f>G1398*F1398*-1</f>
        <v>-3.06</v>
      </c>
    </row>
    <row r="1399" spans="2:8" s="71" customFormat="1" ht="19.5" customHeight="1" x14ac:dyDescent="0.25">
      <c r="B1399" s="432"/>
      <c r="C1399" s="433"/>
      <c r="D1399" s="350" t="s">
        <v>481</v>
      </c>
      <c r="E1399" s="351" t="s">
        <v>14</v>
      </c>
      <c r="F1399" s="352">
        <v>1.1499999999999999</v>
      </c>
      <c r="G1399" s="352">
        <v>1.8</v>
      </c>
      <c r="H1399" s="353">
        <f>G1399*F1399*-1</f>
        <v>-2.0699999999999998</v>
      </c>
    </row>
    <row r="1400" spans="2:8" s="71" customFormat="1" ht="19.5" customHeight="1" x14ac:dyDescent="0.25">
      <c r="B1400" s="434"/>
      <c r="C1400" s="435"/>
      <c r="D1400" s="70"/>
      <c r="E1400" s="456"/>
      <c r="F1400" s="408"/>
      <c r="G1400" s="408"/>
      <c r="H1400" s="457"/>
    </row>
    <row r="1401" spans="2:8" s="71" customFormat="1" ht="19.5" customHeight="1" x14ac:dyDescent="0.25">
      <c r="B1401" s="409" t="s">
        <v>567</v>
      </c>
      <c r="C1401" s="391"/>
      <c r="D1401" s="391"/>
      <c r="E1401" s="391"/>
      <c r="F1401" s="391"/>
      <c r="G1401" s="391"/>
      <c r="H1401" s="410"/>
    </row>
    <row r="1402" spans="2:8" s="71" customFormat="1" ht="19.5" customHeight="1" x14ac:dyDescent="0.25">
      <c r="B1402" s="319">
        <v>21</v>
      </c>
      <c r="C1402" s="115">
        <v>270000</v>
      </c>
      <c r="D1402" s="390" t="s">
        <v>568</v>
      </c>
      <c r="E1402" s="391"/>
      <c r="F1402" s="391"/>
      <c r="G1402" s="392"/>
      <c r="H1402" s="201" t="s">
        <v>11</v>
      </c>
    </row>
    <row r="1403" spans="2:8" s="71" customFormat="1" ht="15.75" x14ac:dyDescent="0.25">
      <c r="B1403" s="198" t="s">
        <v>569</v>
      </c>
      <c r="C1403" s="108">
        <v>270501</v>
      </c>
      <c r="D1403" s="217" t="s">
        <v>570</v>
      </c>
      <c r="E1403" s="107" t="s">
        <v>14</v>
      </c>
      <c r="F1403" s="411" t="s">
        <v>305</v>
      </c>
      <c r="G1403" s="412"/>
      <c r="H1403" s="199">
        <f>F1404</f>
        <v>1121.3499999999999</v>
      </c>
    </row>
    <row r="1404" spans="2:8" s="71" customFormat="1" ht="19.5" customHeight="1" x14ac:dyDescent="0.25">
      <c r="B1404" s="375"/>
      <c r="C1404" s="376"/>
      <c r="D1404" s="223" t="s">
        <v>571</v>
      </c>
      <c r="E1404" s="224" t="s">
        <v>14</v>
      </c>
      <c r="F1404" s="429">
        <v>1121.3499999999999</v>
      </c>
      <c r="G1404" s="429"/>
      <c r="H1404" s="225">
        <f>F1404</f>
        <v>1121.3499999999999</v>
      </c>
    </row>
    <row r="1405" spans="2:8" s="71" customFormat="1" ht="15.75" x14ac:dyDescent="0.25">
      <c r="B1405" s="198" t="s">
        <v>572</v>
      </c>
      <c r="C1405" s="108">
        <v>270810</v>
      </c>
      <c r="D1405" s="217" t="s">
        <v>573</v>
      </c>
      <c r="E1405" s="107" t="s">
        <v>574</v>
      </c>
      <c r="F1405" s="411" t="s">
        <v>575</v>
      </c>
      <c r="G1405" s="412"/>
      <c r="H1405" s="199">
        <f>H1406</f>
        <v>1</v>
      </c>
    </row>
    <row r="1406" spans="2:8" s="71" customFormat="1" ht="15.75" x14ac:dyDescent="0.25">
      <c r="B1406" s="359"/>
      <c r="C1406" s="360"/>
      <c r="D1406" s="226" t="s">
        <v>576</v>
      </c>
      <c r="E1406" s="299" t="s">
        <v>164</v>
      </c>
      <c r="F1406" s="404">
        <v>1</v>
      </c>
      <c r="G1406" s="405"/>
      <c r="H1406" s="220">
        <f>F1406</f>
        <v>1</v>
      </c>
    </row>
    <row r="1407" spans="2:8" s="71" customFormat="1" ht="19.5" customHeight="1" x14ac:dyDescent="0.25">
      <c r="B1407" s="198" t="s">
        <v>577</v>
      </c>
      <c r="C1407" s="108" t="s">
        <v>578</v>
      </c>
      <c r="D1407" s="217" t="s">
        <v>579</v>
      </c>
      <c r="E1407" s="107" t="s">
        <v>14</v>
      </c>
      <c r="F1407" s="304" t="s">
        <v>15</v>
      </c>
      <c r="G1407" s="304" t="s">
        <v>16</v>
      </c>
      <c r="H1407" s="199">
        <f>SUM(H1408:H1416)</f>
        <v>3.4000000000000008</v>
      </c>
    </row>
    <row r="1408" spans="2:8" s="71" customFormat="1" ht="18.75" customHeight="1" x14ac:dyDescent="0.25">
      <c r="B1408" s="430"/>
      <c r="C1408" s="431"/>
      <c r="D1408" s="226" t="s">
        <v>580</v>
      </c>
      <c r="E1408" s="224" t="s">
        <v>14</v>
      </c>
      <c r="F1408" s="310">
        <v>0.4</v>
      </c>
      <c r="G1408" s="310">
        <v>0.5</v>
      </c>
      <c r="H1408" s="220">
        <f>2*G1408*F1408</f>
        <v>0.4</v>
      </c>
    </row>
    <row r="1409" spans="2:8" s="71" customFormat="1" ht="19.5" customHeight="1" x14ac:dyDescent="0.25">
      <c r="B1409" s="432"/>
      <c r="C1409" s="433"/>
      <c r="D1409" s="226" t="s">
        <v>581</v>
      </c>
      <c r="E1409" s="224" t="s">
        <v>14</v>
      </c>
      <c r="F1409" s="310">
        <v>0.4</v>
      </c>
      <c r="G1409" s="310">
        <v>0.5</v>
      </c>
      <c r="H1409" s="220">
        <f>G1409*F1409</f>
        <v>0.2</v>
      </c>
    </row>
    <row r="1410" spans="2:8" s="71" customFormat="1" ht="19.5" customHeight="1" x14ac:dyDescent="0.25">
      <c r="B1410" s="432"/>
      <c r="C1410" s="433"/>
      <c r="D1410" s="226" t="s">
        <v>582</v>
      </c>
      <c r="E1410" s="224" t="s">
        <v>14</v>
      </c>
      <c r="F1410" s="310">
        <v>0.4</v>
      </c>
      <c r="G1410" s="310">
        <v>0.5</v>
      </c>
      <c r="H1410" s="220">
        <f>G1410*F1410</f>
        <v>0.2</v>
      </c>
    </row>
    <row r="1411" spans="2:8" s="71" customFormat="1" ht="19.5" customHeight="1" x14ac:dyDescent="0.25">
      <c r="B1411" s="432"/>
      <c r="C1411" s="433"/>
      <c r="D1411" s="226" t="s">
        <v>583</v>
      </c>
      <c r="E1411" s="224" t="s">
        <v>14</v>
      </c>
      <c r="F1411" s="310">
        <v>0.4</v>
      </c>
      <c r="G1411" s="310">
        <v>0.5</v>
      </c>
      <c r="H1411" s="220">
        <f>4*G1411*F1411</f>
        <v>0.8</v>
      </c>
    </row>
    <row r="1412" spans="2:8" s="71" customFormat="1" ht="19.5" customHeight="1" x14ac:dyDescent="0.25">
      <c r="B1412" s="432"/>
      <c r="C1412" s="433"/>
      <c r="D1412" s="226" t="s">
        <v>584</v>
      </c>
      <c r="E1412" s="224" t="s">
        <v>14</v>
      </c>
      <c r="F1412" s="310">
        <v>0.4</v>
      </c>
      <c r="G1412" s="310">
        <v>0.5</v>
      </c>
      <c r="H1412" s="220">
        <f t="shared" ref="H1412" si="38">3*G1412*F1412</f>
        <v>0.60000000000000009</v>
      </c>
    </row>
    <row r="1413" spans="2:8" s="71" customFormat="1" ht="19.5" customHeight="1" x14ac:dyDescent="0.25">
      <c r="B1413" s="432"/>
      <c r="C1413" s="433"/>
      <c r="D1413" s="226" t="s">
        <v>585</v>
      </c>
      <c r="E1413" s="224" t="s">
        <v>14</v>
      </c>
      <c r="F1413" s="310">
        <v>0.4</v>
      </c>
      <c r="G1413" s="310">
        <v>0.5</v>
      </c>
      <c r="H1413" s="220">
        <f>G1413*F1413</f>
        <v>0.2</v>
      </c>
    </row>
    <row r="1414" spans="2:8" s="71" customFormat="1" ht="19.5" customHeight="1" x14ac:dyDescent="0.25">
      <c r="B1414" s="432"/>
      <c r="C1414" s="433"/>
      <c r="D1414" s="226" t="s">
        <v>586</v>
      </c>
      <c r="E1414" s="224" t="s">
        <v>14</v>
      </c>
      <c r="F1414" s="310">
        <v>0.4</v>
      </c>
      <c r="G1414" s="310">
        <v>0.5</v>
      </c>
      <c r="H1414" s="220">
        <f>G1414*F1414</f>
        <v>0.2</v>
      </c>
    </row>
    <row r="1415" spans="2:8" s="71" customFormat="1" ht="19.5" customHeight="1" x14ac:dyDescent="0.25">
      <c r="B1415" s="432"/>
      <c r="C1415" s="433"/>
      <c r="D1415" s="226" t="s">
        <v>587</v>
      </c>
      <c r="E1415" s="224" t="s">
        <v>14</v>
      </c>
      <c r="F1415" s="310">
        <v>0.4</v>
      </c>
      <c r="G1415" s="310">
        <v>0.5</v>
      </c>
      <c r="H1415" s="220">
        <f t="shared" ref="H1415" si="39">G1415*F1415</f>
        <v>0.2</v>
      </c>
    </row>
    <row r="1416" spans="2:8" s="71" customFormat="1" ht="19.5" customHeight="1" x14ac:dyDescent="0.25">
      <c r="B1416" s="434"/>
      <c r="C1416" s="435"/>
      <c r="D1416" s="226" t="s">
        <v>588</v>
      </c>
      <c r="E1416" s="224" t="s">
        <v>14</v>
      </c>
      <c r="F1416" s="310">
        <v>0.4</v>
      </c>
      <c r="G1416" s="310">
        <v>0.5</v>
      </c>
      <c r="H1416" s="220">
        <f>G1416*F1416*3</f>
        <v>0.60000000000000009</v>
      </c>
    </row>
    <row r="1417" spans="2:8" s="71" customFormat="1" ht="19.5" customHeight="1" x14ac:dyDescent="0.25">
      <c r="B1417" s="26"/>
      <c r="C1417" s="15"/>
      <c r="E1417" s="325"/>
      <c r="F1417" s="256"/>
      <c r="G1417" s="256"/>
      <c r="H1417" s="355"/>
    </row>
    <row r="1418" spans="2:8" s="71" customFormat="1" ht="19.5" customHeight="1" x14ac:dyDescent="0.25">
      <c r="B1418" s="26"/>
      <c r="C1418" s="15"/>
      <c r="D1418" s="336" t="s">
        <v>589</v>
      </c>
      <c r="E1418" s="336"/>
      <c r="F1418" s="336"/>
      <c r="H1418" s="244"/>
    </row>
    <row r="1419" spans="2:8" s="71" customFormat="1" ht="19.5" customHeight="1" x14ac:dyDescent="0.25">
      <c r="B1419" s="26"/>
      <c r="C1419" s="15"/>
      <c r="D1419" s="172" t="s">
        <v>590</v>
      </c>
      <c r="E1419" s="356"/>
      <c r="F1419" s="356"/>
      <c r="G1419" s="245"/>
      <c r="H1419" s="246"/>
    </row>
    <row r="1420" spans="2:8" s="71" customFormat="1" ht="19.5" customHeight="1" x14ac:dyDescent="0.25">
      <c r="B1420" s="26"/>
      <c r="C1420" s="15"/>
      <c r="D1420" s="172" t="s">
        <v>591</v>
      </c>
      <c r="E1420" s="356"/>
      <c r="F1420" s="356"/>
      <c r="H1420" s="244"/>
    </row>
    <row r="1421" spans="2:8" s="71" customFormat="1" ht="19.5" customHeight="1" x14ac:dyDescent="0.25">
      <c r="B1421" s="26"/>
      <c r="C1421" s="15"/>
      <c r="D1421" s="172" t="s">
        <v>592</v>
      </c>
      <c r="E1421" s="356"/>
      <c r="F1421" s="356"/>
      <c r="H1421" s="244"/>
    </row>
    <row r="1422" spans="2:8" s="71" customFormat="1" ht="19.5" customHeight="1" thickBot="1" x14ac:dyDescent="0.3">
      <c r="B1422" s="247"/>
      <c r="C1422" s="248"/>
      <c r="D1422" s="249"/>
      <c r="E1422" s="250"/>
      <c r="F1422" s="251"/>
      <c r="G1422" s="251"/>
      <c r="H1422" s="252"/>
    </row>
    <row r="1423" spans="2:8" s="71" customFormat="1" ht="20.100000000000001" customHeight="1" x14ac:dyDescent="0.25">
      <c r="B1423" s="15"/>
      <c r="C1423" s="15"/>
    </row>
    <row r="1424" spans="2:8" s="71" customFormat="1" ht="20.100000000000001" customHeight="1" x14ac:dyDescent="0.25">
      <c r="B1424" s="15"/>
      <c r="C1424" s="15"/>
    </row>
    <row r="1425" spans="2:3" s="71" customFormat="1" ht="20.100000000000001" customHeight="1" x14ac:dyDescent="0.25">
      <c r="B1425" s="15"/>
      <c r="C1425" s="15"/>
    </row>
    <row r="1426" spans="2:3" s="71" customFormat="1" ht="20.100000000000001" customHeight="1" x14ac:dyDescent="0.25">
      <c r="B1426" s="15"/>
      <c r="C1426" s="15"/>
    </row>
    <row r="1427" spans="2:3" s="71" customFormat="1" ht="20.100000000000001" customHeight="1" x14ac:dyDescent="0.25">
      <c r="B1427" s="15"/>
      <c r="C1427" s="15"/>
    </row>
    <row r="1428" spans="2:3" s="71" customFormat="1" ht="20.100000000000001" customHeight="1" x14ac:dyDescent="0.25">
      <c r="B1428" s="15"/>
      <c r="C1428" s="15"/>
    </row>
    <row r="1429" spans="2:3" s="71" customFormat="1" ht="20.100000000000001" customHeight="1" x14ac:dyDescent="0.25">
      <c r="B1429" s="15"/>
      <c r="C1429" s="15"/>
    </row>
    <row r="1430" spans="2:3" s="71" customFormat="1" ht="20.100000000000001" customHeight="1" x14ac:dyDescent="0.25">
      <c r="B1430" s="15"/>
      <c r="C1430" s="15"/>
    </row>
    <row r="1431" spans="2:3" s="71" customFormat="1" ht="20.100000000000001" customHeight="1" x14ac:dyDescent="0.25">
      <c r="B1431" s="15"/>
      <c r="C1431" s="15"/>
    </row>
    <row r="1432" spans="2:3" s="71" customFormat="1" ht="20.100000000000001" customHeight="1" x14ac:dyDescent="0.25">
      <c r="B1432" s="15"/>
      <c r="C1432" s="15"/>
    </row>
    <row r="1433" spans="2:3" s="71" customFormat="1" ht="20.100000000000001" customHeight="1" x14ac:dyDescent="0.25">
      <c r="B1433" s="15"/>
      <c r="C1433" s="15"/>
    </row>
    <row r="1434" spans="2:3" s="71" customFormat="1" ht="20.100000000000001" customHeight="1" x14ac:dyDescent="0.25">
      <c r="B1434" s="15"/>
      <c r="C1434" s="15"/>
    </row>
    <row r="1435" spans="2:3" s="71" customFormat="1" ht="20.100000000000001" customHeight="1" x14ac:dyDescent="0.25">
      <c r="B1435" s="15"/>
      <c r="C1435" s="15"/>
    </row>
    <row r="1436" spans="2:3" s="71" customFormat="1" ht="20.100000000000001" customHeight="1" x14ac:dyDescent="0.25">
      <c r="B1436" s="15"/>
      <c r="C1436" s="15"/>
    </row>
    <row r="1437" spans="2:3" s="71" customFormat="1" ht="20.100000000000001" customHeight="1" x14ac:dyDescent="0.25">
      <c r="B1437" s="15"/>
      <c r="C1437" s="15"/>
    </row>
    <row r="1438" spans="2:3" s="71" customFormat="1" ht="20.100000000000001" customHeight="1" x14ac:dyDescent="0.25">
      <c r="B1438" s="15"/>
      <c r="C1438" s="15"/>
    </row>
    <row r="1439" spans="2:3" s="71" customFormat="1" ht="20.100000000000001" customHeight="1" x14ac:dyDescent="0.25">
      <c r="B1439" s="15"/>
      <c r="C1439" s="15"/>
    </row>
    <row r="1440" spans="2:3" s="71" customFormat="1" ht="20.100000000000001" customHeight="1" x14ac:dyDescent="0.25">
      <c r="B1440" s="15"/>
      <c r="C1440" s="15"/>
    </row>
    <row r="1441" spans="2:3" s="71" customFormat="1" ht="20.100000000000001" customHeight="1" x14ac:dyDescent="0.25">
      <c r="B1441" s="15"/>
      <c r="C1441" s="15"/>
    </row>
    <row r="1442" spans="2:3" s="71" customFormat="1" ht="20.100000000000001" customHeight="1" x14ac:dyDescent="0.25">
      <c r="B1442" s="15"/>
      <c r="C1442" s="15"/>
    </row>
    <row r="1443" spans="2:3" s="71" customFormat="1" ht="20.100000000000001" customHeight="1" x14ac:dyDescent="0.25">
      <c r="B1443" s="15"/>
      <c r="C1443" s="15"/>
    </row>
    <row r="1444" spans="2:3" s="71" customFormat="1" ht="20.100000000000001" customHeight="1" x14ac:dyDescent="0.25">
      <c r="B1444" s="15"/>
      <c r="C1444" s="15"/>
    </row>
    <row r="1445" spans="2:3" s="71" customFormat="1" ht="20.100000000000001" customHeight="1" x14ac:dyDescent="0.25">
      <c r="B1445" s="15"/>
      <c r="C1445" s="15"/>
    </row>
    <row r="1446" spans="2:3" s="71" customFormat="1" ht="20.100000000000001" customHeight="1" x14ac:dyDescent="0.25">
      <c r="B1446" s="15"/>
      <c r="C1446" s="15"/>
    </row>
    <row r="1447" spans="2:3" s="71" customFormat="1" ht="20.100000000000001" customHeight="1" x14ac:dyDescent="0.25">
      <c r="B1447" s="15"/>
      <c r="C1447" s="15"/>
    </row>
    <row r="1448" spans="2:3" s="71" customFormat="1" ht="20.100000000000001" customHeight="1" x14ac:dyDescent="0.25">
      <c r="B1448" s="15"/>
      <c r="C1448" s="15"/>
    </row>
    <row r="1449" spans="2:3" s="71" customFormat="1" ht="20.100000000000001" customHeight="1" x14ac:dyDescent="0.25">
      <c r="B1449" s="15"/>
      <c r="C1449" s="15"/>
    </row>
    <row r="1450" spans="2:3" s="71" customFormat="1" ht="20.100000000000001" customHeight="1" x14ac:dyDescent="0.25">
      <c r="B1450" s="15"/>
      <c r="C1450" s="15"/>
    </row>
    <row r="1451" spans="2:3" s="71" customFormat="1" ht="20.100000000000001" customHeight="1" x14ac:dyDescent="0.25">
      <c r="B1451" s="15"/>
      <c r="C1451" s="15"/>
    </row>
    <row r="1452" spans="2:3" s="71" customFormat="1" ht="20.100000000000001" customHeight="1" x14ac:dyDescent="0.25">
      <c r="B1452" s="15"/>
      <c r="C1452" s="15"/>
    </row>
    <row r="1453" spans="2:3" s="71" customFormat="1" ht="20.100000000000001" customHeight="1" x14ac:dyDescent="0.25">
      <c r="B1453" s="15"/>
      <c r="C1453" s="15"/>
    </row>
    <row r="1454" spans="2:3" s="71" customFormat="1" ht="20.100000000000001" customHeight="1" x14ac:dyDescent="0.25">
      <c r="B1454" s="15"/>
      <c r="C1454" s="15"/>
    </row>
    <row r="1455" spans="2:3" s="71" customFormat="1" ht="20.100000000000001" customHeight="1" x14ac:dyDescent="0.25">
      <c r="B1455" s="15"/>
      <c r="C1455" s="15"/>
    </row>
    <row r="1456" spans="2:3" s="71" customFormat="1" ht="20.100000000000001" customHeight="1" x14ac:dyDescent="0.25">
      <c r="B1456" s="15"/>
      <c r="C1456" s="15"/>
    </row>
    <row r="1457" spans="2:8" s="71" customFormat="1" ht="15" x14ac:dyDescent="0.25">
      <c r="B1457" s="15"/>
      <c r="C1457" s="15"/>
    </row>
    <row r="1458" spans="2:8" s="71" customFormat="1" ht="25.5" customHeight="1" x14ac:dyDescent="0.25">
      <c r="B1458" s="15"/>
      <c r="C1458" s="15"/>
    </row>
    <row r="1459" spans="2:8" s="71" customFormat="1" ht="20.100000000000001" customHeight="1" x14ac:dyDescent="0.25">
      <c r="B1459" s="15"/>
      <c r="C1459" s="15"/>
    </row>
    <row r="1460" spans="2:8" s="71" customFormat="1" ht="20.100000000000001" customHeight="1" x14ac:dyDescent="0.25">
      <c r="B1460" s="15"/>
      <c r="C1460" s="15"/>
      <c r="D1460" s="17"/>
      <c r="E1460" s="14"/>
      <c r="F1460" s="19"/>
      <c r="G1460" s="19"/>
      <c r="H1460" s="106"/>
    </row>
    <row r="1461" spans="2:8" s="71" customFormat="1" ht="20.100000000000001" customHeight="1" x14ac:dyDescent="0.25">
      <c r="B1461" s="15"/>
      <c r="C1461" s="15"/>
      <c r="D1461" s="17"/>
      <c r="E1461" s="14"/>
      <c r="F1461" s="19"/>
      <c r="G1461" s="19"/>
      <c r="H1461" s="106"/>
    </row>
    <row r="1462" spans="2:8" s="71" customFormat="1" ht="20.100000000000001" customHeight="1" x14ac:dyDescent="0.25">
      <c r="B1462" s="15"/>
      <c r="C1462" s="15"/>
      <c r="D1462" s="17"/>
      <c r="E1462" s="14"/>
      <c r="F1462" s="19"/>
      <c r="G1462" s="19"/>
      <c r="H1462" s="106"/>
    </row>
    <row r="1463" spans="2:8" s="71" customFormat="1" ht="20.100000000000001" customHeight="1" x14ac:dyDescent="0.25">
      <c r="B1463" s="15"/>
      <c r="C1463" s="15"/>
      <c r="D1463" s="17"/>
      <c r="E1463" s="14"/>
      <c r="F1463" s="19"/>
      <c r="G1463" s="19"/>
      <c r="H1463" s="106"/>
    </row>
    <row r="1464" spans="2:8" s="71" customFormat="1" ht="20.100000000000001" customHeight="1" x14ac:dyDescent="0.25">
      <c r="B1464" s="15"/>
      <c r="C1464" s="15"/>
      <c r="D1464" s="17"/>
      <c r="E1464" s="14"/>
      <c r="F1464" s="19"/>
      <c r="G1464" s="19"/>
      <c r="H1464" s="106"/>
    </row>
    <row r="1465" spans="2:8" s="71" customFormat="1" ht="20.100000000000001" customHeight="1" x14ac:dyDescent="0.25">
      <c r="B1465" s="15"/>
      <c r="C1465" s="15"/>
      <c r="D1465" s="17"/>
      <c r="E1465" s="14"/>
      <c r="F1465" s="19"/>
      <c r="G1465" s="19"/>
      <c r="H1465" s="106"/>
    </row>
    <row r="1466" spans="2:8" s="71" customFormat="1" ht="20.100000000000001" customHeight="1" x14ac:dyDescent="0.25">
      <c r="B1466" s="15"/>
      <c r="C1466" s="15"/>
      <c r="D1466" s="17"/>
      <c r="E1466" s="14"/>
      <c r="F1466" s="19"/>
      <c r="G1466" s="19"/>
      <c r="H1466" s="106"/>
    </row>
    <row r="1467" spans="2:8" s="71" customFormat="1" ht="20.100000000000001" customHeight="1" x14ac:dyDescent="0.25">
      <c r="B1467" s="15"/>
      <c r="C1467" s="15"/>
      <c r="D1467" s="17"/>
      <c r="E1467" s="14"/>
      <c r="F1467" s="19"/>
      <c r="G1467" s="19"/>
      <c r="H1467" s="106"/>
    </row>
    <row r="1468" spans="2:8" s="71" customFormat="1" ht="20.100000000000001" customHeight="1" x14ac:dyDescent="0.25">
      <c r="B1468" s="15"/>
      <c r="C1468" s="15"/>
      <c r="D1468" s="17"/>
      <c r="E1468" s="14"/>
      <c r="F1468" s="19"/>
      <c r="G1468" s="19"/>
      <c r="H1468" s="106"/>
    </row>
    <row r="1469" spans="2:8" s="71" customFormat="1" ht="20.100000000000001" customHeight="1" x14ac:dyDescent="0.25">
      <c r="B1469" s="15"/>
      <c r="C1469" s="15"/>
      <c r="D1469" s="17"/>
      <c r="E1469" s="14"/>
      <c r="F1469" s="19"/>
      <c r="G1469" s="19"/>
      <c r="H1469" s="106"/>
    </row>
    <row r="1470" spans="2:8" s="71" customFormat="1" ht="20.100000000000001" customHeight="1" x14ac:dyDescent="0.25">
      <c r="B1470" s="15"/>
      <c r="C1470" s="15"/>
      <c r="D1470" s="17"/>
      <c r="E1470" s="14"/>
      <c r="F1470" s="19"/>
      <c r="G1470" s="19"/>
      <c r="H1470" s="106"/>
    </row>
    <row r="1471" spans="2:8" s="71" customFormat="1" ht="20.100000000000001" customHeight="1" x14ac:dyDescent="0.25">
      <c r="B1471" s="15"/>
      <c r="C1471" s="15"/>
      <c r="D1471" s="17"/>
      <c r="E1471" s="14"/>
      <c r="F1471" s="19"/>
      <c r="G1471" s="19"/>
      <c r="H1471" s="106"/>
    </row>
    <row r="1472" spans="2:8" s="71" customFormat="1" ht="20.100000000000001" customHeight="1" x14ac:dyDescent="0.25">
      <c r="B1472" s="15"/>
      <c r="C1472" s="15"/>
      <c r="D1472" s="17"/>
      <c r="E1472" s="14"/>
      <c r="F1472" s="19"/>
      <c r="G1472" s="19"/>
      <c r="H1472" s="106"/>
    </row>
    <row r="1473" spans="1:8" s="71" customFormat="1" ht="20.100000000000001" customHeight="1" x14ac:dyDescent="0.25">
      <c r="B1473" s="15"/>
      <c r="C1473" s="15"/>
      <c r="D1473" s="17"/>
      <c r="E1473" s="14"/>
      <c r="F1473" s="19"/>
      <c r="G1473" s="19"/>
      <c r="H1473" s="106"/>
    </row>
    <row r="1474" spans="1:8" s="71" customFormat="1" ht="20.100000000000001" customHeight="1" x14ac:dyDescent="0.25">
      <c r="B1474" s="15"/>
      <c r="C1474" s="15"/>
      <c r="D1474" s="17"/>
      <c r="E1474" s="14"/>
      <c r="F1474" s="19"/>
      <c r="G1474" s="19"/>
      <c r="H1474" s="106"/>
    </row>
    <row r="1475" spans="1:8" s="71" customFormat="1" ht="20.100000000000001" customHeight="1" x14ac:dyDescent="0.25">
      <c r="B1475" s="15"/>
      <c r="C1475" s="15"/>
      <c r="D1475" s="17"/>
      <c r="E1475" s="14"/>
      <c r="F1475" s="19"/>
      <c r="G1475" s="19"/>
      <c r="H1475" s="106"/>
    </row>
    <row r="1476" spans="1:8" ht="20.100000000000001" customHeight="1" x14ac:dyDescent="0.25">
      <c r="A1476" s="71"/>
    </row>
    <row r="1477" spans="1:8" ht="20.100000000000001" customHeight="1" x14ac:dyDescent="0.25">
      <c r="A1477" s="71"/>
    </row>
    <row r="1478" spans="1:8" ht="20.100000000000001" customHeight="1" x14ac:dyDescent="0.25">
      <c r="A1478" s="71"/>
    </row>
  </sheetData>
  <mergeCells count="378">
    <mergeCell ref="E1400:H1400"/>
    <mergeCell ref="B1408:C1416"/>
    <mergeCell ref="B1397:C1400"/>
    <mergeCell ref="B133:C144"/>
    <mergeCell ref="F374:G374"/>
    <mergeCell ref="F372:G372"/>
    <mergeCell ref="F359:G359"/>
    <mergeCell ref="F360:G360"/>
    <mergeCell ref="F299:G299"/>
    <mergeCell ref="B301:C302"/>
    <mergeCell ref="B304:C305"/>
    <mergeCell ref="F297:G297"/>
    <mergeCell ref="B298:C299"/>
    <mergeCell ref="F298:G298"/>
    <mergeCell ref="F196:G196"/>
    <mergeCell ref="F197:G197"/>
    <mergeCell ref="F198:G198"/>
    <mergeCell ref="F199:G199"/>
    <mergeCell ref="F200:G200"/>
    <mergeCell ref="F214:G214"/>
    <mergeCell ref="F207:G207"/>
    <mergeCell ref="F208:G208"/>
    <mergeCell ref="B222:C232"/>
    <mergeCell ref="F241:G241"/>
    <mergeCell ref="B288:C289"/>
    <mergeCell ref="B291:C292"/>
    <mergeCell ref="B294:C295"/>
    <mergeCell ref="B257:C259"/>
    <mergeCell ref="F244:G244"/>
    <mergeCell ref="F441:G441"/>
    <mergeCell ref="F368:G368"/>
    <mergeCell ref="F369:G369"/>
    <mergeCell ref="B234:C247"/>
    <mergeCell ref="B255:C255"/>
    <mergeCell ref="B253:C253"/>
    <mergeCell ref="D261:G261"/>
    <mergeCell ref="F379:G379"/>
    <mergeCell ref="F381:G381"/>
    <mergeCell ref="B433:C433"/>
    <mergeCell ref="B392:C397"/>
    <mergeCell ref="F415:G415"/>
    <mergeCell ref="B431:C431"/>
    <mergeCell ref="F416:G416"/>
    <mergeCell ref="F278:G278"/>
    <mergeCell ref="B281:H281"/>
    <mergeCell ref="F468:G468"/>
    <mergeCell ref="F469:G469"/>
    <mergeCell ref="F470:G470"/>
    <mergeCell ref="F403:G403"/>
    <mergeCell ref="F404:G404"/>
    <mergeCell ref="F405:G405"/>
    <mergeCell ref="F427:G427"/>
    <mergeCell ref="F428:G428"/>
    <mergeCell ref="F429:G429"/>
    <mergeCell ref="F408:G408"/>
    <mergeCell ref="F409:G409"/>
    <mergeCell ref="F410:G410"/>
    <mergeCell ref="F411:G411"/>
    <mergeCell ref="F412:G412"/>
    <mergeCell ref="F455:G455"/>
    <mergeCell ref="F456:G456"/>
    <mergeCell ref="F457:G457"/>
    <mergeCell ref="F458:G458"/>
    <mergeCell ref="F443:G443"/>
    <mergeCell ref="F435:G435"/>
    <mergeCell ref="F1265:G1265"/>
    <mergeCell ref="F1266:G1266"/>
    <mergeCell ref="F194:G194"/>
    <mergeCell ref="F483:G483"/>
    <mergeCell ref="F758:G758"/>
    <mergeCell ref="F953:G953"/>
    <mergeCell ref="F406:G406"/>
    <mergeCell ref="F407:G407"/>
    <mergeCell ref="F353:G353"/>
    <mergeCell ref="F354:G354"/>
    <mergeCell ref="F375:G375"/>
    <mergeCell ref="F345:G345"/>
    <mergeCell ref="F346:G346"/>
    <mergeCell ref="F347:G347"/>
    <mergeCell ref="F348:G348"/>
    <mergeCell ref="F349:G349"/>
    <mergeCell ref="F350:G350"/>
    <mergeCell ref="F352:G352"/>
    <mergeCell ref="F430:G430"/>
    <mergeCell ref="F215:G215"/>
    <mergeCell ref="F216:G216"/>
    <mergeCell ref="F233:G233"/>
    <mergeCell ref="F447:G447"/>
    <mergeCell ref="F448:G448"/>
    <mergeCell ref="F1069:G1069"/>
    <mergeCell ref="F1070:G1070"/>
    <mergeCell ref="D337:G337"/>
    <mergeCell ref="F338:G338"/>
    <mergeCell ref="F339:G339"/>
    <mergeCell ref="F340:G340"/>
    <mergeCell ref="F341:G341"/>
    <mergeCell ref="F342:G342"/>
    <mergeCell ref="F425:G425"/>
    <mergeCell ref="F426:G426"/>
    <mergeCell ref="F376:G376"/>
    <mergeCell ref="F377:G377"/>
    <mergeCell ref="F418:G418"/>
    <mergeCell ref="F419:G419"/>
    <mergeCell ref="F420:G420"/>
    <mergeCell ref="F343:G343"/>
    <mergeCell ref="F344:G344"/>
    <mergeCell ref="F361:G361"/>
    <mergeCell ref="F452:G452"/>
    <mergeCell ref="F453:G453"/>
    <mergeCell ref="F454:G454"/>
    <mergeCell ref="F862:G862"/>
    <mergeCell ref="D624:G624"/>
    <mergeCell ref="B475:H475"/>
    <mergeCell ref="F228:G228"/>
    <mergeCell ref="F229:G229"/>
    <mergeCell ref="F217:G217"/>
    <mergeCell ref="F218:G218"/>
    <mergeCell ref="F219:G219"/>
    <mergeCell ref="F220:G220"/>
    <mergeCell ref="F371:G371"/>
    <mergeCell ref="F365:G365"/>
    <mergeCell ref="F386:G386"/>
    <mergeCell ref="F210:G210"/>
    <mergeCell ref="F201:G201"/>
    <mergeCell ref="F202:G202"/>
    <mergeCell ref="F203:G203"/>
    <mergeCell ref="F204:G204"/>
    <mergeCell ref="F206:G206"/>
    <mergeCell ref="F225:G225"/>
    <mergeCell ref="F226:G226"/>
    <mergeCell ref="F227:G227"/>
    <mergeCell ref="F211:G211"/>
    <mergeCell ref="F212:G212"/>
    <mergeCell ref="F213:G213"/>
    <mergeCell ref="D390:G390"/>
    <mergeCell ref="F464:G464"/>
    <mergeCell ref="F465:G465"/>
    <mergeCell ref="F473:G473"/>
    <mergeCell ref="F466:G466"/>
    <mergeCell ref="F467:G467"/>
    <mergeCell ref="F399:G399"/>
    <mergeCell ref="F397:G397"/>
    <mergeCell ref="F440:G440"/>
    <mergeCell ref="F439:G439"/>
    <mergeCell ref="B1:H1"/>
    <mergeCell ref="B2:H2"/>
    <mergeCell ref="B4:H4"/>
    <mergeCell ref="B8:H8"/>
    <mergeCell ref="D3:G3"/>
    <mergeCell ref="B6:H6"/>
    <mergeCell ref="B5:H5"/>
    <mergeCell ref="F7:H7"/>
    <mergeCell ref="I5:J5"/>
    <mergeCell ref="F850:G850"/>
    <mergeCell ref="F852:G852"/>
    <mergeCell ref="F855:G855"/>
    <mergeCell ref="F856:G856"/>
    <mergeCell ref="F857:G857"/>
    <mergeCell ref="F853:G853"/>
    <mergeCell ref="F854:G854"/>
    <mergeCell ref="B868:C868"/>
    <mergeCell ref="F863:G863"/>
    <mergeCell ref="F1403:G1403"/>
    <mergeCell ref="F1404:G1404"/>
    <mergeCell ref="B633:C634"/>
    <mergeCell ref="F849:G849"/>
    <mergeCell ref="D878:G878"/>
    <mergeCell ref="F875:G875"/>
    <mergeCell ref="D871:G871"/>
    <mergeCell ref="B870:H870"/>
    <mergeCell ref="B877:H877"/>
    <mergeCell ref="F873:G873"/>
    <mergeCell ref="F874:G874"/>
    <mergeCell ref="F851:G851"/>
    <mergeCell ref="F868:G868"/>
    <mergeCell ref="F799:G799"/>
    <mergeCell ref="F847:G847"/>
    <mergeCell ref="F848:G848"/>
    <mergeCell ref="B839:C848"/>
    <mergeCell ref="F1072:G1072"/>
    <mergeCell ref="F867:G867"/>
    <mergeCell ref="F872:G872"/>
    <mergeCell ref="D802:G802"/>
    <mergeCell ref="F807:G807"/>
    <mergeCell ref="F808:G808"/>
    <mergeCell ref="F809:G809"/>
    <mergeCell ref="B478:C484"/>
    <mergeCell ref="F632:G632"/>
    <mergeCell ref="F811:G811"/>
    <mergeCell ref="F812:G812"/>
    <mergeCell ref="F795:G795"/>
    <mergeCell ref="D9:G9"/>
    <mergeCell ref="B330:C331"/>
    <mergeCell ref="D650:G650"/>
    <mergeCell ref="F221:G221"/>
    <mergeCell ref="F209:G209"/>
    <mergeCell ref="B486:H486"/>
    <mergeCell ref="D487:G487"/>
    <mergeCell ref="F810:G810"/>
    <mergeCell ref="B649:H649"/>
    <mergeCell ref="F636:G636"/>
    <mergeCell ref="F633:G633"/>
    <mergeCell ref="F231:G231"/>
    <mergeCell ref="B631:C631"/>
    <mergeCell ref="D275:G275"/>
    <mergeCell ref="D282:H282"/>
    <mergeCell ref="F330:G330"/>
    <mergeCell ref="F331:G331"/>
    <mergeCell ref="F378:G378"/>
    <mergeCell ref="F380:G380"/>
    <mergeCell ref="B428:C429"/>
    <mergeCell ref="B336:H336"/>
    <mergeCell ref="B389:H389"/>
    <mergeCell ref="F434:G434"/>
    <mergeCell ref="F433:G433"/>
    <mergeCell ref="F1071:G1071"/>
    <mergeCell ref="F798:G798"/>
    <mergeCell ref="B820:H820"/>
    <mergeCell ref="D476:G476"/>
    <mergeCell ref="D821:G821"/>
    <mergeCell ref="B860:H860"/>
    <mergeCell ref="D861:G861"/>
    <mergeCell ref="F858:G858"/>
    <mergeCell ref="B850:C858"/>
    <mergeCell ref="B801:H801"/>
    <mergeCell ref="F794:G794"/>
    <mergeCell ref="F625:G625"/>
    <mergeCell ref="F626:G626"/>
    <mergeCell ref="B623:H623"/>
    <mergeCell ref="B609:H609"/>
    <mergeCell ref="D610:G610"/>
    <mergeCell ref="F593:G593"/>
    <mergeCell ref="F591:G591"/>
    <mergeCell ref="F592:G592"/>
    <mergeCell ref="D451:G451"/>
    <mergeCell ref="F391:G391"/>
    <mergeCell ref="D308:G308"/>
    <mergeCell ref="F351:G351"/>
    <mergeCell ref="F358:G358"/>
    <mergeCell ref="F387:G387"/>
    <mergeCell ref="F366:G366"/>
    <mergeCell ref="F367:G367"/>
    <mergeCell ref="F329:G329"/>
    <mergeCell ref="F362:G362"/>
    <mergeCell ref="F355:G355"/>
    <mergeCell ref="F356:G356"/>
    <mergeCell ref="F357:G357"/>
    <mergeCell ref="F363:G363"/>
    <mergeCell ref="F364:G364"/>
    <mergeCell ref="F442:G442"/>
    <mergeCell ref="F444:G444"/>
    <mergeCell ref="F400:G400"/>
    <mergeCell ref="F384:G384"/>
    <mergeCell ref="F383:G383"/>
    <mergeCell ref="F385:G385"/>
    <mergeCell ref="F431:G431"/>
    <mergeCell ref="F432:G432"/>
    <mergeCell ref="F401:G401"/>
    <mergeCell ref="B191:C194"/>
    <mergeCell ref="B260:H260"/>
    <mergeCell ref="B163:C166"/>
    <mergeCell ref="B168:C170"/>
    <mergeCell ref="F195:G195"/>
    <mergeCell ref="B188:C189"/>
    <mergeCell ref="F205:G205"/>
    <mergeCell ref="F222:G222"/>
    <mergeCell ref="F223:G223"/>
    <mergeCell ref="F224:G224"/>
    <mergeCell ref="F230:G230"/>
    <mergeCell ref="F232:G232"/>
    <mergeCell ref="F247:G247"/>
    <mergeCell ref="F242:G242"/>
    <mergeCell ref="F239:G239"/>
    <mergeCell ref="F240:G240"/>
    <mergeCell ref="F234:G234"/>
    <mergeCell ref="F235:G235"/>
    <mergeCell ref="F236:G236"/>
    <mergeCell ref="F237:G237"/>
    <mergeCell ref="F238:G238"/>
    <mergeCell ref="F245:G245"/>
    <mergeCell ref="F246:G246"/>
    <mergeCell ref="F243:G243"/>
    <mergeCell ref="F460:G460"/>
    <mergeCell ref="F461:G461"/>
    <mergeCell ref="F382:G382"/>
    <mergeCell ref="F422:G422"/>
    <mergeCell ref="F423:G423"/>
    <mergeCell ref="F398:G398"/>
    <mergeCell ref="B274:H274"/>
    <mergeCell ref="B307:H307"/>
    <mergeCell ref="F370:G370"/>
    <mergeCell ref="F373:G373"/>
    <mergeCell ref="F417:G417"/>
    <mergeCell ref="F392:G392"/>
    <mergeCell ref="F393:G393"/>
    <mergeCell ref="F394:G394"/>
    <mergeCell ref="F395:G395"/>
    <mergeCell ref="F396:G396"/>
    <mergeCell ref="F413:G413"/>
    <mergeCell ref="F414:G414"/>
    <mergeCell ref="F424:G424"/>
    <mergeCell ref="F421:G421"/>
    <mergeCell ref="F402:G402"/>
    <mergeCell ref="B296:C296"/>
    <mergeCell ref="D296:G296"/>
    <mergeCell ref="B457:C457"/>
    <mergeCell ref="F1406:G1406"/>
    <mergeCell ref="F634:G634"/>
    <mergeCell ref="B638:C642"/>
    <mergeCell ref="B647:C647"/>
    <mergeCell ref="B612:C612"/>
    <mergeCell ref="B614:H614"/>
    <mergeCell ref="D615:G615"/>
    <mergeCell ref="B628:H628"/>
    <mergeCell ref="D629:G629"/>
    <mergeCell ref="B620:C621"/>
    <mergeCell ref="F1135:G1135"/>
    <mergeCell ref="B875:C875"/>
    <mergeCell ref="B873:C873"/>
    <mergeCell ref="B1401:H1401"/>
    <mergeCell ref="D1402:G1402"/>
    <mergeCell ref="F864:G864"/>
    <mergeCell ref="F865:G865"/>
    <mergeCell ref="F866:G866"/>
    <mergeCell ref="F1405:G1405"/>
    <mergeCell ref="F635:G635"/>
    <mergeCell ref="F1132:G1132"/>
    <mergeCell ref="F1133:G1133"/>
    <mergeCell ref="F1134:G1134"/>
    <mergeCell ref="F1264:G1264"/>
    <mergeCell ref="F462:G462"/>
    <mergeCell ref="F463:G463"/>
    <mergeCell ref="F471:G471"/>
    <mergeCell ref="F472:G472"/>
    <mergeCell ref="B77:C131"/>
    <mergeCell ref="B176:C186"/>
    <mergeCell ref="B196:C220"/>
    <mergeCell ref="B249:C251"/>
    <mergeCell ref="B285:C286"/>
    <mergeCell ref="B320:C323"/>
    <mergeCell ref="B339:C363"/>
    <mergeCell ref="F279:G279"/>
    <mergeCell ref="B283:C283"/>
    <mergeCell ref="D283:G283"/>
    <mergeCell ref="F129:G129"/>
    <mergeCell ref="F130:G130"/>
    <mergeCell ref="F131:G131"/>
    <mergeCell ref="F255:G255"/>
    <mergeCell ref="F254:G254"/>
    <mergeCell ref="F437:G437"/>
    <mergeCell ref="F438:G438"/>
    <mergeCell ref="B438:C438"/>
    <mergeCell ref="B436:G436"/>
    <mergeCell ref="F459:G459"/>
    <mergeCell ref="B1406:C1406"/>
    <mergeCell ref="B333:C334"/>
    <mergeCell ref="B880:C940"/>
    <mergeCell ref="B956:C1017"/>
    <mergeCell ref="B1018:C1076"/>
    <mergeCell ref="B1078:C1094"/>
    <mergeCell ref="B1137:C1171"/>
    <mergeCell ref="B1172:C1248"/>
    <mergeCell ref="B1273:C1293"/>
    <mergeCell ref="B1404:C1404"/>
    <mergeCell ref="B473:C473"/>
    <mergeCell ref="B489:C544"/>
    <mergeCell ref="B545:C590"/>
    <mergeCell ref="B617:C618"/>
    <mergeCell ref="B644:C645"/>
    <mergeCell ref="B652:C704"/>
    <mergeCell ref="B705:C759"/>
    <mergeCell ref="B761:C781"/>
    <mergeCell ref="B823:C837"/>
    <mergeCell ref="B450:H450"/>
    <mergeCell ref="F445:G445"/>
    <mergeCell ref="F446:G446"/>
    <mergeCell ref="B595:C607"/>
    <mergeCell ref="B459:C459"/>
  </mergeCells>
  <phoneticPr fontId="7" type="noConversion"/>
  <conditionalFormatting sqref="D37 D50 D11 D858:D859 D74:D77 D494:D497 D559:D567 D582:D584 D751:D752 D188:D189 D191:D192 D196:D220 D222:D232 D478 D760 D480 D631 D1319:D1325 D626:D627 D1339:D1348 D399 D401:D410 D414:D421 D377 D863:D866 D868:D869 D638:D642 D649:D650 D884:D886 D902:D904 D925:D930 D937 D940:D952 D1082 D1097 D1103:D1105 D1109:D1115 D1121 D1127 D277 D176:D186 D412 D255 D234:D247 D392:D397 D1242:D1262 D483 D16:D19 D85:D93 D108:D110 D263:D271 D257:D259 D279:D280 D379 D381 D383 D385:D388 D780 D814:D815 D817:D819 D1274:D1276 D1290 D1296:D1298 D1302:D1307 D1310 D1313:D1315 D633:D636">
    <cfRule type="containsText" dxfId="571" priority="2396" operator="containsText" text="m2">
      <formula>NOT(ISERROR(SEARCH("m2",D11)))</formula>
    </cfRule>
  </conditionalFormatting>
  <conditionalFormatting sqref="D22:D23">
    <cfRule type="containsText" dxfId="570" priority="2204" operator="containsText" text="m2">
      <formula>NOT(ISERROR(SEARCH("m2",D22)))</formula>
    </cfRule>
  </conditionalFormatting>
  <conditionalFormatting sqref="D12:D14">
    <cfRule type="containsText" dxfId="569" priority="2272" operator="containsText" text="m2">
      <formula>NOT(ISERROR(SEARCH("m2",D12)))</formula>
    </cfRule>
  </conditionalFormatting>
  <conditionalFormatting sqref="D12:D14">
    <cfRule type="containsText" dxfId="568" priority="2271" operator="containsText" text="m2">
      <formula>NOT(ISERROR(SEARCH("m2",D12)))</formula>
    </cfRule>
  </conditionalFormatting>
  <conditionalFormatting sqref="D38:D39">
    <cfRule type="containsText" dxfId="567" priority="2100" operator="containsText" text="m2">
      <formula>NOT(ISERROR(SEARCH("m2",D38)))</formula>
    </cfRule>
  </conditionalFormatting>
  <conditionalFormatting sqref="D15">
    <cfRule type="containsText" dxfId="566" priority="2232" operator="containsText" text="m2">
      <formula>NOT(ISERROR(SEARCH("m2",D15)))</formula>
    </cfRule>
  </conditionalFormatting>
  <conditionalFormatting sqref="D21">
    <cfRule type="containsText" dxfId="565" priority="2225" operator="containsText" text="m2">
      <formula>NOT(ISERROR(SEARCH("m2",D21)))</formula>
    </cfRule>
  </conditionalFormatting>
  <conditionalFormatting sqref="D15">
    <cfRule type="containsText" dxfId="564" priority="2235" operator="containsText" text="m2">
      <formula>NOT(ISERROR(SEARCH("m2",D15)))</formula>
    </cfRule>
  </conditionalFormatting>
  <conditionalFormatting sqref="D20">
    <cfRule type="containsText" dxfId="563" priority="2228" operator="containsText" text="m2">
      <formula>NOT(ISERROR(SEARCH("m2",D20)))</formula>
    </cfRule>
  </conditionalFormatting>
  <conditionalFormatting sqref="D20">
    <cfRule type="containsText" dxfId="562" priority="2227" operator="containsText" text="m2">
      <formula>NOT(ISERROR(SEARCH("m2",D20)))</formula>
    </cfRule>
  </conditionalFormatting>
  <conditionalFormatting sqref="D21">
    <cfRule type="containsText" dxfId="561" priority="2226" operator="containsText" text="m2">
      <formula>NOT(ISERROR(SEARCH("m2",D21)))</formula>
    </cfRule>
  </conditionalFormatting>
  <conditionalFormatting sqref="D34">
    <cfRule type="containsText" dxfId="560" priority="2138" operator="containsText" text="m2">
      <formula>NOT(ISERROR(SEARCH("m2",D34)))</formula>
    </cfRule>
  </conditionalFormatting>
  <conditionalFormatting sqref="D36">
    <cfRule type="containsText" dxfId="559" priority="2137" operator="containsText" text="m2">
      <formula>NOT(ISERROR(SEARCH("m2",D36)))</formula>
    </cfRule>
  </conditionalFormatting>
  <conditionalFormatting sqref="D36">
    <cfRule type="containsText" dxfId="558" priority="2136" operator="containsText" text="m2">
      <formula>NOT(ISERROR(SEARCH("m2",D36)))</formula>
    </cfRule>
  </conditionalFormatting>
  <conditionalFormatting sqref="D34">
    <cfRule type="containsText" dxfId="557" priority="2135" operator="containsText" text="m2">
      <formula>NOT(ISERROR(SEARCH("m2",D34)))</formula>
    </cfRule>
  </conditionalFormatting>
  <conditionalFormatting sqref="D44:D46">
    <cfRule type="containsText" dxfId="556" priority="2046" operator="containsText" text="m2">
      <formula>NOT(ISERROR(SEARCH("m2",D44)))</formula>
    </cfRule>
  </conditionalFormatting>
  <conditionalFormatting sqref="D24">
    <cfRule type="containsText" dxfId="555" priority="2202" operator="containsText" text="m2">
      <formula>NOT(ISERROR(SEARCH("m2",D24)))</formula>
    </cfRule>
  </conditionalFormatting>
  <conditionalFormatting sqref="D24">
    <cfRule type="containsText" dxfId="554" priority="2203" operator="containsText" text="m2">
      <formula>NOT(ISERROR(SEARCH("m2",D24)))</formula>
    </cfRule>
  </conditionalFormatting>
  <conditionalFormatting sqref="D51:D52">
    <cfRule type="containsText" dxfId="553" priority="2011" operator="containsText" text="m2">
      <formula>NOT(ISERROR(SEARCH("m2",D51)))</formula>
    </cfRule>
  </conditionalFormatting>
  <conditionalFormatting sqref="D51:D52">
    <cfRule type="containsText" dxfId="552" priority="2012" operator="containsText" text="m2">
      <formula>NOT(ISERROR(SEARCH("m2",D51)))</formula>
    </cfRule>
  </conditionalFormatting>
  <conditionalFormatting sqref="D48:D49">
    <cfRule type="containsText" dxfId="551" priority="2018" operator="containsText" text="m2">
      <formula>NOT(ISERROR(SEARCH("m2",D48)))</formula>
    </cfRule>
  </conditionalFormatting>
  <conditionalFormatting sqref="D26:D27">
    <cfRule type="containsText" dxfId="550" priority="2150" operator="containsText" text="m2">
      <formula>NOT(ISERROR(SEARCH("m2",D26)))</formula>
    </cfRule>
  </conditionalFormatting>
  <conditionalFormatting sqref="D31:D33">
    <cfRule type="containsText" dxfId="549" priority="2140" operator="containsText" text="m2">
      <formula>NOT(ISERROR(SEARCH("m2",D31)))</formula>
    </cfRule>
  </conditionalFormatting>
  <conditionalFormatting sqref="D30">
    <cfRule type="containsText" dxfId="548" priority="2147" operator="containsText" text="m2">
      <formula>NOT(ISERROR(SEARCH("m2",D30)))</formula>
    </cfRule>
  </conditionalFormatting>
  <conditionalFormatting sqref="D43:D46">
    <cfRule type="containsText" dxfId="547" priority="2049" operator="containsText" text="m2">
      <formula>NOT(ISERROR(SEARCH("m2",D43)))</formula>
    </cfRule>
  </conditionalFormatting>
  <conditionalFormatting sqref="D26:D27">
    <cfRule type="containsText" dxfId="546" priority="2151" operator="containsText" text="m2">
      <formula>NOT(ISERROR(SEARCH("m2",D26)))</formula>
    </cfRule>
  </conditionalFormatting>
  <conditionalFormatting sqref="D31:D33">
    <cfRule type="containsText" dxfId="545" priority="2139" operator="containsText" text="m2">
      <formula>NOT(ISERROR(SEARCH("m2",D31)))</formula>
    </cfRule>
  </conditionalFormatting>
  <conditionalFormatting sqref="D30">
    <cfRule type="containsText" dxfId="544" priority="2148" operator="containsText" text="m2">
      <formula>NOT(ISERROR(SEARCH("m2",D30)))</formula>
    </cfRule>
  </conditionalFormatting>
  <conditionalFormatting sqref="D43">
    <cfRule type="containsText" dxfId="543" priority="2048" operator="containsText" text="m2">
      <formula>NOT(ISERROR(SEARCH("m2",D43)))</formula>
    </cfRule>
  </conditionalFormatting>
  <conditionalFormatting sqref="D44:D46">
    <cfRule type="containsText" dxfId="542" priority="2047" operator="containsText" text="m2">
      <formula>NOT(ISERROR(SEARCH("m2",D44)))</formula>
    </cfRule>
  </conditionalFormatting>
  <conditionalFormatting sqref="D25">
    <cfRule type="containsText" dxfId="541" priority="2104" operator="containsText" text="m2">
      <formula>NOT(ISERROR(SEARCH("m2",D25)))</formula>
    </cfRule>
  </conditionalFormatting>
  <conditionalFormatting sqref="D25">
    <cfRule type="containsText" dxfId="540" priority="2105" operator="containsText" text="m2">
      <formula>NOT(ISERROR(SEARCH("m2",D25)))</formula>
    </cfRule>
  </conditionalFormatting>
  <conditionalFormatting sqref="D38:D39">
    <cfRule type="containsText" dxfId="539" priority="2101" operator="containsText" text="m2">
      <formula>NOT(ISERROR(SEARCH("m2",D38)))</formula>
    </cfRule>
  </conditionalFormatting>
  <conditionalFormatting sqref="D48:D49">
    <cfRule type="containsText" dxfId="538" priority="2017" operator="containsText" text="m2">
      <formula>NOT(ISERROR(SEARCH("m2",D48)))</formula>
    </cfRule>
  </conditionalFormatting>
  <conditionalFormatting sqref="D51:D52">
    <cfRule type="containsText" dxfId="537" priority="2010" operator="containsText" text="m2">
      <formula>NOT(ISERROR(SEARCH("m2",D51)))</formula>
    </cfRule>
  </conditionalFormatting>
  <conditionalFormatting sqref="D64">
    <cfRule type="containsText" dxfId="536" priority="1928" operator="containsText" text="m2">
      <formula>NOT(ISERROR(SEARCH("m2",D64)))</formula>
    </cfRule>
  </conditionalFormatting>
  <conditionalFormatting sqref="D65">
    <cfRule type="containsText" dxfId="535" priority="1927" operator="containsText" text="m2">
      <formula>NOT(ISERROR(SEARCH("m2",D65)))</formula>
    </cfRule>
  </conditionalFormatting>
  <conditionalFormatting sqref="D67">
    <cfRule type="containsText" dxfId="534" priority="1926" operator="containsText" text="m2">
      <formula>NOT(ISERROR(SEARCH("m2",D67)))</formula>
    </cfRule>
  </conditionalFormatting>
  <conditionalFormatting sqref="D71">
    <cfRule type="containsText" dxfId="533" priority="1923" operator="containsText" text="m2">
      <formula>NOT(ISERROR(SEARCH("m2",D71)))</formula>
    </cfRule>
  </conditionalFormatting>
  <conditionalFormatting sqref="D40">
    <cfRule type="containsText" dxfId="532" priority="2068" operator="containsText" text="m2">
      <formula>NOT(ISERROR(SEARCH("m2",D40)))</formula>
    </cfRule>
  </conditionalFormatting>
  <conditionalFormatting sqref="D40">
    <cfRule type="containsText" dxfId="531" priority="2067" operator="containsText" text="m2">
      <formula>NOT(ISERROR(SEARCH("m2",D40)))</formula>
    </cfRule>
  </conditionalFormatting>
  <conditionalFormatting sqref="D41:D42">
    <cfRule type="containsText" dxfId="530" priority="2065" operator="containsText" text="m2">
      <formula>NOT(ISERROR(SEARCH("m2",D41)))</formula>
    </cfRule>
  </conditionalFormatting>
  <conditionalFormatting sqref="D41:D42">
    <cfRule type="containsText" dxfId="529" priority="2066" operator="containsText" text="m2">
      <formula>NOT(ISERROR(SEARCH("m2",D41)))</formula>
    </cfRule>
  </conditionalFormatting>
  <conditionalFormatting sqref="D54">
    <cfRule type="containsText" dxfId="528" priority="1966" operator="containsText" text="m2">
      <formula>NOT(ISERROR(SEARCH("m2",D54)))</formula>
    </cfRule>
  </conditionalFormatting>
  <conditionalFormatting sqref="D66 D69">
    <cfRule type="containsText" dxfId="527" priority="1932" operator="containsText" text="m2">
      <formula>NOT(ISERROR(SEARCH("m2",D66)))</formula>
    </cfRule>
  </conditionalFormatting>
  <conditionalFormatting sqref="D48:D49">
    <cfRule type="containsText" dxfId="526" priority="2019" operator="containsText" text="m2">
      <formula>NOT(ISERROR(SEARCH("m2",D48)))</formula>
    </cfRule>
  </conditionalFormatting>
  <conditionalFormatting sqref="D47">
    <cfRule type="containsText" dxfId="525" priority="2020" operator="containsText" text="m2">
      <formula>NOT(ISERROR(SEARCH("m2",D47)))</formula>
    </cfRule>
  </conditionalFormatting>
  <conditionalFormatting sqref="D68">
    <cfRule type="containsText" dxfId="524" priority="1925" operator="containsText" text="m2">
      <formula>NOT(ISERROR(SEARCH("m2",D68)))</formula>
    </cfRule>
  </conditionalFormatting>
  <conditionalFormatting sqref="D53">
    <cfRule type="containsText" dxfId="523" priority="1967" operator="containsText" text="m2">
      <formula>NOT(ISERROR(SEARCH("m2",D53)))</formula>
    </cfRule>
  </conditionalFormatting>
  <conditionalFormatting sqref="D81">
    <cfRule type="containsText" dxfId="522" priority="1791" operator="containsText" text="m2">
      <formula>NOT(ISERROR(SEARCH("m2",D81)))</formula>
    </cfRule>
  </conditionalFormatting>
  <conditionalFormatting sqref="D82">
    <cfRule type="containsText" dxfId="521" priority="1790" operator="containsText" text="m2">
      <formula>NOT(ISERROR(SEARCH("m2",D82)))</formula>
    </cfRule>
  </conditionalFormatting>
  <conditionalFormatting sqref="D83">
    <cfRule type="containsText" dxfId="520" priority="1789" operator="containsText" text="m2">
      <formula>NOT(ISERROR(SEARCH("m2",D83)))</formula>
    </cfRule>
  </conditionalFormatting>
  <conditionalFormatting sqref="D70">
    <cfRule type="containsText" dxfId="519" priority="1924" operator="containsText" text="m2">
      <formula>NOT(ISERROR(SEARCH("m2",D70)))</formula>
    </cfRule>
  </conditionalFormatting>
  <conditionalFormatting sqref="D56:D58">
    <cfRule type="containsText" dxfId="518" priority="1930" operator="containsText" text="m2">
      <formula>NOT(ISERROR(SEARCH("m2",D56)))</formula>
    </cfRule>
  </conditionalFormatting>
  <conditionalFormatting sqref="D60 D62">
    <cfRule type="containsText" dxfId="517" priority="1929" operator="containsText" text="m2">
      <formula>NOT(ISERROR(SEARCH("m2",D60)))</formula>
    </cfRule>
  </conditionalFormatting>
  <conditionalFormatting sqref="D79">
    <cfRule type="containsText" dxfId="516" priority="1833" operator="containsText" text="m2">
      <formula>NOT(ISERROR(SEARCH("m2",D79)))</formula>
    </cfRule>
  </conditionalFormatting>
  <conditionalFormatting sqref="D55 D59 D63">
    <cfRule type="containsText" dxfId="515" priority="1931" operator="containsText" text="m2">
      <formula>NOT(ISERROR(SEARCH("m2",D55)))</formula>
    </cfRule>
  </conditionalFormatting>
  <conditionalFormatting sqref="D80">
    <cfRule type="containsText" dxfId="514" priority="1832" operator="containsText" text="m2">
      <formula>NOT(ISERROR(SEARCH("m2",D80)))</formula>
    </cfRule>
  </conditionalFormatting>
  <conditionalFormatting sqref="D72">
    <cfRule type="containsText" dxfId="513" priority="1837" operator="containsText" text="m2">
      <formula>NOT(ISERROR(SEARCH("m2",D72)))</formula>
    </cfRule>
  </conditionalFormatting>
  <conditionalFormatting sqref="D73">
    <cfRule type="containsText" dxfId="512" priority="1836" operator="containsText" text="m2">
      <formula>NOT(ISERROR(SEARCH("m2",D73)))</formula>
    </cfRule>
  </conditionalFormatting>
  <conditionalFormatting sqref="D78">
    <cfRule type="containsText" dxfId="511" priority="1834" operator="containsText" text="m2">
      <formula>NOT(ISERROR(SEARCH("m2",D78)))</formula>
    </cfRule>
  </conditionalFormatting>
  <conditionalFormatting sqref="D84">
    <cfRule type="containsText" dxfId="510" priority="1795" operator="containsText" text="m2">
      <formula>NOT(ISERROR(SEARCH("m2",D84)))</formula>
    </cfRule>
  </conditionalFormatting>
  <conditionalFormatting sqref="D96 D99 D102:D105">
    <cfRule type="containsText" dxfId="509" priority="1769" operator="containsText" text="m2">
      <formula>NOT(ISERROR(SEARCH("m2",D96)))</formula>
    </cfRule>
  </conditionalFormatting>
  <conditionalFormatting sqref="D29">
    <cfRule type="containsText" dxfId="508" priority="1717" operator="containsText" text="m2">
      <formula>NOT(ISERROR(SEARCH("m2",D29)))</formula>
    </cfRule>
  </conditionalFormatting>
  <conditionalFormatting sqref="D29">
    <cfRule type="containsText" dxfId="507" priority="1718" operator="containsText" text="m2">
      <formula>NOT(ISERROR(SEARCH("m2",D29)))</formula>
    </cfRule>
  </conditionalFormatting>
  <conditionalFormatting sqref="D28">
    <cfRule type="containsText" dxfId="506" priority="1716" operator="containsText" text="m2">
      <formula>NOT(ISERROR(SEARCH("m2",D28)))</formula>
    </cfRule>
  </conditionalFormatting>
  <conditionalFormatting sqref="D35">
    <cfRule type="containsText" dxfId="505" priority="1714" operator="containsText" text="m2">
      <formula>NOT(ISERROR(SEARCH("m2",D35)))</formula>
    </cfRule>
  </conditionalFormatting>
  <conditionalFormatting sqref="D28">
    <cfRule type="containsText" dxfId="504" priority="1715" operator="containsText" text="m2">
      <formula>NOT(ISERROR(SEARCH("m2",D28)))</formula>
    </cfRule>
  </conditionalFormatting>
  <conditionalFormatting sqref="D133:D144 D146:D157 D166 D114:D131">
    <cfRule type="containsText" dxfId="503" priority="1707" operator="containsText" text="m2">
      <formula>NOT(ISERROR(SEARCH("m2",D114)))</formula>
    </cfRule>
  </conditionalFormatting>
  <conditionalFormatting sqref="D35">
    <cfRule type="containsText" dxfId="502" priority="1713" operator="containsText" text="m2">
      <formula>NOT(ISERROR(SEARCH("m2",D35)))</formula>
    </cfRule>
  </conditionalFormatting>
  <conditionalFormatting sqref="D94:D95">
    <cfRule type="containsText" dxfId="501" priority="1712" operator="containsText" text="m2">
      <formula>NOT(ISERROR(SEARCH("m2",D94)))</formula>
    </cfRule>
  </conditionalFormatting>
  <conditionalFormatting sqref="D97:D98">
    <cfRule type="containsText" dxfId="500" priority="1711" operator="containsText" text="m2">
      <formula>NOT(ISERROR(SEARCH("m2",D97)))</formula>
    </cfRule>
  </conditionalFormatting>
  <conditionalFormatting sqref="D100:D101">
    <cfRule type="containsText" dxfId="499" priority="1710" operator="containsText" text="m2">
      <formula>NOT(ISERROR(SEARCH("m2",D100)))</formula>
    </cfRule>
  </conditionalFormatting>
  <conditionalFormatting sqref="D106:D107">
    <cfRule type="containsText" dxfId="498" priority="1709" operator="containsText" text="m2">
      <formula>NOT(ISERROR(SEARCH("m2",D106)))</formula>
    </cfRule>
  </conditionalFormatting>
  <conditionalFormatting sqref="D111:D113">
    <cfRule type="containsText" dxfId="497" priority="1708" operator="containsText" text="m2">
      <formula>NOT(ISERROR(SEARCH("m2",D111)))</formula>
    </cfRule>
  </conditionalFormatting>
  <conditionalFormatting sqref="D955">
    <cfRule type="containsText" dxfId="496" priority="1380" operator="containsText" text="m2">
      <formula>NOT(ISERROR(SEARCH("m2",D955)))</formula>
    </cfRule>
  </conditionalFormatting>
  <conditionalFormatting sqref="D1077">
    <cfRule type="containsText" dxfId="495" priority="1298" operator="containsText" text="m2">
      <formula>NOT(ISERROR(SEARCH("m2",D1077)))</formula>
    </cfRule>
  </conditionalFormatting>
  <conditionalFormatting sqref="D493">
    <cfRule type="containsText" dxfId="494" priority="1045" operator="containsText" text="m2">
      <formula>NOT(ISERROR(SEARCH("m2",D493)))</formula>
    </cfRule>
  </conditionalFormatting>
  <conditionalFormatting sqref="D493">
    <cfRule type="containsText" dxfId="493" priority="1046" operator="containsText" text="m2">
      <formula>NOT(ISERROR(SEARCH("m2",D493)))</formula>
    </cfRule>
  </conditionalFormatting>
  <conditionalFormatting sqref="D504:D505">
    <cfRule type="containsText" dxfId="492" priority="1036" operator="containsText" text="m2">
      <formula>NOT(ISERROR(SEARCH("m2",D504)))</formula>
    </cfRule>
  </conditionalFormatting>
  <conditionalFormatting sqref="D498">
    <cfRule type="containsText" dxfId="491" priority="1043" operator="containsText" text="m2">
      <formula>NOT(ISERROR(SEARCH("m2",D498)))</formula>
    </cfRule>
  </conditionalFormatting>
  <conditionalFormatting sqref="D502">
    <cfRule type="containsText" dxfId="490" priority="1038" operator="containsText" text="m2">
      <formula>NOT(ISERROR(SEARCH("m2",D502)))</formula>
    </cfRule>
  </conditionalFormatting>
  <conditionalFormatting sqref="D498">
    <cfRule type="containsText" dxfId="489" priority="1044" operator="containsText" text="m2">
      <formula>NOT(ISERROR(SEARCH("m2",D498)))</formula>
    </cfRule>
  </conditionalFormatting>
  <conditionalFormatting sqref="D502">
    <cfRule type="containsText" dxfId="488" priority="1039" operator="containsText" text="m2">
      <formula>NOT(ISERROR(SEARCH("m2",D502)))</formula>
    </cfRule>
  </conditionalFormatting>
  <conditionalFormatting sqref="D508">
    <cfRule type="containsText" dxfId="487" priority="1035" operator="containsText" text="m2">
      <formula>NOT(ISERROR(SEARCH("m2",D508)))</formula>
    </cfRule>
  </conditionalFormatting>
  <conditionalFormatting sqref="D508">
    <cfRule type="containsText" dxfId="486" priority="1034" operator="containsText" text="m2">
      <formula>NOT(ISERROR(SEARCH("m2",D508)))</formula>
    </cfRule>
  </conditionalFormatting>
  <conditionalFormatting sqref="D509:D511">
    <cfRule type="containsText" dxfId="485" priority="1033" operator="containsText" text="m2">
      <formula>NOT(ISERROR(SEARCH("m2",D509)))</formula>
    </cfRule>
  </conditionalFormatting>
  <conditionalFormatting sqref="D517">
    <cfRule type="containsText" dxfId="484" priority="1023" operator="containsText" text="m2">
      <formula>NOT(ISERROR(SEARCH("m2",D517)))</formula>
    </cfRule>
  </conditionalFormatting>
  <conditionalFormatting sqref="D512">
    <cfRule type="containsText" dxfId="483" priority="1031" operator="containsText" text="m2">
      <formula>NOT(ISERROR(SEARCH("m2",D512)))</formula>
    </cfRule>
  </conditionalFormatting>
  <conditionalFormatting sqref="D504:D505">
    <cfRule type="containsText" dxfId="482" priority="1037" operator="containsText" text="m2">
      <formula>NOT(ISERROR(SEARCH("m2",D504)))</formula>
    </cfRule>
  </conditionalFormatting>
  <conditionalFormatting sqref="D503">
    <cfRule type="containsText" dxfId="481" priority="1027" operator="containsText" text="m2">
      <formula>NOT(ISERROR(SEARCH("m2",D503)))</formula>
    </cfRule>
  </conditionalFormatting>
  <conditionalFormatting sqref="D503">
    <cfRule type="containsText" dxfId="480" priority="1026" operator="containsText" text="m2">
      <formula>NOT(ISERROR(SEARCH("m2",D503)))</formula>
    </cfRule>
  </conditionalFormatting>
  <conditionalFormatting sqref="D525:D526">
    <cfRule type="containsText" dxfId="479" priority="1013" operator="containsText" text="m2">
      <formula>NOT(ISERROR(SEARCH("m2",D525)))</formula>
    </cfRule>
  </conditionalFormatting>
  <conditionalFormatting sqref="D520">
    <cfRule type="containsText" dxfId="478" priority="1018" operator="containsText" text="m2">
      <formula>NOT(ISERROR(SEARCH("m2",D520)))</formula>
    </cfRule>
  </conditionalFormatting>
  <conditionalFormatting sqref="D521:D523">
    <cfRule type="containsText" dxfId="477" priority="1016" operator="containsText" text="m2">
      <formula>NOT(ISERROR(SEARCH("m2",D521)))</formula>
    </cfRule>
  </conditionalFormatting>
  <conditionalFormatting sqref="D525:D526">
    <cfRule type="containsText" dxfId="476" priority="1014" operator="containsText" text="m2">
      <formula>NOT(ISERROR(SEARCH("m2",D525)))</formula>
    </cfRule>
  </conditionalFormatting>
  <conditionalFormatting sqref="D1136">
    <cfRule type="containsText" dxfId="475" priority="1216" operator="containsText" text="m2">
      <formula>NOT(ISERROR(SEARCH("m2",D1136)))</formula>
    </cfRule>
  </conditionalFormatting>
  <conditionalFormatting sqref="D558">
    <cfRule type="containsText" dxfId="474" priority="991" operator="containsText" text="m2">
      <formula>NOT(ISERROR(SEARCH("m2",D558)))</formula>
    </cfRule>
  </conditionalFormatting>
  <conditionalFormatting sqref="D514 D527 D489 D548:D551">
    <cfRule type="containsText" dxfId="473" priority="1049" operator="containsText" text="m2">
      <formula>NOT(ISERROR(SEARCH("m2",D489)))</formula>
    </cfRule>
  </conditionalFormatting>
  <conditionalFormatting sqref="D490:D492">
    <cfRule type="containsText" dxfId="472" priority="1048" operator="containsText" text="m2">
      <formula>NOT(ISERROR(SEARCH("m2",D490)))</formula>
    </cfRule>
  </conditionalFormatting>
  <conditionalFormatting sqref="D490:D492">
    <cfRule type="containsText" dxfId="471" priority="1047" operator="containsText" text="m2">
      <formula>NOT(ISERROR(SEARCH("m2",D490)))</formula>
    </cfRule>
  </conditionalFormatting>
  <conditionalFormatting sqref="D512">
    <cfRule type="containsText" dxfId="470" priority="1028" operator="containsText" text="m2">
      <formula>NOT(ISERROR(SEARCH("m2",D512)))</formula>
    </cfRule>
  </conditionalFormatting>
  <conditionalFormatting sqref="D132">
    <cfRule type="containsText" dxfId="469" priority="1051" operator="containsText" text="m2">
      <formula>NOT(ISERROR(SEARCH("m2",D132)))</formula>
    </cfRule>
  </conditionalFormatting>
  <conditionalFormatting sqref="D499">
    <cfRule type="containsText" dxfId="468" priority="1042" operator="containsText" text="m2">
      <formula>NOT(ISERROR(SEARCH("m2",D499)))</formula>
    </cfRule>
  </conditionalFormatting>
  <conditionalFormatting sqref="D518:D519">
    <cfRule type="containsText" dxfId="467" priority="1020" operator="containsText" text="m2">
      <formula>NOT(ISERROR(SEARCH("m2",D518)))</formula>
    </cfRule>
  </conditionalFormatting>
  <conditionalFormatting sqref="D520:D523">
    <cfRule type="containsText" dxfId="466" priority="1019" operator="containsText" text="m2">
      <formula>NOT(ISERROR(SEARCH("m2",D520)))</formula>
    </cfRule>
  </conditionalFormatting>
  <conditionalFormatting sqref="D499">
    <cfRule type="containsText" dxfId="465" priority="1041" operator="containsText" text="m2">
      <formula>NOT(ISERROR(SEARCH("m2",D499)))</formula>
    </cfRule>
  </conditionalFormatting>
  <conditionalFormatting sqref="D500:D501">
    <cfRule type="containsText" dxfId="464" priority="1040" operator="containsText" text="m2">
      <formula>NOT(ISERROR(SEARCH("m2",D500)))</formula>
    </cfRule>
  </conditionalFormatting>
  <conditionalFormatting sqref="D515:D516">
    <cfRule type="containsText" dxfId="463" priority="1025" operator="containsText" text="m2">
      <formula>NOT(ISERROR(SEARCH("m2",D515)))</formula>
    </cfRule>
  </conditionalFormatting>
  <conditionalFormatting sqref="D515:D516">
    <cfRule type="containsText" dxfId="462" priority="1024" operator="containsText" text="m2">
      <formula>NOT(ISERROR(SEARCH("m2",D515)))</formula>
    </cfRule>
  </conditionalFormatting>
  <conditionalFormatting sqref="D509:D511">
    <cfRule type="containsText" dxfId="461" priority="1032" operator="containsText" text="m2">
      <formula>NOT(ISERROR(SEARCH("m2",D509)))</formula>
    </cfRule>
  </conditionalFormatting>
  <conditionalFormatting sqref="D524">
    <cfRule type="containsText" dxfId="460" priority="1015" operator="containsText" text="m2">
      <formula>NOT(ISERROR(SEARCH("m2",D524)))</formula>
    </cfRule>
  </conditionalFormatting>
  <conditionalFormatting sqref="D517">
    <cfRule type="containsText" dxfId="459" priority="1022" operator="containsText" text="m2">
      <formula>NOT(ISERROR(SEARCH("m2",D517)))</formula>
    </cfRule>
  </conditionalFormatting>
  <conditionalFormatting sqref="D518:D519">
    <cfRule type="containsText" dxfId="458" priority="1021" operator="containsText" text="m2">
      <formula>NOT(ISERROR(SEARCH("m2",D518)))</formula>
    </cfRule>
  </conditionalFormatting>
  <conditionalFormatting sqref="D525:D526">
    <cfRule type="containsText" dxfId="457" priority="1012" operator="containsText" text="m2">
      <formula>NOT(ISERROR(SEARCH("m2",D525)))</formula>
    </cfRule>
  </conditionalFormatting>
  <conditionalFormatting sqref="D553">
    <cfRule type="containsText" dxfId="456" priority="993" operator="containsText" text="m2">
      <formula>NOT(ISERROR(SEARCH("m2",D553)))</formula>
    </cfRule>
  </conditionalFormatting>
  <conditionalFormatting sqref="D554">
    <cfRule type="containsText" dxfId="455" priority="992" operator="containsText" text="m2">
      <formula>NOT(ISERROR(SEARCH("m2",D554)))</formula>
    </cfRule>
  </conditionalFormatting>
  <conditionalFormatting sqref="D555">
    <cfRule type="containsText" dxfId="454" priority="990" operator="containsText" text="m2">
      <formula>NOT(ISERROR(SEARCH("m2",D555)))</formula>
    </cfRule>
  </conditionalFormatting>
  <conditionalFormatting sqref="D528:D529">
    <cfRule type="containsText" dxfId="453" priority="1011" operator="containsText" text="m2">
      <formula>NOT(ISERROR(SEARCH("m2",D528)))</formula>
    </cfRule>
  </conditionalFormatting>
  <conditionalFormatting sqref="D521:D523">
    <cfRule type="containsText" dxfId="452" priority="1017" operator="containsText" text="m2">
      <formula>NOT(ISERROR(SEARCH("m2",D521)))</formula>
    </cfRule>
  </conditionalFormatting>
  <conditionalFormatting sqref="D528:D529">
    <cfRule type="containsText" dxfId="451" priority="1010" operator="containsText" text="m2">
      <formula>NOT(ISERROR(SEARCH("m2",D528)))</formula>
    </cfRule>
  </conditionalFormatting>
  <conditionalFormatting sqref="D545">
    <cfRule type="containsText" dxfId="450" priority="997" operator="containsText" text="m2">
      <formula>NOT(ISERROR(SEARCH("m2",D545)))</formula>
    </cfRule>
  </conditionalFormatting>
  <conditionalFormatting sqref="D546">
    <cfRule type="containsText" dxfId="449" priority="996" operator="containsText" text="m2">
      <formula>NOT(ISERROR(SEARCH("m2",D546)))</formula>
    </cfRule>
  </conditionalFormatting>
  <conditionalFormatting sqref="D547">
    <cfRule type="containsText" dxfId="448" priority="995" operator="containsText" text="m2">
      <formula>NOT(ISERROR(SEARCH("m2",D547)))</formula>
    </cfRule>
  </conditionalFormatting>
  <conditionalFormatting sqref="D541">
    <cfRule type="containsText" dxfId="447" priority="1000" operator="containsText" text="m2">
      <formula>NOT(ISERROR(SEARCH("m2",D541)))</formula>
    </cfRule>
  </conditionalFormatting>
  <conditionalFormatting sqref="D542">
    <cfRule type="containsText" dxfId="446" priority="999" operator="containsText" text="m2">
      <formula>NOT(ISERROR(SEARCH("m2",D542)))</formula>
    </cfRule>
  </conditionalFormatting>
  <conditionalFormatting sqref="D544">
    <cfRule type="containsText" dxfId="445" priority="998" operator="containsText" text="m2">
      <formula>NOT(ISERROR(SEARCH("m2",D544)))</formula>
    </cfRule>
  </conditionalFormatting>
  <conditionalFormatting sqref="D528:D529">
    <cfRule type="containsText" dxfId="444" priority="1009" operator="containsText" text="m2">
      <formula>NOT(ISERROR(SEARCH("m2",D528)))</formula>
    </cfRule>
  </conditionalFormatting>
  <conditionalFormatting sqref="D535:D536">
    <cfRule type="containsText" dxfId="443" priority="1003" operator="containsText" text="m2">
      <formula>NOT(ISERROR(SEARCH("m2",D535)))</formula>
    </cfRule>
  </conditionalFormatting>
  <conditionalFormatting sqref="D538">
    <cfRule type="containsText" dxfId="442" priority="1002" operator="containsText" text="m2">
      <formula>NOT(ISERROR(SEARCH("m2",D538)))</formula>
    </cfRule>
  </conditionalFormatting>
  <conditionalFormatting sqref="D530">
    <cfRule type="containsText" dxfId="441" priority="1007" operator="containsText" text="m2">
      <formula>NOT(ISERROR(SEARCH("m2",D530)))</formula>
    </cfRule>
  </conditionalFormatting>
  <conditionalFormatting sqref="D540 D543">
    <cfRule type="containsText" dxfId="440" priority="1006" operator="containsText" text="m2">
      <formula>NOT(ISERROR(SEARCH("m2",D540)))</formula>
    </cfRule>
  </conditionalFormatting>
  <conditionalFormatting sqref="D531 D534 D537">
    <cfRule type="containsText" dxfId="439" priority="1005" operator="containsText" text="m2">
      <formula>NOT(ISERROR(SEARCH("m2",D531)))</formula>
    </cfRule>
  </conditionalFormatting>
  <conditionalFormatting sqref="D532:D533">
    <cfRule type="containsText" dxfId="438" priority="1004" operator="containsText" text="m2">
      <formula>NOT(ISERROR(SEARCH("m2",D532)))</formula>
    </cfRule>
  </conditionalFormatting>
  <conditionalFormatting sqref="D552">
    <cfRule type="containsText" dxfId="437" priority="994" operator="containsText" text="m2">
      <formula>NOT(ISERROR(SEARCH("m2",D552)))</formula>
    </cfRule>
  </conditionalFormatting>
  <conditionalFormatting sqref="D556">
    <cfRule type="containsText" dxfId="436" priority="989" operator="containsText" text="m2">
      <formula>NOT(ISERROR(SEARCH("m2",D556)))</formula>
    </cfRule>
  </conditionalFormatting>
  <conditionalFormatting sqref="D570 D573 D576:D579">
    <cfRule type="containsText" dxfId="435" priority="987" operator="containsText" text="m2">
      <formula>NOT(ISERROR(SEARCH("m2",D570)))</formula>
    </cfRule>
  </conditionalFormatting>
  <conditionalFormatting sqref="D557">
    <cfRule type="containsText" dxfId="434" priority="988" operator="containsText" text="m2">
      <formula>NOT(ISERROR(SEARCH("m2",D557)))</formula>
    </cfRule>
  </conditionalFormatting>
  <conditionalFormatting sqref="D507">
    <cfRule type="containsText" dxfId="433" priority="986" operator="containsText" text="m2">
      <formula>NOT(ISERROR(SEARCH("m2",D507)))</formula>
    </cfRule>
  </conditionalFormatting>
  <conditionalFormatting sqref="D539">
    <cfRule type="containsText" dxfId="432" priority="1001" operator="containsText" text="m2">
      <formula>NOT(ISERROR(SEARCH("m2",D539)))</formula>
    </cfRule>
  </conditionalFormatting>
  <conditionalFormatting sqref="D507">
    <cfRule type="containsText" dxfId="431" priority="985" operator="containsText" text="m2">
      <formula>NOT(ISERROR(SEARCH("m2",D507)))</formula>
    </cfRule>
  </conditionalFormatting>
  <conditionalFormatting sqref="D506">
    <cfRule type="containsText" dxfId="430" priority="984" operator="containsText" text="m2">
      <formula>NOT(ISERROR(SEARCH("m2",D506)))</formula>
    </cfRule>
  </conditionalFormatting>
  <conditionalFormatting sqref="D513">
    <cfRule type="containsText" dxfId="429" priority="982" operator="containsText" text="m2">
      <formula>NOT(ISERROR(SEARCH("m2",D513)))</formula>
    </cfRule>
  </conditionalFormatting>
  <conditionalFormatting sqref="D506">
    <cfRule type="containsText" dxfId="428" priority="983" operator="containsText" text="m2">
      <formula>NOT(ISERROR(SEARCH("m2",D506)))</formula>
    </cfRule>
  </conditionalFormatting>
  <conditionalFormatting sqref="D588:D589">
    <cfRule type="containsText" dxfId="427" priority="975" operator="containsText" text="m2">
      <formula>NOT(ISERROR(SEARCH("m2",D588)))</formula>
    </cfRule>
  </conditionalFormatting>
  <conditionalFormatting sqref="D513">
    <cfRule type="containsText" dxfId="426" priority="981" operator="containsText" text="m2">
      <formula>NOT(ISERROR(SEARCH("m2",D513)))</formula>
    </cfRule>
  </conditionalFormatting>
  <conditionalFormatting sqref="D568:D569">
    <cfRule type="containsText" dxfId="425" priority="980" operator="containsText" text="m2">
      <formula>NOT(ISERROR(SEARCH("m2",D568)))</formula>
    </cfRule>
  </conditionalFormatting>
  <conditionalFormatting sqref="D571:D572">
    <cfRule type="containsText" dxfId="424" priority="979" operator="containsText" text="m2">
      <formula>NOT(ISERROR(SEARCH("m2",D571)))</formula>
    </cfRule>
  </conditionalFormatting>
  <conditionalFormatting sqref="D574:D575">
    <cfRule type="containsText" dxfId="423" priority="978" operator="containsText" text="m2">
      <formula>NOT(ISERROR(SEARCH("m2",D574)))</formula>
    </cfRule>
  </conditionalFormatting>
  <conditionalFormatting sqref="D580:D581">
    <cfRule type="containsText" dxfId="422" priority="977" operator="containsText" text="m2">
      <formula>NOT(ISERROR(SEARCH("m2",D580)))</formula>
    </cfRule>
  </conditionalFormatting>
  <conditionalFormatting sqref="D585:D587">
    <cfRule type="containsText" dxfId="421" priority="976" operator="containsText" text="m2">
      <formula>NOT(ISERROR(SEARCH("m2",D585)))</formula>
    </cfRule>
  </conditionalFormatting>
  <conditionalFormatting sqref="D984 D997 D956 D961:D966 D1019:D1022 D1030:D1039">
    <cfRule type="containsText" dxfId="420" priority="751" operator="containsText" text="m2">
      <formula>NOT(ISERROR(SEARCH("m2",D956)))</formula>
    </cfRule>
  </conditionalFormatting>
  <conditionalFormatting sqref="D661">
    <cfRule type="containsText" dxfId="419" priority="892" operator="containsText" text="m2">
      <formula>NOT(ISERROR(SEARCH("m2",D661)))</formula>
    </cfRule>
  </conditionalFormatting>
  <conditionalFormatting sqref="D957:D959">
    <cfRule type="containsText" dxfId="418" priority="750" operator="containsText" text="m2">
      <formula>NOT(ISERROR(SEARCH("m2",D957)))</formula>
    </cfRule>
  </conditionalFormatting>
  <conditionalFormatting sqref="D657:D660 D722:D730 D745:D747">
    <cfRule type="containsText" dxfId="417" priority="899" operator="containsText" text="m2">
      <formula>NOT(ISERROR(SEARCH("m2",D657)))</formula>
    </cfRule>
  </conditionalFormatting>
  <conditionalFormatting sqref="D678:D679">
    <cfRule type="containsText" dxfId="416" priority="876" operator="containsText" text="m2">
      <formula>NOT(ISERROR(SEARCH("m2",D678)))</formula>
    </cfRule>
  </conditionalFormatting>
  <conditionalFormatting sqref="D653:D655">
    <cfRule type="containsText" dxfId="415" priority="897" operator="containsText" text="m2">
      <formula>NOT(ISERROR(SEARCH("m2",D653)))</formula>
    </cfRule>
  </conditionalFormatting>
  <conditionalFormatting sqref="D661">
    <cfRule type="containsText" dxfId="414" priority="893" operator="containsText" text="m2">
      <formula>NOT(ISERROR(SEARCH("m2",D661)))</formula>
    </cfRule>
  </conditionalFormatting>
  <conditionalFormatting sqref="D677 D690 D652 D711:D714">
    <cfRule type="containsText" dxfId="413" priority="898" operator="containsText" text="m2">
      <formula>NOT(ISERROR(SEARCH("m2",D652)))</formula>
    </cfRule>
  </conditionalFormatting>
  <conditionalFormatting sqref="D653:D655">
    <cfRule type="containsText" dxfId="412" priority="896" operator="containsText" text="m2">
      <formula>NOT(ISERROR(SEARCH("m2",D653)))</formula>
    </cfRule>
  </conditionalFormatting>
  <conditionalFormatting sqref="D656">
    <cfRule type="containsText" dxfId="411" priority="895" operator="containsText" text="m2">
      <formula>NOT(ISERROR(SEARCH("m2",D656)))</formula>
    </cfRule>
  </conditionalFormatting>
  <conditionalFormatting sqref="D656">
    <cfRule type="containsText" dxfId="410" priority="894" operator="containsText" text="m2">
      <formula>NOT(ISERROR(SEARCH("m2",D656)))</formula>
    </cfRule>
  </conditionalFormatting>
  <conditionalFormatting sqref="D671">
    <cfRule type="containsText" dxfId="409" priority="883" operator="containsText" text="m2">
      <formula>NOT(ISERROR(SEARCH("m2",D671)))</formula>
    </cfRule>
  </conditionalFormatting>
  <conditionalFormatting sqref="D672:D674">
    <cfRule type="containsText" dxfId="408" priority="882" operator="containsText" text="m2">
      <formula>NOT(ISERROR(SEARCH("m2",D672)))</formula>
    </cfRule>
  </conditionalFormatting>
  <conditionalFormatting sqref="D672:D674">
    <cfRule type="containsText" dxfId="407" priority="881" operator="containsText" text="m2">
      <formula>NOT(ISERROR(SEARCH("m2",D672)))</formula>
    </cfRule>
  </conditionalFormatting>
  <conditionalFormatting sqref="D675">
    <cfRule type="containsText" dxfId="406" priority="880" operator="containsText" text="m2">
      <formula>NOT(ISERROR(SEARCH("m2",D675)))</formula>
    </cfRule>
  </conditionalFormatting>
  <conditionalFormatting sqref="D684:D686">
    <cfRule type="containsText" dxfId="405" priority="868" operator="containsText" text="m2">
      <formula>NOT(ISERROR(SEARCH("m2",D684)))</formula>
    </cfRule>
  </conditionalFormatting>
  <conditionalFormatting sqref="D662">
    <cfRule type="containsText" dxfId="404" priority="890" operator="containsText" text="m2">
      <formula>NOT(ISERROR(SEARCH("m2",D662)))</formula>
    </cfRule>
  </conditionalFormatting>
  <conditionalFormatting sqref="D662">
    <cfRule type="containsText" dxfId="403" priority="891" operator="containsText" text="m2">
      <formula>NOT(ISERROR(SEARCH("m2",D662)))</formula>
    </cfRule>
  </conditionalFormatting>
  <conditionalFormatting sqref="D691:D692">
    <cfRule type="containsText" dxfId="402" priority="862" operator="containsText" text="m2">
      <formula>NOT(ISERROR(SEARCH("m2",D691)))</formula>
    </cfRule>
  </conditionalFormatting>
  <conditionalFormatting sqref="D688:D689">
    <cfRule type="containsText" dxfId="401" priority="863" operator="containsText" text="m2">
      <formula>NOT(ISERROR(SEARCH("m2",D688)))</formula>
    </cfRule>
  </conditionalFormatting>
  <conditionalFormatting sqref="D688:D689">
    <cfRule type="containsText" dxfId="400" priority="865" operator="containsText" text="m2">
      <formula>NOT(ISERROR(SEARCH("m2",D688)))</formula>
    </cfRule>
  </conditionalFormatting>
  <conditionalFormatting sqref="D665">
    <cfRule type="containsText" dxfId="399" priority="888" operator="containsText" text="m2">
      <formula>NOT(ISERROR(SEARCH("m2",D665)))</formula>
    </cfRule>
  </conditionalFormatting>
  <conditionalFormatting sqref="D667:D668">
    <cfRule type="containsText" dxfId="398" priority="885" operator="containsText" text="m2">
      <formula>NOT(ISERROR(SEARCH("m2",D667)))</formula>
    </cfRule>
  </conditionalFormatting>
  <conditionalFormatting sqref="D667:D668">
    <cfRule type="containsText" dxfId="397" priority="886" operator="containsText" text="m2">
      <formula>NOT(ISERROR(SEARCH("m2",D667)))</formula>
    </cfRule>
  </conditionalFormatting>
  <conditionalFormatting sqref="D681:D682">
    <cfRule type="containsText" dxfId="396" priority="871" operator="containsText" text="m2">
      <formula>NOT(ISERROR(SEARCH("m2",D681)))</formula>
    </cfRule>
  </conditionalFormatting>
  <conditionalFormatting sqref="D663:D664">
    <cfRule type="containsText" dxfId="395" priority="889" operator="containsText" text="m2">
      <formula>NOT(ISERROR(SEARCH("m2",D663)))</formula>
    </cfRule>
  </conditionalFormatting>
  <conditionalFormatting sqref="D671">
    <cfRule type="containsText" dxfId="394" priority="884" operator="containsText" text="m2">
      <formula>NOT(ISERROR(SEARCH("m2",D671)))</formula>
    </cfRule>
  </conditionalFormatting>
  <conditionalFormatting sqref="D665">
    <cfRule type="containsText" dxfId="393" priority="887" operator="containsText" text="m2">
      <formula>NOT(ISERROR(SEARCH("m2",D665)))</formula>
    </cfRule>
  </conditionalFormatting>
  <conditionalFormatting sqref="D683:D686">
    <cfRule type="containsText" dxfId="392" priority="870" operator="containsText" text="m2">
      <formula>NOT(ISERROR(SEARCH("m2",D683)))</formula>
    </cfRule>
  </conditionalFormatting>
  <conditionalFormatting sqref="D683">
    <cfRule type="containsText" dxfId="391" priority="869" operator="containsText" text="m2">
      <formula>NOT(ISERROR(SEARCH("m2",D683)))</formula>
    </cfRule>
  </conditionalFormatting>
  <conditionalFormatting sqref="D666">
    <cfRule type="containsText" dxfId="390" priority="878" operator="containsText" text="m2">
      <formula>NOT(ISERROR(SEARCH("m2",D666)))</formula>
    </cfRule>
  </conditionalFormatting>
  <conditionalFormatting sqref="D675">
    <cfRule type="containsText" dxfId="389" priority="879" operator="containsText" text="m2">
      <formula>NOT(ISERROR(SEARCH("m2",D675)))</formula>
    </cfRule>
  </conditionalFormatting>
  <conditionalFormatting sqref="D666">
    <cfRule type="containsText" dxfId="388" priority="877" operator="containsText" text="m2">
      <formula>NOT(ISERROR(SEARCH("m2",D666)))</formula>
    </cfRule>
  </conditionalFormatting>
  <conditionalFormatting sqref="D688:D689">
    <cfRule type="containsText" dxfId="387" priority="864" operator="containsText" text="m2">
      <formula>NOT(ISERROR(SEARCH("m2",D688)))</formula>
    </cfRule>
  </conditionalFormatting>
  <conditionalFormatting sqref="D691:D692">
    <cfRule type="containsText" dxfId="386" priority="861" operator="containsText" text="m2">
      <formula>NOT(ISERROR(SEARCH("m2",D691)))</formula>
    </cfRule>
  </conditionalFormatting>
  <conditionalFormatting sqref="D701">
    <cfRule type="containsText" dxfId="385" priority="854" operator="containsText" text="m2">
      <formula>NOT(ISERROR(SEARCH("m2",D701)))</formula>
    </cfRule>
  </conditionalFormatting>
  <conditionalFormatting sqref="D702">
    <cfRule type="containsText" dxfId="384" priority="853" operator="containsText" text="m2">
      <formula>NOT(ISERROR(SEARCH("m2",D702)))</formula>
    </cfRule>
  </conditionalFormatting>
  <conditionalFormatting sqref="D704">
    <cfRule type="containsText" dxfId="383" priority="852" operator="containsText" text="m2">
      <formula>NOT(ISERROR(SEARCH("m2",D704)))</formula>
    </cfRule>
  </conditionalFormatting>
  <conditionalFormatting sqref="D708">
    <cfRule type="containsText" dxfId="382" priority="849" operator="containsText" text="m2">
      <formula>NOT(ISERROR(SEARCH("m2",D708)))</formula>
    </cfRule>
  </conditionalFormatting>
  <conditionalFormatting sqref="D678:D679">
    <cfRule type="containsText" dxfId="381" priority="875" operator="containsText" text="m2">
      <formula>NOT(ISERROR(SEARCH("m2",D678)))</formula>
    </cfRule>
  </conditionalFormatting>
  <conditionalFormatting sqref="D680">
    <cfRule type="containsText" dxfId="380" priority="874" operator="containsText" text="m2">
      <formula>NOT(ISERROR(SEARCH("m2",D680)))</formula>
    </cfRule>
  </conditionalFormatting>
  <conditionalFormatting sqref="D681:D682">
    <cfRule type="containsText" dxfId="379" priority="872" operator="containsText" text="m2">
      <formula>NOT(ISERROR(SEARCH("m2",D681)))</formula>
    </cfRule>
  </conditionalFormatting>
  <conditionalFormatting sqref="D680">
    <cfRule type="containsText" dxfId="378" priority="873" operator="containsText" text="m2">
      <formula>NOT(ISERROR(SEARCH("m2",D680)))</formula>
    </cfRule>
  </conditionalFormatting>
  <conditionalFormatting sqref="D693">
    <cfRule type="containsText" dxfId="377" priority="859" operator="containsText" text="m2">
      <formula>NOT(ISERROR(SEARCH("m2",D693)))</formula>
    </cfRule>
  </conditionalFormatting>
  <conditionalFormatting sqref="D703 D706">
    <cfRule type="containsText" dxfId="376" priority="858" operator="containsText" text="m2">
      <formula>NOT(ISERROR(SEARCH("m2",D703)))</formula>
    </cfRule>
  </conditionalFormatting>
  <conditionalFormatting sqref="D687">
    <cfRule type="containsText" dxfId="375" priority="866" operator="containsText" text="m2">
      <formula>NOT(ISERROR(SEARCH("m2",D687)))</formula>
    </cfRule>
  </conditionalFormatting>
  <conditionalFormatting sqref="D684:D686">
    <cfRule type="containsText" dxfId="374" priority="867" operator="containsText" text="m2">
      <formula>NOT(ISERROR(SEARCH("m2",D684)))</formula>
    </cfRule>
  </conditionalFormatting>
  <conditionalFormatting sqref="D705">
    <cfRule type="containsText" dxfId="373" priority="851" operator="containsText" text="m2">
      <formula>NOT(ISERROR(SEARCH("m2",D705)))</formula>
    </cfRule>
  </conditionalFormatting>
  <conditionalFormatting sqref="D691:D692">
    <cfRule type="containsText" dxfId="372" priority="860" operator="containsText" text="m2">
      <formula>NOT(ISERROR(SEARCH("m2",D691)))</formula>
    </cfRule>
  </conditionalFormatting>
  <conditionalFormatting sqref="D718">
    <cfRule type="containsText" dxfId="371" priority="842" operator="containsText" text="m2">
      <formula>NOT(ISERROR(SEARCH("m2",D718)))</formula>
    </cfRule>
  </conditionalFormatting>
  <conditionalFormatting sqref="D719">
    <cfRule type="containsText" dxfId="370" priority="841" operator="containsText" text="m2">
      <formula>NOT(ISERROR(SEARCH("m2",D719)))</formula>
    </cfRule>
  </conditionalFormatting>
  <conditionalFormatting sqref="D720">
    <cfRule type="containsText" dxfId="369" priority="840" operator="containsText" text="m2">
      <formula>NOT(ISERROR(SEARCH("m2",D720)))</formula>
    </cfRule>
  </conditionalFormatting>
  <conditionalFormatting sqref="D707">
    <cfRule type="containsText" dxfId="368" priority="850" operator="containsText" text="m2">
      <formula>NOT(ISERROR(SEARCH("m2",D707)))</formula>
    </cfRule>
  </conditionalFormatting>
  <conditionalFormatting sqref="D695:D696">
    <cfRule type="containsText" dxfId="367" priority="856" operator="containsText" text="m2">
      <formula>NOT(ISERROR(SEARCH("m2",D695)))</formula>
    </cfRule>
  </conditionalFormatting>
  <conditionalFormatting sqref="D698:D699">
    <cfRule type="containsText" dxfId="366" priority="855" operator="containsText" text="m2">
      <formula>NOT(ISERROR(SEARCH("m2",D698)))</formula>
    </cfRule>
  </conditionalFormatting>
  <conditionalFormatting sqref="D716">
    <cfRule type="containsText" dxfId="365" priority="845" operator="containsText" text="m2">
      <formula>NOT(ISERROR(SEARCH("m2",D716)))</formula>
    </cfRule>
  </conditionalFormatting>
  <conditionalFormatting sqref="D694 D697 D700">
    <cfRule type="containsText" dxfId="364" priority="857" operator="containsText" text="m2">
      <formula>NOT(ISERROR(SEARCH("m2",D694)))</formula>
    </cfRule>
  </conditionalFormatting>
  <conditionalFormatting sqref="D717">
    <cfRule type="containsText" dxfId="363" priority="844" operator="containsText" text="m2">
      <formula>NOT(ISERROR(SEARCH("m2",D717)))</formula>
    </cfRule>
  </conditionalFormatting>
  <conditionalFormatting sqref="D709">
    <cfRule type="containsText" dxfId="362" priority="848" operator="containsText" text="m2">
      <formula>NOT(ISERROR(SEARCH("m2",D709)))</formula>
    </cfRule>
  </conditionalFormatting>
  <conditionalFormatting sqref="D710">
    <cfRule type="containsText" dxfId="361" priority="847" operator="containsText" text="m2">
      <formula>NOT(ISERROR(SEARCH("m2",D710)))</formula>
    </cfRule>
  </conditionalFormatting>
  <conditionalFormatting sqref="D715">
    <cfRule type="containsText" dxfId="360" priority="846" operator="containsText" text="m2">
      <formula>NOT(ISERROR(SEARCH("m2",D715)))</formula>
    </cfRule>
  </conditionalFormatting>
  <conditionalFormatting sqref="D721">
    <cfRule type="containsText" dxfId="359" priority="843" operator="containsText" text="m2">
      <formula>NOT(ISERROR(SEARCH("m2",D721)))</formula>
    </cfRule>
  </conditionalFormatting>
  <conditionalFormatting sqref="D670">
    <cfRule type="containsText" dxfId="358" priority="837" operator="containsText" text="m2">
      <formula>NOT(ISERROR(SEARCH("m2",D670)))</formula>
    </cfRule>
  </conditionalFormatting>
  <conditionalFormatting sqref="D670">
    <cfRule type="containsText" dxfId="357" priority="838" operator="containsText" text="m2">
      <formula>NOT(ISERROR(SEARCH("m2",D670)))</formula>
    </cfRule>
  </conditionalFormatting>
  <conditionalFormatting sqref="D669">
    <cfRule type="containsText" dxfId="356" priority="836" operator="containsText" text="m2">
      <formula>NOT(ISERROR(SEARCH("m2",D669)))</formula>
    </cfRule>
  </conditionalFormatting>
  <conditionalFormatting sqref="D676">
    <cfRule type="containsText" dxfId="355" priority="834" operator="containsText" text="m2">
      <formula>NOT(ISERROR(SEARCH("m2",D676)))</formula>
    </cfRule>
  </conditionalFormatting>
  <conditionalFormatting sqref="D669">
    <cfRule type="containsText" dxfId="354" priority="835" operator="containsText" text="m2">
      <formula>NOT(ISERROR(SEARCH("m2",D669)))</formula>
    </cfRule>
  </conditionalFormatting>
  <conditionalFormatting sqref="D676">
    <cfRule type="containsText" dxfId="353" priority="833" operator="containsText" text="m2">
      <formula>NOT(ISERROR(SEARCH("m2",D676)))</formula>
    </cfRule>
  </conditionalFormatting>
  <conditionalFormatting sqref="D731:D732">
    <cfRule type="containsText" dxfId="352" priority="832" operator="containsText" text="m2">
      <formula>NOT(ISERROR(SEARCH("m2",D731)))</formula>
    </cfRule>
  </conditionalFormatting>
  <conditionalFormatting sqref="D734:D735">
    <cfRule type="containsText" dxfId="351" priority="831" operator="containsText" text="m2">
      <formula>NOT(ISERROR(SEARCH("m2",D734)))</formula>
    </cfRule>
  </conditionalFormatting>
  <conditionalFormatting sqref="D737:D738">
    <cfRule type="containsText" dxfId="350" priority="830" operator="containsText" text="m2">
      <formula>NOT(ISERROR(SEARCH("m2",D737)))</formula>
    </cfRule>
  </conditionalFormatting>
  <conditionalFormatting sqref="D957:D959">
    <cfRule type="containsText" dxfId="349" priority="749" operator="containsText" text="m2">
      <formula>NOT(ISERROR(SEARCH("m2",D957)))</formula>
    </cfRule>
  </conditionalFormatting>
  <conditionalFormatting sqref="D973:D974">
    <cfRule type="containsText" dxfId="348" priority="739" operator="containsText" text="m2">
      <formula>NOT(ISERROR(SEARCH("m2",D973)))</formula>
    </cfRule>
  </conditionalFormatting>
  <conditionalFormatting sqref="D967">
    <cfRule type="containsText" dxfId="347" priority="746" operator="containsText" text="m2">
      <formula>NOT(ISERROR(SEARCH("m2",D967)))</formula>
    </cfRule>
  </conditionalFormatting>
  <conditionalFormatting sqref="D987">
    <cfRule type="containsText" dxfId="346" priority="725" operator="containsText" text="m2">
      <formula>NOT(ISERROR(SEARCH("m2",D987)))</formula>
    </cfRule>
  </conditionalFormatting>
  <conditionalFormatting sqref="D968">
    <cfRule type="containsText" dxfId="345" priority="744" operator="containsText" text="m2">
      <formula>NOT(ISERROR(SEARCH("m2",D968)))</formula>
    </cfRule>
  </conditionalFormatting>
  <conditionalFormatting sqref="D971">
    <cfRule type="containsText" dxfId="344" priority="740" operator="containsText" text="m2">
      <formula>NOT(ISERROR(SEARCH("m2",D971)))</formula>
    </cfRule>
  </conditionalFormatting>
  <conditionalFormatting sqref="D967">
    <cfRule type="containsText" dxfId="343" priority="745" operator="containsText" text="m2">
      <formula>NOT(ISERROR(SEARCH("m2",D967)))</formula>
    </cfRule>
  </conditionalFormatting>
  <conditionalFormatting sqref="D968">
    <cfRule type="containsText" dxfId="342" priority="743" operator="containsText" text="m2">
      <formula>NOT(ISERROR(SEARCH("m2",D968)))</formula>
    </cfRule>
  </conditionalFormatting>
  <conditionalFormatting sqref="D969:D970">
    <cfRule type="containsText" dxfId="341" priority="742" operator="containsText" text="m2">
      <formula>NOT(ISERROR(SEARCH("m2",D969)))</formula>
    </cfRule>
  </conditionalFormatting>
  <conditionalFormatting sqref="D971">
    <cfRule type="containsText" dxfId="340" priority="741" operator="containsText" text="m2">
      <formula>NOT(ISERROR(SEARCH("m2",D971)))</formula>
    </cfRule>
  </conditionalFormatting>
  <conditionalFormatting sqref="D972">
    <cfRule type="containsText" dxfId="339" priority="729" operator="containsText" text="m2">
      <formula>NOT(ISERROR(SEARCH("m2",D972)))</formula>
    </cfRule>
  </conditionalFormatting>
  <conditionalFormatting sqref="D994">
    <cfRule type="containsText" dxfId="338" priority="717" operator="containsText" text="m2">
      <formula>NOT(ISERROR(SEARCH("m2",D994)))</formula>
    </cfRule>
  </conditionalFormatting>
  <conditionalFormatting sqref="D977">
    <cfRule type="containsText" dxfId="337" priority="737" operator="containsText" text="m2">
      <formula>NOT(ISERROR(SEARCH("m2",D977)))</formula>
    </cfRule>
  </conditionalFormatting>
  <conditionalFormatting sqref="D973:D974">
    <cfRule type="containsText" dxfId="336" priority="738" operator="containsText" text="m2">
      <formula>NOT(ISERROR(SEARCH("m2",D973)))</formula>
    </cfRule>
  </conditionalFormatting>
  <conditionalFormatting sqref="D978:D980">
    <cfRule type="containsText" dxfId="335" priority="735" operator="containsText" text="m2">
      <formula>NOT(ISERROR(SEARCH("m2",D978)))</formula>
    </cfRule>
  </conditionalFormatting>
  <conditionalFormatting sqref="D977">
    <cfRule type="containsText" dxfId="334" priority="736" operator="containsText" text="m2">
      <formula>NOT(ISERROR(SEARCH("m2",D977)))</formula>
    </cfRule>
  </conditionalFormatting>
  <conditionalFormatting sqref="D978:D980">
    <cfRule type="containsText" dxfId="333" priority="734" operator="containsText" text="m2">
      <formula>NOT(ISERROR(SEARCH("m2",D978)))</formula>
    </cfRule>
  </conditionalFormatting>
  <conditionalFormatting sqref="D991:D993">
    <cfRule type="containsText" dxfId="332" priority="719" operator="containsText" text="m2">
      <formula>NOT(ISERROR(SEARCH("m2",D991)))</formula>
    </cfRule>
  </conditionalFormatting>
  <conditionalFormatting sqref="D991:D993">
    <cfRule type="containsText" dxfId="331" priority="718" operator="containsText" text="m2">
      <formula>NOT(ISERROR(SEARCH("m2",D991)))</formula>
    </cfRule>
  </conditionalFormatting>
  <conditionalFormatting sqref="D985:D986">
    <cfRule type="containsText" dxfId="330" priority="727" operator="containsText" text="m2">
      <formula>NOT(ISERROR(SEARCH("m2",D985)))</formula>
    </cfRule>
  </conditionalFormatting>
  <conditionalFormatting sqref="D972">
    <cfRule type="containsText" dxfId="329" priority="728" operator="containsText" text="m2">
      <formula>NOT(ISERROR(SEARCH("m2",D972)))</formula>
    </cfRule>
  </conditionalFormatting>
  <conditionalFormatting sqref="D985:D986">
    <cfRule type="containsText" dxfId="328" priority="726" operator="containsText" text="m2">
      <formula>NOT(ISERROR(SEARCH("m2",D985)))</formula>
    </cfRule>
  </conditionalFormatting>
  <conditionalFormatting sqref="D1012">
    <cfRule type="containsText" dxfId="327" priority="702" operator="containsText" text="m2">
      <formula>NOT(ISERROR(SEARCH("m2",D1012)))</formula>
    </cfRule>
  </conditionalFormatting>
  <conditionalFormatting sqref="D1016">
    <cfRule type="containsText" dxfId="326" priority="699" operator="containsText" text="m2">
      <formula>NOT(ISERROR(SEARCH("m2",D1016)))</formula>
    </cfRule>
  </conditionalFormatting>
  <conditionalFormatting sqref="D987">
    <cfRule type="containsText" dxfId="325" priority="724" operator="containsText" text="m2">
      <formula>NOT(ISERROR(SEARCH("m2",D987)))</formula>
    </cfRule>
  </conditionalFormatting>
  <conditionalFormatting sqref="D1001">
    <cfRule type="containsText" dxfId="324" priority="709" operator="containsText" text="m2">
      <formula>NOT(ISERROR(SEARCH("m2",D1001)))</formula>
    </cfRule>
  </conditionalFormatting>
  <conditionalFormatting sqref="D1011 D1014">
    <cfRule type="containsText" dxfId="323" priority="708" operator="containsText" text="m2">
      <formula>NOT(ISERROR(SEARCH("m2",D1011)))</formula>
    </cfRule>
  </conditionalFormatting>
  <conditionalFormatting sqref="D1013">
    <cfRule type="containsText" dxfId="322" priority="701" operator="containsText" text="m2">
      <formula>NOT(ISERROR(SEARCH("m2",D1013)))</formula>
    </cfRule>
  </conditionalFormatting>
  <conditionalFormatting sqref="D1026">
    <cfRule type="containsText" dxfId="321" priority="692" operator="containsText" text="m2">
      <formula>NOT(ISERROR(SEARCH("m2",D1026)))</formula>
    </cfRule>
  </conditionalFormatting>
  <conditionalFormatting sqref="D1027">
    <cfRule type="containsText" dxfId="320" priority="691" operator="containsText" text="m2">
      <formula>NOT(ISERROR(SEARCH("m2",D1027)))</formula>
    </cfRule>
  </conditionalFormatting>
  <conditionalFormatting sqref="D1028">
    <cfRule type="containsText" dxfId="319" priority="690" operator="containsText" text="m2">
      <formula>NOT(ISERROR(SEARCH("m2",D1028)))</formula>
    </cfRule>
  </conditionalFormatting>
  <conditionalFormatting sqref="D1003:D1004">
    <cfRule type="containsText" dxfId="318" priority="706" operator="containsText" text="m2">
      <formula>NOT(ISERROR(SEARCH("m2",D1003)))</formula>
    </cfRule>
  </conditionalFormatting>
  <conditionalFormatting sqref="D1006:D1007">
    <cfRule type="containsText" dxfId="317" priority="705" operator="containsText" text="m2">
      <formula>NOT(ISERROR(SEARCH("m2",D1006)))</formula>
    </cfRule>
  </conditionalFormatting>
  <conditionalFormatting sqref="D1002 D1005 D1008">
    <cfRule type="containsText" dxfId="316" priority="707" operator="containsText" text="m2">
      <formula>NOT(ISERROR(SEARCH("m2",D1002)))</formula>
    </cfRule>
  </conditionalFormatting>
  <conditionalFormatting sqref="D1017">
    <cfRule type="containsText" dxfId="315" priority="698" operator="containsText" text="m2">
      <formula>NOT(ISERROR(SEARCH("m2",D1017)))</formula>
    </cfRule>
  </conditionalFormatting>
  <conditionalFormatting sqref="D1018">
    <cfRule type="containsText" dxfId="314" priority="697" operator="containsText" text="m2">
      <formula>NOT(ISERROR(SEARCH("m2",D1018)))</formula>
    </cfRule>
  </conditionalFormatting>
  <conditionalFormatting sqref="D1029">
    <cfRule type="containsText" dxfId="313" priority="693" operator="containsText" text="m2">
      <formula>NOT(ISERROR(SEARCH("m2",D1029)))</formula>
    </cfRule>
  </conditionalFormatting>
  <conditionalFormatting sqref="D733 D736 D739:D742">
    <cfRule type="containsText" dxfId="312" priority="839" operator="containsText" text="m2">
      <formula>NOT(ISERROR(SEARCH("m2",D733)))</formula>
    </cfRule>
  </conditionalFormatting>
  <conditionalFormatting sqref="D1043:D1044">
    <cfRule type="containsText" dxfId="311" priority="681" operator="containsText" text="m2">
      <formula>NOT(ISERROR(SEARCH("m2",D1043)))</formula>
    </cfRule>
  </conditionalFormatting>
  <conditionalFormatting sqref="D743:D744">
    <cfRule type="containsText" dxfId="310" priority="829" operator="containsText" text="m2">
      <formula>NOT(ISERROR(SEARCH("m2",D743)))</formula>
    </cfRule>
  </conditionalFormatting>
  <conditionalFormatting sqref="D748:D750">
    <cfRule type="containsText" dxfId="309" priority="828" operator="containsText" text="m2">
      <formula>NOT(ISERROR(SEARCH("m2",D748)))</formula>
    </cfRule>
  </conditionalFormatting>
  <conditionalFormatting sqref="D1061:D1062">
    <cfRule type="containsText" dxfId="308" priority="677" operator="containsText" text="m2">
      <formula>NOT(ISERROR(SEARCH("m2",D1061)))</formula>
    </cfRule>
  </conditionalFormatting>
  <conditionalFormatting sqref="D1042 D1045 D1048:D1051 D1054:D1057">
    <cfRule type="containsText" dxfId="307" priority="689" operator="containsText" text="m2">
      <formula>NOT(ISERROR(SEARCH("m2",D1042)))</formula>
    </cfRule>
  </conditionalFormatting>
  <conditionalFormatting sqref="D1058:D1060">
    <cfRule type="containsText" dxfId="306" priority="678" operator="containsText" text="m2">
      <formula>NOT(ISERROR(SEARCH("m2",D1058)))</formula>
    </cfRule>
  </conditionalFormatting>
  <conditionalFormatting sqref="D960">
    <cfRule type="containsText" dxfId="305" priority="747" operator="containsText" text="m2">
      <formula>NOT(ISERROR(SEARCH("m2",D960)))</formula>
    </cfRule>
  </conditionalFormatting>
  <conditionalFormatting sqref="D960">
    <cfRule type="containsText" dxfId="304" priority="748" operator="containsText" text="m2">
      <formula>NOT(ISERROR(SEARCH("m2",D960)))</formula>
    </cfRule>
  </conditionalFormatting>
  <conditionalFormatting sqref="D981">
    <cfRule type="containsText" dxfId="303" priority="733" operator="containsText" text="m2">
      <formula>NOT(ISERROR(SEARCH("m2",D981)))</formula>
    </cfRule>
  </conditionalFormatting>
  <conditionalFormatting sqref="D983">
    <cfRule type="containsText" dxfId="302" priority="732" operator="containsText" text="m2">
      <formula>NOT(ISERROR(SEARCH("m2",D983)))</formula>
    </cfRule>
  </conditionalFormatting>
  <conditionalFormatting sqref="D983">
    <cfRule type="containsText" dxfId="301" priority="731" operator="containsText" text="m2">
      <formula>NOT(ISERROR(SEARCH("m2",D983)))</formula>
    </cfRule>
  </conditionalFormatting>
  <conditionalFormatting sqref="D981">
    <cfRule type="containsText" dxfId="300" priority="730" operator="containsText" text="m2">
      <formula>NOT(ISERROR(SEARCH("m2",D981)))</formula>
    </cfRule>
  </conditionalFormatting>
  <conditionalFormatting sqref="D998:D999">
    <cfRule type="containsText" dxfId="299" priority="712" operator="containsText" text="m2">
      <formula>NOT(ISERROR(SEARCH("m2",D998)))</formula>
    </cfRule>
  </conditionalFormatting>
  <conditionalFormatting sqref="D998:D999">
    <cfRule type="containsText" dxfId="298" priority="713" operator="containsText" text="m2">
      <formula>NOT(ISERROR(SEARCH("m2",D998)))</formula>
    </cfRule>
  </conditionalFormatting>
  <conditionalFormatting sqref="D995:D996">
    <cfRule type="containsText" dxfId="297" priority="715" operator="containsText" text="m2">
      <formula>NOT(ISERROR(SEARCH("m2",D995)))</formula>
    </cfRule>
  </conditionalFormatting>
  <conditionalFormatting sqref="D990:D993">
    <cfRule type="containsText" dxfId="296" priority="721" operator="containsText" text="m2">
      <formula>NOT(ISERROR(SEARCH("m2",D990)))</formula>
    </cfRule>
  </conditionalFormatting>
  <conditionalFormatting sqref="D990">
    <cfRule type="containsText" dxfId="295" priority="720" operator="containsText" text="m2">
      <formula>NOT(ISERROR(SEARCH("m2",D990)))</formula>
    </cfRule>
  </conditionalFormatting>
  <conditionalFormatting sqref="D995:D996">
    <cfRule type="containsText" dxfId="294" priority="714" operator="containsText" text="m2">
      <formula>NOT(ISERROR(SEARCH("m2",D995)))</formula>
    </cfRule>
  </conditionalFormatting>
  <conditionalFormatting sqref="D998:D999">
    <cfRule type="containsText" dxfId="293" priority="711" operator="containsText" text="m2">
      <formula>NOT(ISERROR(SEARCH("m2",D998)))</formula>
    </cfRule>
  </conditionalFormatting>
  <conditionalFormatting sqref="D1009">
    <cfRule type="containsText" dxfId="292" priority="704" operator="containsText" text="m2">
      <formula>NOT(ISERROR(SEARCH("m2",D1009)))</formula>
    </cfRule>
  </conditionalFormatting>
  <conditionalFormatting sqref="D1010">
    <cfRule type="containsText" dxfId="291" priority="703" operator="containsText" text="m2">
      <formula>NOT(ISERROR(SEARCH("m2",D1010)))</formula>
    </cfRule>
  </conditionalFormatting>
  <conditionalFormatting sqref="D988:D989">
    <cfRule type="containsText" dxfId="290" priority="722" operator="containsText" text="m2">
      <formula>NOT(ISERROR(SEARCH("m2",D988)))</formula>
    </cfRule>
  </conditionalFormatting>
  <conditionalFormatting sqref="D988:D989">
    <cfRule type="containsText" dxfId="289" priority="723" operator="containsText" text="m2">
      <formula>NOT(ISERROR(SEARCH("m2",D988)))</formula>
    </cfRule>
  </conditionalFormatting>
  <conditionalFormatting sqref="D995:D996">
    <cfRule type="containsText" dxfId="288" priority="716" operator="containsText" text="m2">
      <formula>NOT(ISERROR(SEARCH("m2",D995)))</formula>
    </cfRule>
  </conditionalFormatting>
  <conditionalFormatting sqref="D1000">
    <cfRule type="containsText" dxfId="287" priority="710" operator="containsText" text="m2">
      <formula>NOT(ISERROR(SEARCH("m2",D1000)))</formula>
    </cfRule>
  </conditionalFormatting>
  <conditionalFormatting sqref="D1015">
    <cfRule type="containsText" dxfId="286" priority="700" operator="containsText" text="m2">
      <formula>NOT(ISERROR(SEARCH("m2",D1015)))</formula>
    </cfRule>
  </conditionalFormatting>
  <conditionalFormatting sqref="D1024">
    <cfRule type="containsText" dxfId="285" priority="695" operator="containsText" text="m2">
      <formula>NOT(ISERROR(SEARCH("m2",D1024)))</formula>
    </cfRule>
  </conditionalFormatting>
  <conditionalFormatting sqref="D1025">
    <cfRule type="containsText" dxfId="284" priority="694" operator="containsText" text="m2">
      <formula>NOT(ISERROR(SEARCH("m2",D1025)))</formula>
    </cfRule>
  </conditionalFormatting>
  <conditionalFormatting sqref="D1023">
    <cfRule type="containsText" dxfId="283" priority="696" operator="containsText" text="m2">
      <formula>NOT(ISERROR(SEARCH("m2",D1023)))</formula>
    </cfRule>
  </conditionalFormatting>
  <conditionalFormatting sqref="D976">
    <cfRule type="containsText" dxfId="282" priority="687" operator="containsText" text="m2">
      <formula>NOT(ISERROR(SEARCH("m2",D976)))</formula>
    </cfRule>
  </conditionalFormatting>
  <conditionalFormatting sqref="D976">
    <cfRule type="containsText" dxfId="281" priority="688" operator="containsText" text="m2">
      <formula>NOT(ISERROR(SEARCH("m2",D976)))</formula>
    </cfRule>
  </conditionalFormatting>
  <conditionalFormatting sqref="D975">
    <cfRule type="containsText" dxfId="280" priority="686" operator="containsText" text="m2">
      <formula>NOT(ISERROR(SEARCH("m2",D975)))</formula>
    </cfRule>
  </conditionalFormatting>
  <conditionalFormatting sqref="D982">
    <cfRule type="containsText" dxfId="279" priority="684" operator="containsText" text="m2">
      <formula>NOT(ISERROR(SEARCH("m2",D982)))</formula>
    </cfRule>
  </conditionalFormatting>
  <conditionalFormatting sqref="D975">
    <cfRule type="containsText" dxfId="278" priority="685" operator="containsText" text="m2">
      <formula>NOT(ISERROR(SEARCH("m2",D975)))</formula>
    </cfRule>
  </conditionalFormatting>
  <conditionalFormatting sqref="D982">
    <cfRule type="containsText" dxfId="277" priority="683" operator="containsText" text="m2">
      <formula>NOT(ISERROR(SEARCH("m2",D982)))</formula>
    </cfRule>
  </conditionalFormatting>
  <conditionalFormatting sqref="D1040:D1041">
    <cfRule type="containsText" dxfId="276" priority="682" operator="containsText" text="m2">
      <formula>NOT(ISERROR(SEARCH("m2",D1040)))</formula>
    </cfRule>
  </conditionalFormatting>
  <conditionalFormatting sqref="D1046:D1047">
    <cfRule type="containsText" dxfId="275" priority="680" operator="containsText" text="m2">
      <formula>NOT(ISERROR(SEARCH("m2",D1046)))</formula>
    </cfRule>
  </conditionalFormatting>
  <conditionalFormatting sqref="D1052:D1053">
    <cfRule type="containsText" dxfId="274" priority="679" operator="containsText" text="m2">
      <formula>NOT(ISERROR(SEARCH("m2",D1052)))</formula>
    </cfRule>
  </conditionalFormatting>
  <conditionalFormatting sqref="D761:D772">
    <cfRule type="containsText" dxfId="273" priority="451" operator="containsText" text="m2">
      <formula>NOT(ISERROR(SEARCH("m2",D761)))</formula>
    </cfRule>
  </conditionalFormatting>
  <conditionalFormatting sqref="D775:D776">
    <cfRule type="containsText" dxfId="272" priority="447" operator="containsText" text="m2">
      <formula>NOT(ISERROR(SEARCH("m2",D775)))</formula>
    </cfRule>
  </conditionalFormatting>
  <conditionalFormatting sqref="D777:D778">
    <cfRule type="containsText" dxfId="271" priority="448" operator="containsText" text="m2">
      <formula>NOT(ISERROR(SEARCH("m2",D777)))</formula>
    </cfRule>
  </conditionalFormatting>
  <conditionalFormatting sqref="D753:D756">
    <cfRule type="containsText" dxfId="270" priority="433" operator="containsText" text="m2">
      <formula>NOT(ISERROR(SEARCH("m2",D753)))</formula>
    </cfRule>
  </conditionalFormatting>
  <conditionalFormatting sqref="D789:D792">
    <cfRule type="containsText" dxfId="269" priority="432" operator="containsText" text="m2">
      <formula>NOT(ISERROR(SEARCH("m2",D789)))</formula>
    </cfRule>
  </conditionalFormatting>
  <conditionalFormatting sqref="D843:D846">
    <cfRule type="containsText" dxfId="268" priority="431" operator="containsText" text="m2">
      <formula>NOT(ISERROR(SEARCH("m2",D843)))</formula>
    </cfRule>
  </conditionalFormatting>
  <conditionalFormatting sqref="D479">
    <cfRule type="containsText" dxfId="267" priority="430" operator="containsText" text="m2">
      <formula>NOT(ISERROR(SEARCH("m2",D479)))</formula>
    </cfRule>
  </conditionalFormatting>
  <conditionalFormatting sqref="D1063:D1066">
    <cfRule type="containsText" dxfId="266" priority="412" operator="containsText" text="m2">
      <formula>NOT(ISERROR(SEARCH("m2",D1063)))</formula>
    </cfRule>
  </conditionalFormatting>
  <conditionalFormatting sqref="D1362:D1371">
    <cfRule type="containsText" dxfId="265" priority="421" operator="containsText" text="m2">
      <formula>NOT(ISERROR(SEARCH("m2",D1362)))</formula>
    </cfRule>
  </conditionalFormatting>
  <conditionalFormatting sqref="D1372:D1377 D1379:D1381">
    <cfRule type="containsText" dxfId="264" priority="420" operator="containsText" text="m2">
      <formula>NOT(ISERROR(SEARCH("m2",D1372)))</formula>
    </cfRule>
  </conditionalFormatting>
  <conditionalFormatting sqref="D1349:D1360">
    <cfRule type="containsText" dxfId="263" priority="422" operator="containsText" text="m2">
      <formula>NOT(ISERROR(SEARCH("m2",D1349)))</formula>
    </cfRule>
  </conditionalFormatting>
  <conditionalFormatting sqref="D1326">
    <cfRule type="containsText" dxfId="262" priority="423" operator="containsText" text="m2">
      <formula>NOT(ISERROR(SEARCH("m2",D1326)))</formula>
    </cfRule>
  </conditionalFormatting>
  <conditionalFormatting sqref="D797">
    <cfRule type="containsText" dxfId="261" priority="416" operator="containsText" text="m2">
      <formula>NOT(ISERROR(SEARCH("m2",D797)))</formula>
    </cfRule>
  </conditionalFormatting>
  <conditionalFormatting sqref="D253">
    <cfRule type="containsText" dxfId="260" priority="410" operator="containsText" text="m2">
      <formula>NOT(ISERROR(SEARCH("m2",D253)))</formula>
    </cfRule>
  </conditionalFormatting>
  <conditionalFormatting sqref="D168:D174">
    <cfRule type="containsText" dxfId="259" priority="442" operator="containsText" text="m2">
      <formula>NOT(ISERROR(SEARCH("m2",D168)))</formula>
    </cfRule>
  </conditionalFormatting>
  <conditionalFormatting sqref="D773:D774">
    <cfRule type="containsText" dxfId="258" priority="450" operator="containsText" text="m2">
      <formula>NOT(ISERROR(SEARCH("m2",D773)))</formula>
    </cfRule>
  </conditionalFormatting>
  <conditionalFormatting sqref="D1327">
    <cfRule type="containsText" dxfId="257" priority="426" operator="containsText" text="m2">
      <formula>NOT(ISERROR(SEARCH("m2",D1327)))</formula>
    </cfRule>
  </conditionalFormatting>
  <conditionalFormatting sqref="D839:D841 D850:D856">
    <cfRule type="containsText" dxfId="256" priority="446" operator="containsText" text="m2">
      <formula>NOT(ISERROR(SEARCH("m2",D839)))</formula>
    </cfRule>
  </conditionalFormatting>
  <conditionalFormatting sqref="D162">
    <cfRule type="containsText" dxfId="255" priority="445" operator="containsText" text="m2">
      <formula>NOT(ISERROR(SEARCH("m2",D162)))</formula>
    </cfRule>
  </conditionalFormatting>
  <conditionalFormatting sqref="D163:D165">
    <cfRule type="containsText" dxfId="254" priority="444" operator="containsText" text="m2">
      <formula>NOT(ISERROR(SEARCH("m2",D163)))</formula>
    </cfRule>
  </conditionalFormatting>
  <conditionalFormatting sqref="D757">
    <cfRule type="containsText" dxfId="253" priority="418" operator="containsText" text="m2">
      <formula>NOT(ISERROR(SEARCH("m2",D757)))</formula>
    </cfRule>
  </conditionalFormatting>
  <conditionalFormatting sqref="D857">
    <cfRule type="containsText" dxfId="252" priority="440" operator="containsText" text="m2">
      <formula>NOT(ISERROR(SEARCH("m2",D857)))</formula>
    </cfRule>
  </conditionalFormatting>
  <conditionalFormatting sqref="D842">
    <cfRule type="containsText" dxfId="251" priority="441" operator="containsText" text="m2">
      <formula>NOT(ISERROR(SEARCH("m2",D842)))</formula>
    </cfRule>
  </conditionalFormatting>
  <conditionalFormatting sqref="D808:D810">
    <cfRule type="containsText" dxfId="250" priority="438" operator="containsText" text="m2">
      <formula>NOT(ISERROR(SEARCH("m2",D808)))</formula>
    </cfRule>
  </conditionalFormatting>
  <conditionalFormatting sqref="D804:D806">
    <cfRule type="containsText" dxfId="249" priority="439" operator="containsText" text="m2">
      <formula>NOT(ISERROR(SEARCH("m2",D804)))</formula>
    </cfRule>
  </conditionalFormatting>
  <conditionalFormatting sqref="D590">
    <cfRule type="containsText" dxfId="248" priority="419" operator="containsText" text="m2">
      <formula>NOT(ISERROR(SEARCH("m2",D590)))</formula>
    </cfRule>
  </conditionalFormatting>
  <conditionalFormatting sqref="D481:D482">
    <cfRule type="containsText" dxfId="247" priority="429" operator="containsText" text="m2">
      <formula>NOT(ISERROR(SEARCH("m2",D481)))</formula>
    </cfRule>
  </conditionalFormatting>
  <conditionalFormatting sqref="D1318">
    <cfRule type="containsText" dxfId="246" priority="427" operator="containsText" text="m2">
      <formula>NOT(ISERROR(SEARCH("m2",D1318)))</formula>
    </cfRule>
  </conditionalFormatting>
  <conditionalFormatting sqref="D591">
    <cfRule type="containsText" dxfId="245" priority="404" operator="containsText" text="m2">
      <formula>NOT(ISERROR(SEARCH("m2",D591)))</formula>
    </cfRule>
  </conditionalFormatting>
  <conditionalFormatting sqref="D592:D593">
    <cfRule type="containsText" dxfId="244" priority="403" operator="containsText" text="m2">
      <formula>NOT(ISERROR(SEARCH("m2",D592)))</formula>
    </cfRule>
  </conditionalFormatting>
  <conditionalFormatting sqref="D592:D593">
    <cfRule type="containsText" dxfId="243" priority="402" operator="containsText" text="m2">
      <formula>NOT(ISERROR(SEARCH("m2",D592)))</formula>
    </cfRule>
  </conditionalFormatting>
  <conditionalFormatting sqref="D794:D795">
    <cfRule type="containsText" dxfId="242" priority="399" operator="containsText" text="m2">
      <formula>NOT(ISERROR(SEARCH("m2",D794)))</formula>
    </cfRule>
  </conditionalFormatting>
  <conditionalFormatting sqref="D1328:D1334">
    <cfRule type="containsText" dxfId="241" priority="425" operator="containsText" text="m2">
      <formula>NOT(ISERROR(SEARCH("m2",D1328)))</formula>
    </cfRule>
  </conditionalFormatting>
  <conditionalFormatting sqref="D1335:D1337">
    <cfRule type="containsText" dxfId="240" priority="424" operator="containsText" text="m2">
      <formula>NOT(ISERROR(SEARCH("m2",D1335)))</formula>
    </cfRule>
  </conditionalFormatting>
  <conditionalFormatting sqref="D423:D424 D426">
    <cfRule type="containsText" dxfId="239" priority="408" operator="containsText" text="m2">
      <formula>NOT(ISERROR(SEARCH("m2",D423)))</formula>
    </cfRule>
  </conditionalFormatting>
  <conditionalFormatting sqref="D793">
    <cfRule type="containsText" dxfId="238" priority="417" operator="containsText" text="m2">
      <formula>NOT(ISERROR(SEARCH("m2",D793)))</formula>
    </cfRule>
  </conditionalFormatting>
  <conditionalFormatting sqref="D365:D375">
    <cfRule type="containsText" dxfId="237" priority="406" operator="containsText" text="m2">
      <formula>NOT(ISERROR(SEARCH("m2",D365)))</formula>
    </cfRule>
  </conditionalFormatting>
  <conditionalFormatting sqref="D591">
    <cfRule type="containsText" dxfId="236" priority="405" operator="containsText" text="m2">
      <formula>NOT(ISERROR(SEARCH("m2",D591)))</formula>
    </cfRule>
  </conditionalFormatting>
  <conditionalFormatting sqref="D847:D848">
    <cfRule type="containsText" dxfId="235" priority="395" operator="containsText" text="m2">
      <formula>NOT(ISERROR(SEARCH("m2",D847)))</formula>
    </cfRule>
  </conditionalFormatting>
  <conditionalFormatting sqref="D339:D363">
    <cfRule type="containsText" dxfId="234" priority="407" operator="containsText" text="m2">
      <formula>NOT(ISERROR(SEARCH("m2",D339)))</formula>
    </cfRule>
  </conditionalFormatting>
  <conditionalFormatting sqref="D847:D848">
    <cfRule type="containsText" dxfId="233" priority="394" operator="containsText" text="m2">
      <formula>NOT(ISERROR(SEARCH("m2",D847)))</formula>
    </cfRule>
  </conditionalFormatting>
  <conditionalFormatting sqref="D794:D795">
    <cfRule type="containsText" dxfId="232" priority="398" operator="containsText" text="m2">
      <formula>NOT(ISERROR(SEARCH("m2",D794)))</formula>
    </cfRule>
  </conditionalFormatting>
  <conditionalFormatting sqref="D798:D800">
    <cfRule type="containsText" dxfId="231" priority="397" operator="containsText" text="m2">
      <formula>NOT(ISERROR(SEARCH("m2",D798)))</formula>
    </cfRule>
  </conditionalFormatting>
  <conditionalFormatting sqref="D798:D800">
    <cfRule type="containsText" dxfId="230" priority="396" operator="containsText" text="m2">
      <formula>NOT(ISERROR(SEARCH("m2",D798)))</formula>
    </cfRule>
  </conditionalFormatting>
  <conditionalFormatting sqref="D158:D161">
    <cfRule type="containsText" dxfId="229" priority="452" operator="containsText" text="m2">
      <formula>NOT(ISERROR(SEARCH("m2",D158)))</formula>
    </cfRule>
  </conditionalFormatting>
  <conditionalFormatting sqref="D595:D608">
    <cfRule type="containsText" dxfId="228" priority="382" operator="containsText" text="m2">
      <formula>NOT(ISERROR(SEARCH("m2",D595)))</formula>
    </cfRule>
  </conditionalFormatting>
  <conditionalFormatting sqref="D1378">
    <cfRule type="containsText" dxfId="227" priority="379" operator="containsText" text="m2">
      <formula>NOT(ISERROR(SEARCH("m2",D1378)))</formula>
    </cfRule>
  </conditionalFormatting>
  <conditionalFormatting sqref="D894">
    <cfRule type="containsText" dxfId="226" priority="340" operator="containsText" text="m2">
      <formula>NOT(ISERROR(SEARCH("m2",D894)))</formula>
    </cfRule>
  </conditionalFormatting>
  <conditionalFormatting sqref="D894">
    <cfRule type="containsText" dxfId="225" priority="339" operator="containsText" text="m2">
      <formula>NOT(ISERROR(SEARCH("m2",D894)))</formula>
    </cfRule>
  </conditionalFormatting>
  <conditionalFormatting sqref="D915">
    <cfRule type="containsText" dxfId="224" priority="305" operator="containsText" text="m2">
      <formula>NOT(ISERROR(SEARCH("m2",D915)))</formula>
    </cfRule>
  </conditionalFormatting>
  <conditionalFormatting sqref="D932:D933">
    <cfRule type="containsText" dxfId="223" priority="284" operator="containsText" text="m2">
      <formula>NOT(ISERROR(SEARCH("m2",D932)))</formula>
    </cfRule>
  </conditionalFormatting>
  <conditionalFormatting sqref="D644:D645 D647:D648">
    <cfRule type="containsText" dxfId="222" priority="356" operator="containsText" text="m2">
      <formula>NOT(ISERROR(SEARCH("m2",D644)))</formula>
    </cfRule>
  </conditionalFormatting>
  <conditionalFormatting sqref="D823:D837">
    <cfRule type="containsText" dxfId="221" priority="355" operator="containsText" text="m2">
      <formula>NOT(ISERROR(SEARCH("m2",D823)))</formula>
    </cfRule>
  </conditionalFormatting>
  <conditionalFormatting sqref="D898 D880 D920">
    <cfRule type="containsText" dxfId="220" priority="354" operator="containsText" text="m2">
      <formula>NOT(ISERROR(SEARCH("m2",D880)))</formula>
    </cfRule>
  </conditionalFormatting>
  <conditionalFormatting sqref="D889:D890">
    <cfRule type="containsText" dxfId="219" priority="345" operator="containsText" text="m2">
      <formula>NOT(ISERROR(SEARCH("m2",D889)))</formula>
    </cfRule>
  </conditionalFormatting>
  <conditionalFormatting sqref="D881:D883">
    <cfRule type="containsText" dxfId="218" priority="353" operator="containsText" text="m2">
      <formula>NOT(ISERROR(SEARCH("m2",D881)))</formula>
    </cfRule>
  </conditionalFormatting>
  <conditionalFormatting sqref="D881:D883">
    <cfRule type="containsText" dxfId="217" priority="352" operator="containsText" text="m2">
      <formula>NOT(ISERROR(SEARCH("m2",D881)))</formula>
    </cfRule>
  </conditionalFormatting>
  <conditionalFormatting sqref="D899:D900">
    <cfRule type="containsText" dxfId="216" priority="329" operator="containsText" text="m2">
      <formula>NOT(ISERROR(SEARCH("m2",D899)))</formula>
    </cfRule>
  </conditionalFormatting>
  <conditionalFormatting sqref="D888">
    <cfRule type="containsText" dxfId="215" priority="346" operator="containsText" text="m2">
      <formula>NOT(ISERROR(SEARCH("m2",D888)))</formula>
    </cfRule>
  </conditionalFormatting>
  <conditionalFormatting sqref="D887">
    <cfRule type="containsText" dxfId="214" priority="349" operator="containsText" text="m2">
      <formula>NOT(ISERROR(SEARCH("m2",D887)))</formula>
    </cfRule>
  </conditionalFormatting>
  <conditionalFormatting sqref="D887">
    <cfRule type="containsText" dxfId="213" priority="348" operator="containsText" text="m2">
      <formula>NOT(ISERROR(SEARCH("m2",D887)))</formula>
    </cfRule>
  </conditionalFormatting>
  <conditionalFormatting sqref="D888">
    <cfRule type="containsText" dxfId="212" priority="347" operator="containsText" text="m2">
      <formula>NOT(ISERROR(SEARCH("m2",D888)))</formula>
    </cfRule>
  </conditionalFormatting>
  <conditionalFormatting sqref="D902:D904">
    <cfRule type="containsText" dxfId="211" priority="321" operator="containsText" text="m2">
      <formula>NOT(ISERROR(SEARCH("m2",D902)))</formula>
    </cfRule>
  </conditionalFormatting>
  <conditionalFormatting sqref="D891">
    <cfRule type="containsText" dxfId="210" priority="343" operator="containsText" text="m2">
      <formula>NOT(ISERROR(SEARCH("m2",D891)))</formula>
    </cfRule>
  </conditionalFormatting>
  <conditionalFormatting sqref="D891">
    <cfRule type="containsText" dxfId="209" priority="344" operator="containsText" text="m2">
      <formula>NOT(ISERROR(SEARCH("m2",D891)))</formula>
    </cfRule>
  </conditionalFormatting>
  <conditionalFormatting sqref="D893">
    <cfRule type="containsText" dxfId="208" priority="341" operator="containsText" text="m2">
      <formula>NOT(ISERROR(SEARCH("m2",D893)))</formula>
    </cfRule>
  </conditionalFormatting>
  <conditionalFormatting sqref="D895:D897">
    <cfRule type="containsText" dxfId="207" priority="338" operator="containsText" text="m2">
      <formula>NOT(ISERROR(SEARCH("m2",D895)))</formula>
    </cfRule>
  </conditionalFormatting>
  <conditionalFormatting sqref="D893">
    <cfRule type="containsText" dxfId="206" priority="342" operator="containsText" text="m2">
      <formula>NOT(ISERROR(SEARCH("m2",D893)))</formula>
    </cfRule>
  </conditionalFormatting>
  <conditionalFormatting sqref="D895:D897">
    <cfRule type="containsText" dxfId="205" priority="337" operator="containsText" text="m2">
      <formula>NOT(ISERROR(SEARCH("m2",D895)))</formula>
    </cfRule>
  </conditionalFormatting>
  <conditionalFormatting sqref="D902:D904">
    <cfRule type="containsText" dxfId="204" priority="322" operator="containsText" text="m2">
      <formula>NOT(ISERROR(SEARCH("m2",D902)))</formula>
    </cfRule>
  </conditionalFormatting>
  <conditionalFormatting sqref="D892">
    <cfRule type="containsText" dxfId="203" priority="331" operator="containsText" text="m2">
      <formula>NOT(ISERROR(SEARCH("m2",D892)))</formula>
    </cfRule>
  </conditionalFormatting>
  <conditionalFormatting sqref="D892">
    <cfRule type="containsText" dxfId="202" priority="332" operator="containsText" text="m2">
      <formula>NOT(ISERROR(SEARCH("m2",D892)))</formula>
    </cfRule>
  </conditionalFormatting>
  <conditionalFormatting sqref="D899:D900">
    <cfRule type="containsText" dxfId="201" priority="330" operator="containsText" text="m2">
      <formula>NOT(ISERROR(SEARCH("m2",D899)))</formula>
    </cfRule>
  </conditionalFormatting>
  <conditionalFormatting sqref="D917">
    <cfRule type="containsText" dxfId="200" priority="302" operator="containsText" text="m2">
      <formula>NOT(ISERROR(SEARCH("m2",D917)))</formula>
    </cfRule>
  </conditionalFormatting>
  <conditionalFormatting sqref="D901">
    <cfRule type="containsText" dxfId="199" priority="328" operator="containsText" text="m2">
      <formula>NOT(ISERROR(SEARCH("m2",D901)))</formula>
    </cfRule>
  </conditionalFormatting>
  <conditionalFormatting sqref="D901">
    <cfRule type="containsText" dxfId="198" priority="327" operator="containsText" text="m2">
      <formula>NOT(ISERROR(SEARCH("m2",D901)))</formula>
    </cfRule>
  </conditionalFormatting>
  <conditionalFormatting sqref="D906">
    <cfRule type="containsText" dxfId="197" priority="312" operator="containsText" text="m2">
      <formula>NOT(ISERROR(SEARCH("m2",D906)))</formula>
    </cfRule>
  </conditionalFormatting>
  <conditionalFormatting sqref="D914">
    <cfRule type="containsText" dxfId="196" priority="311" operator="containsText" text="m2">
      <formula>NOT(ISERROR(SEARCH("m2",D914)))</formula>
    </cfRule>
  </conditionalFormatting>
  <conditionalFormatting sqref="D905">
    <cfRule type="containsText" dxfId="195" priority="320" operator="containsText" text="m2">
      <formula>NOT(ISERROR(SEARCH("m2",D905)))</formula>
    </cfRule>
  </conditionalFormatting>
  <conditionalFormatting sqref="D916">
    <cfRule type="containsText" dxfId="194" priority="304" operator="containsText" text="m2">
      <formula>NOT(ISERROR(SEARCH("m2",D916)))</formula>
    </cfRule>
  </conditionalFormatting>
  <conditionalFormatting sqref="D921">
    <cfRule type="containsText" dxfId="193" priority="295" operator="containsText" text="m2">
      <formula>NOT(ISERROR(SEARCH("m2",D921)))</formula>
    </cfRule>
  </conditionalFormatting>
  <conditionalFormatting sqref="D922">
    <cfRule type="containsText" dxfId="192" priority="294" operator="containsText" text="m2">
      <formula>NOT(ISERROR(SEARCH("m2",D922)))</formula>
    </cfRule>
  </conditionalFormatting>
  <conditionalFormatting sqref="D923">
    <cfRule type="containsText" dxfId="191" priority="293" operator="containsText" text="m2">
      <formula>NOT(ISERROR(SEARCH("m2",D923)))</formula>
    </cfRule>
  </conditionalFormatting>
  <conditionalFormatting sqref="D908 D910">
    <cfRule type="containsText" dxfId="190" priority="309" operator="containsText" text="m2">
      <formula>NOT(ISERROR(SEARCH("m2",D908)))</formula>
    </cfRule>
  </conditionalFormatting>
  <conditionalFormatting sqref="D912">
    <cfRule type="containsText" dxfId="189" priority="308" operator="containsText" text="m2">
      <formula>NOT(ISERROR(SEARCH("m2",D912)))</formula>
    </cfRule>
  </conditionalFormatting>
  <conditionalFormatting sqref="D907 D911">
    <cfRule type="containsText" dxfId="188" priority="310" operator="containsText" text="m2">
      <formula>NOT(ISERROR(SEARCH("m2",D907)))</formula>
    </cfRule>
  </conditionalFormatting>
  <conditionalFormatting sqref="D918">
    <cfRule type="containsText" dxfId="187" priority="301" operator="containsText" text="m2">
      <formula>NOT(ISERROR(SEARCH("m2",D918)))</formula>
    </cfRule>
  </conditionalFormatting>
  <conditionalFormatting sqref="D919">
    <cfRule type="containsText" dxfId="186" priority="300" operator="containsText" text="m2">
      <formula>NOT(ISERROR(SEARCH("m2",D919)))</formula>
    </cfRule>
  </conditionalFormatting>
  <conditionalFormatting sqref="D924">
    <cfRule type="containsText" dxfId="185" priority="296" operator="containsText" text="m2">
      <formula>NOT(ISERROR(SEARCH("m2",D924)))</formula>
    </cfRule>
  </conditionalFormatting>
  <conditionalFormatting sqref="D931 D934:D936">
    <cfRule type="containsText" dxfId="184" priority="292" operator="containsText" text="m2">
      <formula>NOT(ISERROR(SEARCH("m2",D931)))</formula>
    </cfRule>
  </conditionalFormatting>
  <conditionalFormatting sqref="D938:D939">
    <cfRule type="containsText" dxfId="183" priority="281" operator="containsText" text="m2">
      <formula>NOT(ISERROR(SEARCH("m2",D938)))</formula>
    </cfRule>
  </conditionalFormatting>
  <conditionalFormatting sqref="D1093 D1079:D1081">
    <cfRule type="containsText" dxfId="182" priority="279" operator="containsText" text="m2">
      <formula>NOT(ISERROR(SEARCH("m2",D1079)))</formula>
    </cfRule>
  </conditionalFormatting>
  <conditionalFormatting sqref="D1078">
    <cfRule type="containsText" dxfId="181" priority="275" operator="containsText" text="m2">
      <formula>NOT(ISERROR(SEARCH("m2",D1078)))</formula>
    </cfRule>
  </conditionalFormatting>
  <conditionalFormatting sqref="D1078">
    <cfRule type="containsText" dxfId="180" priority="276" operator="containsText" text="m2">
      <formula>NOT(ISERROR(SEARCH("m2",D1078)))</formula>
    </cfRule>
  </conditionalFormatting>
  <conditionalFormatting sqref="D1085">
    <cfRule type="containsText" dxfId="179" priority="261" operator="containsText" text="m2">
      <formula>NOT(ISERROR(SEARCH("m2",D1085)))</formula>
    </cfRule>
  </conditionalFormatting>
  <conditionalFormatting sqref="D1087">
    <cfRule type="containsText" dxfId="178" priority="260" operator="containsText" text="m2">
      <formula>NOT(ISERROR(SEARCH("m2",D1087)))</formula>
    </cfRule>
  </conditionalFormatting>
  <conditionalFormatting sqref="D1087">
    <cfRule type="containsText" dxfId="177" priority="259" operator="containsText" text="m2">
      <formula>NOT(ISERROR(SEARCH("m2",D1087)))</formula>
    </cfRule>
  </conditionalFormatting>
  <conditionalFormatting sqref="D1085">
    <cfRule type="containsText" dxfId="176" priority="258" operator="containsText" text="m2">
      <formula>NOT(ISERROR(SEARCH("m2",D1085)))</formula>
    </cfRule>
  </conditionalFormatting>
  <conditionalFormatting sqref="D1094:D1095">
    <cfRule type="containsText" dxfId="175" priority="240" operator="containsText" text="m2">
      <formula>NOT(ISERROR(SEARCH("m2",D1094)))</formula>
    </cfRule>
  </conditionalFormatting>
  <conditionalFormatting sqref="D1094:D1095">
    <cfRule type="containsText" dxfId="174" priority="241" operator="containsText" text="m2">
      <formula>NOT(ISERROR(SEARCH("m2",D1094)))</formula>
    </cfRule>
  </conditionalFormatting>
  <conditionalFormatting sqref="D1091:D1092">
    <cfRule type="containsText" dxfId="173" priority="243" operator="containsText" text="m2">
      <formula>NOT(ISERROR(SEARCH("m2",D1091)))</formula>
    </cfRule>
  </conditionalFormatting>
  <conditionalFormatting sqref="D1090">
    <cfRule type="containsText" dxfId="172" priority="249" operator="containsText" text="m2">
      <formula>NOT(ISERROR(SEARCH("m2",D1090)))</formula>
    </cfRule>
  </conditionalFormatting>
  <conditionalFormatting sqref="D1090">
    <cfRule type="containsText" dxfId="171" priority="248" operator="containsText" text="m2">
      <formula>NOT(ISERROR(SEARCH("m2",D1090)))</formula>
    </cfRule>
  </conditionalFormatting>
  <conditionalFormatting sqref="D1091:D1092">
    <cfRule type="containsText" dxfId="170" priority="242" operator="containsText" text="m2">
      <formula>NOT(ISERROR(SEARCH("m2",D1091)))</formula>
    </cfRule>
  </conditionalFormatting>
  <conditionalFormatting sqref="D1094:D1095">
    <cfRule type="containsText" dxfId="169" priority="239" operator="containsText" text="m2">
      <formula>NOT(ISERROR(SEARCH("m2",D1094)))</formula>
    </cfRule>
  </conditionalFormatting>
  <conditionalFormatting sqref="D1099">
    <cfRule type="containsText" dxfId="168" priority="232" operator="containsText" text="m2">
      <formula>NOT(ISERROR(SEARCH("m2",D1099)))</formula>
    </cfRule>
  </conditionalFormatting>
  <conditionalFormatting sqref="D1100">
    <cfRule type="containsText" dxfId="167" priority="231" operator="containsText" text="m2">
      <formula>NOT(ISERROR(SEARCH("m2",D1100)))</formula>
    </cfRule>
  </conditionalFormatting>
  <conditionalFormatting sqref="D1088:D1089">
    <cfRule type="containsText" dxfId="166" priority="250" operator="containsText" text="m2">
      <formula>NOT(ISERROR(SEARCH("m2",D1088)))</formula>
    </cfRule>
  </conditionalFormatting>
  <conditionalFormatting sqref="D1088:D1089">
    <cfRule type="containsText" dxfId="165" priority="251" operator="containsText" text="m2">
      <formula>NOT(ISERROR(SEARCH("m2",D1088)))</formula>
    </cfRule>
  </conditionalFormatting>
  <conditionalFormatting sqref="D1101">
    <cfRule type="containsText" dxfId="164" priority="236" operator="containsText" text="m2">
      <formula>NOT(ISERROR(SEARCH("m2",D1101)))</formula>
    </cfRule>
  </conditionalFormatting>
  <conditionalFormatting sqref="D1091:D1092">
    <cfRule type="containsText" dxfId="163" priority="244" operator="containsText" text="m2">
      <formula>NOT(ISERROR(SEARCH("m2",D1091)))</formula>
    </cfRule>
  </conditionalFormatting>
  <conditionalFormatting sqref="D1096">
    <cfRule type="containsText" dxfId="162" priority="238" operator="containsText" text="m2">
      <formula>NOT(ISERROR(SEARCH("m2",D1096)))</formula>
    </cfRule>
  </conditionalFormatting>
  <conditionalFormatting sqref="D1102">
    <cfRule type="containsText" dxfId="161" priority="228" operator="containsText" text="m2">
      <formula>NOT(ISERROR(SEARCH("m2",D1102)))</formula>
    </cfRule>
  </conditionalFormatting>
  <conditionalFormatting sqref="D1107">
    <cfRule type="containsText" dxfId="160" priority="223" operator="containsText" text="m2">
      <formula>NOT(ISERROR(SEARCH("m2",D1107)))</formula>
    </cfRule>
  </conditionalFormatting>
  <conditionalFormatting sqref="D1098">
    <cfRule type="containsText" dxfId="159" priority="235" operator="containsText" text="m2">
      <formula>NOT(ISERROR(SEARCH("m2",D1098)))</formula>
    </cfRule>
  </conditionalFormatting>
  <conditionalFormatting sqref="D1108">
    <cfRule type="containsText" dxfId="158" priority="222" operator="containsText" text="m2">
      <formula>NOT(ISERROR(SEARCH("m2",D1108)))</formula>
    </cfRule>
  </conditionalFormatting>
  <conditionalFormatting sqref="D1106">
    <cfRule type="containsText" dxfId="157" priority="224" operator="containsText" text="m2">
      <formula>NOT(ISERROR(SEARCH("m2",D1106)))</formula>
    </cfRule>
  </conditionalFormatting>
  <conditionalFormatting sqref="D1118 D1124:D1126">
    <cfRule type="containsText" dxfId="156" priority="217" operator="containsText" text="m2">
      <formula>NOT(ISERROR(SEARCH("m2",D1118)))</formula>
    </cfRule>
  </conditionalFormatting>
  <conditionalFormatting sqref="D1084">
    <cfRule type="containsText" dxfId="155" priority="215" operator="containsText" text="m2">
      <formula>NOT(ISERROR(SEARCH("m2",D1084)))</formula>
    </cfRule>
  </conditionalFormatting>
  <conditionalFormatting sqref="D1084">
    <cfRule type="containsText" dxfId="154" priority="216" operator="containsText" text="m2">
      <formula>NOT(ISERROR(SEARCH("m2",D1084)))</formula>
    </cfRule>
  </conditionalFormatting>
  <conditionalFormatting sqref="D1083">
    <cfRule type="containsText" dxfId="153" priority="214" operator="containsText" text="m2">
      <formula>NOT(ISERROR(SEARCH("m2",D1083)))</formula>
    </cfRule>
  </conditionalFormatting>
  <conditionalFormatting sqref="D1086">
    <cfRule type="containsText" dxfId="152" priority="212" operator="containsText" text="m2">
      <formula>NOT(ISERROR(SEARCH("m2",D1086)))</formula>
    </cfRule>
  </conditionalFormatting>
  <conditionalFormatting sqref="D1083">
    <cfRule type="containsText" dxfId="151" priority="213" operator="containsText" text="m2">
      <formula>NOT(ISERROR(SEARCH("m2",D1083)))</formula>
    </cfRule>
  </conditionalFormatting>
  <conditionalFormatting sqref="D1128:D1129">
    <cfRule type="containsText" dxfId="150" priority="205" operator="containsText" text="m2">
      <formula>NOT(ISERROR(SEARCH("m2",D1128)))</formula>
    </cfRule>
  </conditionalFormatting>
  <conditionalFormatting sqref="D1086">
    <cfRule type="containsText" dxfId="149" priority="211" operator="containsText" text="m2">
      <formula>NOT(ISERROR(SEARCH("m2",D1086)))</formula>
    </cfRule>
  </conditionalFormatting>
  <conditionalFormatting sqref="D1116:D1117">
    <cfRule type="containsText" dxfId="148" priority="210" operator="containsText" text="m2">
      <formula>NOT(ISERROR(SEARCH("m2",D1116)))</formula>
    </cfRule>
  </conditionalFormatting>
  <conditionalFormatting sqref="D1119:D1120">
    <cfRule type="containsText" dxfId="147" priority="208" operator="containsText" text="m2">
      <formula>NOT(ISERROR(SEARCH("m2",D1119)))</formula>
    </cfRule>
  </conditionalFormatting>
  <conditionalFormatting sqref="D1122:D1123">
    <cfRule type="containsText" dxfId="146" priority="207" operator="containsText" text="m2">
      <formula>NOT(ISERROR(SEARCH("m2",D1122)))</formula>
    </cfRule>
  </conditionalFormatting>
  <conditionalFormatting sqref="D1165 D1178 D1137 D1142:D1147 D1200:D1203 D1211:D1220">
    <cfRule type="containsText" dxfId="145" priority="204" operator="containsText" text="m2">
      <formula>NOT(ISERROR(SEARCH("m2",D1137)))</formula>
    </cfRule>
  </conditionalFormatting>
  <conditionalFormatting sqref="D1150:D1151">
    <cfRule type="containsText" dxfId="144" priority="195" operator="containsText" text="m2">
      <formula>NOT(ISERROR(SEARCH("m2",D1150)))</formula>
    </cfRule>
  </conditionalFormatting>
  <conditionalFormatting sqref="D1138:D1140">
    <cfRule type="containsText" dxfId="143" priority="203" operator="containsText" text="m2">
      <formula>NOT(ISERROR(SEARCH("m2",D1138)))</formula>
    </cfRule>
  </conditionalFormatting>
  <conditionalFormatting sqref="D1138:D1140">
    <cfRule type="containsText" dxfId="142" priority="202" operator="containsText" text="m2">
      <formula>NOT(ISERROR(SEARCH("m2",D1138)))</formula>
    </cfRule>
  </conditionalFormatting>
  <conditionalFormatting sqref="D1166:D1167">
    <cfRule type="containsText" dxfId="141" priority="179" operator="containsText" text="m2">
      <formula>NOT(ISERROR(SEARCH("m2",D1166)))</formula>
    </cfRule>
  </conditionalFormatting>
  <conditionalFormatting sqref="D1141">
    <cfRule type="containsText" dxfId="140" priority="200" operator="containsText" text="m2">
      <formula>NOT(ISERROR(SEARCH("m2",D1141)))</formula>
    </cfRule>
  </conditionalFormatting>
  <conditionalFormatting sqref="D1149">
    <cfRule type="containsText" dxfId="139" priority="196" operator="containsText" text="m2">
      <formula>NOT(ISERROR(SEARCH("m2",D1149)))</formula>
    </cfRule>
  </conditionalFormatting>
  <conditionalFormatting sqref="D1141">
    <cfRule type="containsText" dxfId="138" priority="201" operator="containsText" text="m2">
      <formula>NOT(ISERROR(SEARCH("m2",D1141)))</formula>
    </cfRule>
  </conditionalFormatting>
  <conditionalFormatting sqref="D1148">
    <cfRule type="containsText" dxfId="137" priority="199" operator="containsText" text="m2">
      <formula>NOT(ISERROR(SEARCH("m2",D1148)))</formula>
    </cfRule>
  </conditionalFormatting>
  <conditionalFormatting sqref="D1148">
    <cfRule type="containsText" dxfId="136" priority="198" operator="containsText" text="m2">
      <formula>NOT(ISERROR(SEARCH("m2",D1148)))</formula>
    </cfRule>
  </conditionalFormatting>
  <conditionalFormatting sqref="D1149">
    <cfRule type="containsText" dxfId="135" priority="197" operator="containsText" text="m2">
      <formula>NOT(ISERROR(SEARCH("m2",D1149)))</formula>
    </cfRule>
  </conditionalFormatting>
  <conditionalFormatting sqref="D1162">
    <cfRule type="containsText" dxfId="134" priority="186" operator="containsText" text="m2">
      <formula>NOT(ISERROR(SEARCH("m2",D1162)))</formula>
    </cfRule>
  </conditionalFormatting>
  <conditionalFormatting sqref="D1164">
    <cfRule type="containsText" dxfId="133" priority="185" operator="containsText" text="m2">
      <formula>NOT(ISERROR(SEARCH("m2",D1164)))</formula>
    </cfRule>
  </conditionalFormatting>
  <conditionalFormatting sqref="D1164">
    <cfRule type="containsText" dxfId="132" priority="184" operator="containsText" text="m2">
      <formula>NOT(ISERROR(SEARCH("m2",D1164)))</formula>
    </cfRule>
  </conditionalFormatting>
  <conditionalFormatting sqref="D1162">
    <cfRule type="containsText" dxfId="131" priority="183" operator="containsText" text="m2">
      <formula>NOT(ISERROR(SEARCH("m2",D1162)))</formula>
    </cfRule>
  </conditionalFormatting>
  <conditionalFormatting sqref="D1172:D1174">
    <cfRule type="containsText" dxfId="130" priority="171" operator="containsText" text="m2">
      <formula>NOT(ISERROR(SEARCH("m2",D1172)))</formula>
    </cfRule>
  </conditionalFormatting>
  <conditionalFormatting sqref="D1152">
    <cfRule type="containsText" dxfId="129" priority="193" operator="containsText" text="m2">
      <formula>NOT(ISERROR(SEARCH("m2",D1152)))</formula>
    </cfRule>
  </conditionalFormatting>
  <conditionalFormatting sqref="D1152">
    <cfRule type="containsText" dxfId="128" priority="194" operator="containsText" text="m2">
      <formula>NOT(ISERROR(SEARCH("m2",D1152)))</formula>
    </cfRule>
  </conditionalFormatting>
  <conditionalFormatting sqref="D1179:D1180">
    <cfRule type="containsText" dxfId="127" priority="165" operator="containsText" text="m2">
      <formula>NOT(ISERROR(SEARCH("m2",D1179)))</formula>
    </cfRule>
  </conditionalFormatting>
  <conditionalFormatting sqref="D1179:D1180">
    <cfRule type="containsText" dxfId="126" priority="166" operator="containsText" text="m2">
      <formula>NOT(ISERROR(SEARCH("m2",D1179)))</formula>
    </cfRule>
  </conditionalFormatting>
  <conditionalFormatting sqref="D1176:D1177">
    <cfRule type="containsText" dxfId="125" priority="168" operator="containsText" text="m2">
      <formula>NOT(ISERROR(SEARCH("m2",D1176)))</formula>
    </cfRule>
  </conditionalFormatting>
  <conditionalFormatting sqref="D1154:D1155">
    <cfRule type="containsText" dxfId="124" priority="191" operator="containsText" text="m2">
      <formula>NOT(ISERROR(SEARCH("m2",D1154)))</formula>
    </cfRule>
  </conditionalFormatting>
  <conditionalFormatting sqref="D1159:D1161">
    <cfRule type="containsText" dxfId="123" priority="188" operator="containsText" text="m2">
      <formula>NOT(ISERROR(SEARCH("m2",D1159)))</formula>
    </cfRule>
  </conditionalFormatting>
  <conditionalFormatting sqref="D1158">
    <cfRule type="containsText" dxfId="122" priority="189" operator="containsText" text="m2">
      <formula>NOT(ISERROR(SEARCH("m2",D1158)))</formula>
    </cfRule>
  </conditionalFormatting>
  <conditionalFormatting sqref="D1171:D1174">
    <cfRule type="containsText" dxfId="121" priority="174" operator="containsText" text="m2">
      <formula>NOT(ISERROR(SEARCH("m2",D1171)))</formula>
    </cfRule>
  </conditionalFormatting>
  <conditionalFormatting sqref="D1154:D1155">
    <cfRule type="containsText" dxfId="120" priority="192" operator="containsText" text="m2">
      <formula>NOT(ISERROR(SEARCH("m2",D1154)))</formula>
    </cfRule>
  </conditionalFormatting>
  <conditionalFormatting sqref="D1159:D1161">
    <cfRule type="containsText" dxfId="119" priority="187" operator="containsText" text="m2">
      <formula>NOT(ISERROR(SEARCH("m2",D1159)))</formula>
    </cfRule>
  </conditionalFormatting>
  <conditionalFormatting sqref="D1158">
    <cfRule type="containsText" dxfId="118" priority="190" operator="containsText" text="m2">
      <formula>NOT(ISERROR(SEARCH("m2",D1158)))</formula>
    </cfRule>
  </conditionalFormatting>
  <conditionalFormatting sqref="D1171">
    <cfRule type="containsText" dxfId="117" priority="173" operator="containsText" text="m2">
      <formula>NOT(ISERROR(SEARCH("m2",D1171)))</formula>
    </cfRule>
  </conditionalFormatting>
  <conditionalFormatting sqref="D1172:D1174">
    <cfRule type="containsText" dxfId="116" priority="172" operator="containsText" text="m2">
      <formula>NOT(ISERROR(SEARCH("m2",D1172)))</formula>
    </cfRule>
  </conditionalFormatting>
  <conditionalFormatting sqref="D1153">
    <cfRule type="containsText" dxfId="115" priority="181" operator="containsText" text="m2">
      <formula>NOT(ISERROR(SEARCH("m2",D1153)))</formula>
    </cfRule>
  </conditionalFormatting>
  <conditionalFormatting sqref="D1153">
    <cfRule type="containsText" dxfId="114" priority="182" operator="containsText" text="m2">
      <formula>NOT(ISERROR(SEARCH("m2",D1153)))</formula>
    </cfRule>
  </conditionalFormatting>
  <conditionalFormatting sqref="D1166:D1167">
    <cfRule type="containsText" dxfId="113" priority="180" operator="containsText" text="m2">
      <formula>NOT(ISERROR(SEARCH("m2",D1166)))</formula>
    </cfRule>
  </conditionalFormatting>
  <conditionalFormatting sqref="D1176:D1177">
    <cfRule type="containsText" dxfId="112" priority="167" operator="containsText" text="m2">
      <formula>NOT(ISERROR(SEARCH("m2",D1176)))</formula>
    </cfRule>
  </conditionalFormatting>
  <conditionalFormatting sqref="D1179:D1180">
    <cfRule type="containsText" dxfId="111" priority="164" operator="containsText" text="m2">
      <formula>NOT(ISERROR(SEARCH("m2",D1179)))</formula>
    </cfRule>
  </conditionalFormatting>
  <conditionalFormatting sqref="D1190">
    <cfRule type="containsText" dxfId="110" priority="157" operator="containsText" text="m2">
      <formula>NOT(ISERROR(SEARCH("m2",D1190)))</formula>
    </cfRule>
  </conditionalFormatting>
  <conditionalFormatting sqref="D1191">
    <cfRule type="containsText" dxfId="109" priority="156" operator="containsText" text="m2">
      <formula>NOT(ISERROR(SEARCH("m2",D1191)))</formula>
    </cfRule>
  </conditionalFormatting>
  <conditionalFormatting sqref="D1193">
    <cfRule type="containsText" dxfId="108" priority="155" operator="containsText" text="m2">
      <formula>NOT(ISERROR(SEARCH("m2",D1193)))</formula>
    </cfRule>
  </conditionalFormatting>
  <conditionalFormatting sqref="D1197">
    <cfRule type="containsText" dxfId="107" priority="152" operator="containsText" text="m2">
      <formula>NOT(ISERROR(SEARCH("m2",D1197)))</formula>
    </cfRule>
  </conditionalFormatting>
  <conditionalFormatting sqref="D1168">
    <cfRule type="containsText" dxfId="106" priority="178" operator="containsText" text="m2">
      <formula>NOT(ISERROR(SEARCH("m2",D1168)))</formula>
    </cfRule>
  </conditionalFormatting>
  <conditionalFormatting sqref="D1168">
    <cfRule type="containsText" dxfId="105" priority="177" operator="containsText" text="m2">
      <formula>NOT(ISERROR(SEARCH("m2",D1168)))</formula>
    </cfRule>
  </conditionalFormatting>
  <conditionalFormatting sqref="D1169:D1170">
    <cfRule type="containsText" dxfId="104" priority="175" operator="containsText" text="m2">
      <formula>NOT(ISERROR(SEARCH("m2",D1169)))</formula>
    </cfRule>
  </conditionalFormatting>
  <conditionalFormatting sqref="D1169:D1170">
    <cfRule type="containsText" dxfId="103" priority="176" operator="containsText" text="m2">
      <formula>NOT(ISERROR(SEARCH("m2",D1169)))</formula>
    </cfRule>
  </conditionalFormatting>
  <conditionalFormatting sqref="D1182">
    <cfRule type="containsText" dxfId="102" priority="162" operator="containsText" text="m2">
      <formula>NOT(ISERROR(SEARCH("m2",D1182)))</formula>
    </cfRule>
  </conditionalFormatting>
  <conditionalFormatting sqref="D1192 D1195">
    <cfRule type="containsText" dxfId="101" priority="161" operator="containsText" text="m2">
      <formula>NOT(ISERROR(SEARCH("m2",D1192)))</formula>
    </cfRule>
  </conditionalFormatting>
  <conditionalFormatting sqref="D1176:D1177">
    <cfRule type="containsText" dxfId="100" priority="169" operator="containsText" text="m2">
      <formula>NOT(ISERROR(SEARCH("m2",D1176)))</formula>
    </cfRule>
  </conditionalFormatting>
  <conditionalFormatting sqref="D1175">
    <cfRule type="containsText" dxfId="99" priority="170" operator="containsText" text="m2">
      <formula>NOT(ISERROR(SEARCH("m2",D1175)))</formula>
    </cfRule>
  </conditionalFormatting>
  <conditionalFormatting sqref="D1194">
    <cfRule type="containsText" dxfId="98" priority="154" operator="containsText" text="m2">
      <formula>NOT(ISERROR(SEARCH("m2",D1194)))</formula>
    </cfRule>
  </conditionalFormatting>
  <conditionalFormatting sqref="D1181">
    <cfRule type="containsText" dxfId="97" priority="163" operator="containsText" text="m2">
      <formula>NOT(ISERROR(SEARCH("m2",D1181)))</formula>
    </cfRule>
  </conditionalFormatting>
  <conditionalFormatting sqref="D1207">
    <cfRule type="containsText" dxfId="96" priority="145" operator="containsText" text="m2">
      <formula>NOT(ISERROR(SEARCH("m2",D1207)))</formula>
    </cfRule>
  </conditionalFormatting>
  <conditionalFormatting sqref="D1208">
    <cfRule type="containsText" dxfId="95" priority="144" operator="containsText" text="m2">
      <formula>NOT(ISERROR(SEARCH("m2",D1208)))</formula>
    </cfRule>
  </conditionalFormatting>
  <conditionalFormatting sqref="D1209">
    <cfRule type="containsText" dxfId="94" priority="143" operator="containsText" text="m2">
      <formula>NOT(ISERROR(SEARCH("m2",D1209)))</formula>
    </cfRule>
  </conditionalFormatting>
  <conditionalFormatting sqref="D1196">
    <cfRule type="containsText" dxfId="93" priority="153" operator="containsText" text="m2">
      <formula>NOT(ISERROR(SEARCH("m2",D1196)))</formula>
    </cfRule>
  </conditionalFormatting>
  <conditionalFormatting sqref="D1184:D1185">
    <cfRule type="containsText" dxfId="92" priority="159" operator="containsText" text="m2">
      <formula>NOT(ISERROR(SEARCH("m2",D1184)))</formula>
    </cfRule>
  </conditionalFormatting>
  <conditionalFormatting sqref="D1187:D1188">
    <cfRule type="containsText" dxfId="91" priority="158" operator="containsText" text="m2">
      <formula>NOT(ISERROR(SEARCH("m2",D1187)))</formula>
    </cfRule>
  </conditionalFormatting>
  <conditionalFormatting sqref="D1205">
    <cfRule type="containsText" dxfId="90" priority="148" operator="containsText" text="m2">
      <formula>NOT(ISERROR(SEARCH("m2",D1205)))</formula>
    </cfRule>
  </conditionalFormatting>
  <conditionalFormatting sqref="D1183 D1186 D1189">
    <cfRule type="containsText" dxfId="89" priority="160" operator="containsText" text="m2">
      <formula>NOT(ISERROR(SEARCH("m2",D1183)))</formula>
    </cfRule>
  </conditionalFormatting>
  <conditionalFormatting sqref="D1206">
    <cfRule type="containsText" dxfId="88" priority="147" operator="containsText" text="m2">
      <formula>NOT(ISERROR(SEARCH("m2",D1206)))</formula>
    </cfRule>
  </conditionalFormatting>
  <conditionalFormatting sqref="D1198">
    <cfRule type="containsText" dxfId="87" priority="151" operator="containsText" text="m2">
      <formula>NOT(ISERROR(SEARCH("m2",D1198)))</formula>
    </cfRule>
  </conditionalFormatting>
  <conditionalFormatting sqref="D1199">
    <cfRule type="containsText" dxfId="86" priority="150" operator="containsText" text="m2">
      <formula>NOT(ISERROR(SEARCH("m2",D1199)))</formula>
    </cfRule>
  </conditionalFormatting>
  <conditionalFormatting sqref="D1204">
    <cfRule type="containsText" dxfId="85" priority="149" operator="containsText" text="m2">
      <formula>NOT(ISERROR(SEARCH("m2",D1204)))</formula>
    </cfRule>
  </conditionalFormatting>
  <conditionalFormatting sqref="D1210">
    <cfRule type="containsText" dxfId="84" priority="146" operator="containsText" text="m2">
      <formula>NOT(ISERROR(SEARCH("m2",D1210)))</formula>
    </cfRule>
  </conditionalFormatting>
  <conditionalFormatting sqref="D1223 D1226 D1229:D1232 D1235:D1238">
    <cfRule type="containsText" dxfId="83" priority="142" operator="containsText" text="m2">
      <formula>NOT(ISERROR(SEARCH("m2",D1223)))</formula>
    </cfRule>
  </conditionalFormatting>
  <conditionalFormatting sqref="D1157">
    <cfRule type="containsText" dxfId="82" priority="140" operator="containsText" text="m2">
      <formula>NOT(ISERROR(SEARCH("m2",D1157)))</formula>
    </cfRule>
  </conditionalFormatting>
  <conditionalFormatting sqref="D1157">
    <cfRule type="containsText" dxfId="81" priority="141" operator="containsText" text="m2">
      <formula>NOT(ISERROR(SEARCH("m2",D1157)))</formula>
    </cfRule>
  </conditionalFormatting>
  <conditionalFormatting sqref="D1156">
    <cfRule type="containsText" dxfId="80" priority="139" operator="containsText" text="m2">
      <formula>NOT(ISERROR(SEARCH("m2",D1156)))</formula>
    </cfRule>
  </conditionalFormatting>
  <conditionalFormatting sqref="D1163">
    <cfRule type="containsText" dxfId="79" priority="137" operator="containsText" text="m2">
      <formula>NOT(ISERROR(SEARCH("m2",D1163)))</formula>
    </cfRule>
  </conditionalFormatting>
  <conditionalFormatting sqref="D1156">
    <cfRule type="containsText" dxfId="78" priority="138" operator="containsText" text="m2">
      <formula>NOT(ISERROR(SEARCH("m2",D1156)))</formula>
    </cfRule>
  </conditionalFormatting>
  <conditionalFormatting sqref="D1287">
    <cfRule type="containsText" dxfId="77" priority="129" operator="containsText" text="m2">
      <formula>NOT(ISERROR(SEARCH("m2",D1287)))</formula>
    </cfRule>
  </conditionalFormatting>
  <conditionalFormatting sqref="D1163">
    <cfRule type="containsText" dxfId="76" priority="136" operator="containsText" text="m2">
      <formula>NOT(ISERROR(SEARCH("m2",D1163)))</formula>
    </cfRule>
  </conditionalFormatting>
  <conditionalFormatting sqref="D1221:D1222">
    <cfRule type="containsText" dxfId="75" priority="135" operator="containsText" text="m2">
      <formula>NOT(ISERROR(SEARCH("m2",D1221)))</formula>
    </cfRule>
  </conditionalFormatting>
  <conditionalFormatting sqref="D1224:D1225">
    <cfRule type="containsText" dxfId="74" priority="134" operator="containsText" text="m2">
      <formula>NOT(ISERROR(SEARCH("m2",D1224)))</formula>
    </cfRule>
  </conditionalFormatting>
  <conditionalFormatting sqref="D1227:D1228">
    <cfRule type="containsText" dxfId="73" priority="133" operator="containsText" text="m2">
      <formula>NOT(ISERROR(SEARCH("m2",D1227)))</formula>
    </cfRule>
  </conditionalFormatting>
  <conditionalFormatting sqref="D1233:D1234">
    <cfRule type="containsText" dxfId="72" priority="132" operator="containsText" text="m2">
      <formula>NOT(ISERROR(SEARCH("m2",D1233)))</formula>
    </cfRule>
  </conditionalFormatting>
  <conditionalFormatting sqref="D1239:D1241">
    <cfRule type="containsText" dxfId="71" priority="131" operator="containsText" text="m2">
      <formula>NOT(ISERROR(SEARCH("m2",D1239)))</formula>
    </cfRule>
  </conditionalFormatting>
  <conditionalFormatting sqref="D1316:D1317">
    <cfRule type="containsText" dxfId="70" priority="55" operator="containsText" text="m2">
      <formula>NOT(ISERROR(SEARCH("m2",D1316)))</formula>
    </cfRule>
  </conditionalFormatting>
  <conditionalFormatting sqref="D1273">
    <cfRule type="containsText" dxfId="69" priority="126" operator="containsText" text="m2">
      <formula>NOT(ISERROR(SEARCH("m2",D1273)))</formula>
    </cfRule>
  </conditionalFormatting>
  <conditionalFormatting sqref="D1273">
    <cfRule type="containsText" dxfId="68" priority="125" operator="containsText" text="m2">
      <formula>NOT(ISERROR(SEARCH("m2",D1273)))</formula>
    </cfRule>
  </conditionalFormatting>
  <conditionalFormatting sqref="D1279">
    <cfRule type="containsText" dxfId="67" priority="111" operator="containsText" text="m2">
      <formula>NOT(ISERROR(SEARCH("m2",D1279)))</formula>
    </cfRule>
  </conditionalFormatting>
  <conditionalFormatting sqref="D1279">
    <cfRule type="containsText" dxfId="66" priority="108" operator="containsText" text="m2">
      <formula>NOT(ISERROR(SEARCH("m2",D1279)))</formula>
    </cfRule>
  </conditionalFormatting>
  <conditionalFormatting sqref="D1288:D1289">
    <cfRule type="containsText" dxfId="65" priority="90" operator="containsText" text="m2">
      <formula>NOT(ISERROR(SEARCH("m2",D1288)))</formula>
    </cfRule>
  </conditionalFormatting>
  <conditionalFormatting sqref="D1288:D1289">
    <cfRule type="containsText" dxfId="64" priority="91" operator="containsText" text="m2">
      <formula>NOT(ISERROR(SEARCH("m2",D1288)))</formula>
    </cfRule>
  </conditionalFormatting>
  <conditionalFormatting sqref="D1285:D1286">
    <cfRule type="containsText" dxfId="63" priority="93" operator="containsText" text="m2">
      <formula>NOT(ISERROR(SEARCH("m2",D1285)))</formula>
    </cfRule>
  </conditionalFormatting>
  <conditionalFormatting sqref="D1283">
    <cfRule type="containsText" dxfId="62" priority="99" operator="containsText" text="m2">
      <formula>NOT(ISERROR(SEARCH("m2",D1283)))</formula>
    </cfRule>
  </conditionalFormatting>
  <conditionalFormatting sqref="D1283">
    <cfRule type="containsText" dxfId="61" priority="98" operator="containsText" text="m2">
      <formula>NOT(ISERROR(SEARCH("m2",D1283)))</formula>
    </cfRule>
  </conditionalFormatting>
  <conditionalFormatting sqref="D1285:D1286">
    <cfRule type="containsText" dxfId="60" priority="92" operator="containsText" text="m2">
      <formula>NOT(ISERROR(SEARCH("m2",D1285)))</formula>
    </cfRule>
  </conditionalFormatting>
  <conditionalFormatting sqref="D1288:D1289">
    <cfRule type="containsText" dxfId="59" priority="89" operator="containsText" text="m2">
      <formula>NOT(ISERROR(SEARCH("m2",D1288)))</formula>
    </cfRule>
  </conditionalFormatting>
  <conditionalFormatting sqref="D1292">
    <cfRule type="containsText" dxfId="58" priority="82" operator="containsText" text="m2">
      <formula>NOT(ISERROR(SEARCH("m2",D1292)))</formula>
    </cfRule>
  </conditionalFormatting>
  <conditionalFormatting sqref="D1293">
    <cfRule type="containsText" dxfId="57" priority="81" operator="containsText" text="m2">
      <formula>NOT(ISERROR(SEARCH("m2",D1293)))</formula>
    </cfRule>
  </conditionalFormatting>
  <conditionalFormatting sqref="D1281:D1282">
    <cfRule type="containsText" dxfId="56" priority="100" operator="containsText" text="m2">
      <formula>NOT(ISERROR(SEARCH("m2",D1281)))</formula>
    </cfRule>
  </conditionalFormatting>
  <conditionalFormatting sqref="D1281:D1282">
    <cfRule type="containsText" dxfId="55" priority="101" operator="containsText" text="m2">
      <formula>NOT(ISERROR(SEARCH("m2",D1281)))</formula>
    </cfRule>
  </conditionalFormatting>
  <conditionalFormatting sqref="D1294">
    <cfRule type="containsText" dxfId="54" priority="86" operator="containsText" text="m2">
      <formula>NOT(ISERROR(SEARCH("m2",D1294)))</formula>
    </cfRule>
  </conditionalFormatting>
  <conditionalFormatting sqref="D1285:D1286">
    <cfRule type="containsText" dxfId="53" priority="94" operator="containsText" text="m2">
      <formula>NOT(ISERROR(SEARCH("m2",D1285)))</formula>
    </cfRule>
  </conditionalFormatting>
  <conditionalFormatting sqref="D1284">
    <cfRule type="containsText" dxfId="52" priority="95" operator="containsText" text="m2">
      <formula>NOT(ISERROR(SEARCH("m2",D1284)))</formula>
    </cfRule>
  </conditionalFormatting>
  <conditionalFormatting sqref="D1295">
    <cfRule type="containsText" dxfId="51" priority="78" operator="containsText" text="m2">
      <formula>NOT(ISERROR(SEARCH("m2",D1295)))</formula>
    </cfRule>
  </conditionalFormatting>
  <conditionalFormatting sqref="D1300">
    <cfRule type="containsText" dxfId="50" priority="73" operator="containsText" text="m2">
      <formula>NOT(ISERROR(SEARCH("m2",D1300)))</formula>
    </cfRule>
  </conditionalFormatting>
  <conditionalFormatting sqref="D1291">
    <cfRule type="containsText" dxfId="49" priority="85" operator="containsText" text="m2">
      <formula>NOT(ISERROR(SEARCH("m2",D1291)))</formula>
    </cfRule>
  </conditionalFormatting>
  <conditionalFormatting sqref="D1301">
    <cfRule type="containsText" dxfId="48" priority="72" operator="containsText" text="m2">
      <formula>NOT(ISERROR(SEARCH("m2",D1301)))</formula>
    </cfRule>
  </conditionalFormatting>
  <conditionalFormatting sqref="D1299">
    <cfRule type="containsText" dxfId="47" priority="74" operator="containsText" text="m2">
      <formula>NOT(ISERROR(SEARCH("m2",D1299)))</formula>
    </cfRule>
  </conditionalFormatting>
  <conditionalFormatting sqref="D1278">
    <cfRule type="containsText" dxfId="46" priority="65" operator="containsText" text="m2">
      <formula>NOT(ISERROR(SEARCH("m2",D1278)))</formula>
    </cfRule>
  </conditionalFormatting>
  <conditionalFormatting sqref="D1278">
    <cfRule type="containsText" dxfId="45" priority="66" operator="containsText" text="m2">
      <formula>NOT(ISERROR(SEARCH("m2",D1278)))</formula>
    </cfRule>
  </conditionalFormatting>
  <conditionalFormatting sqref="D1277">
    <cfRule type="containsText" dxfId="44" priority="64" operator="containsText" text="m2">
      <formula>NOT(ISERROR(SEARCH("m2",D1277)))</formula>
    </cfRule>
  </conditionalFormatting>
  <conditionalFormatting sqref="D1280">
    <cfRule type="containsText" dxfId="43" priority="62" operator="containsText" text="m2">
      <formula>NOT(ISERROR(SEARCH("m2",D1280)))</formula>
    </cfRule>
  </conditionalFormatting>
  <conditionalFormatting sqref="D1277">
    <cfRule type="containsText" dxfId="42" priority="63" operator="containsText" text="m2">
      <formula>NOT(ISERROR(SEARCH("m2",D1277)))</formula>
    </cfRule>
  </conditionalFormatting>
  <conditionalFormatting sqref="D1280">
    <cfRule type="containsText" dxfId="41" priority="61" operator="containsText" text="m2">
      <formula>NOT(ISERROR(SEARCH("m2",D1280)))</formula>
    </cfRule>
  </conditionalFormatting>
  <conditionalFormatting sqref="D1308:D1309">
    <cfRule type="containsText" dxfId="40" priority="60" operator="containsText" text="m2">
      <formula>NOT(ISERROR(SEARCH("m2",D1308)))</formula>
    </cfRule>
  </conditionalFormatting>
  <conditionalFormatting sqref="D1311:D1312">
    <cfRule type="containsText" dxfId="39" priority="57" operator="containsText" text="m2">
      <formula>NOT(ISERROR(SEARCH("m2",D1311)))</formula>
    </cfRule>
  </conditionalFormatting>
  <conditionalFormatting sqref="D1385:D1396">
    <cfRule type="containsText" dxfId="38" priority="54" operator="containsText" text="m2">
      <formula>NOT(ISERROR(SEARCH("m2",D1385)))</formula>
    </cfRule>
  </conditionalFormatting>
  <conditionalFormatting sqref="D429">
    <cfRule type="containsText" dxfId="37" priority="50" operator="containsText" text="m2">
      <formula>NOT(ISERROR(SEARCH("m2",D429)))</formula>
    </cfRule>
  </conditionalFormatting>
  <conditionalFormatting sqref="D249 D251">
    <cfRule type="containsText" dxfId="36" priority="49" operator="containsText" text="m2">
      <formula>NOT(ISERROR(SEARCH("m2",D249)))</formula>
    </cfRule>
  </conditionalFormatting>
  <conditionalFormatting sqref="D250">
    <cfRule type="containsText" dxfId="35" priority="48" operator="containsText" text="m2">
      <formula>NOT(ISERROR(SEARCH("m2",D250)))</formula>
    </cfRule>
  </conditionalFormatting>
  <conditionalFormatting sqref="D1067:D1068">
    <cfRule type="containsText" dxfId="34" priority="47" operator="containsText" text="m2">
      <formula>NOT(ISERROR(SEARCH("m2",D1067)))</formula>
    </cfRule>
  </conditionalFormatting>
  <conditionalFormatting sqref="D1263">
    <cfRule type="containsText" dxfId="33" priority="46" operator="containsText" text="m2">
      <formula>NOT(ISERROR(SEARCH("m2",D1263)))</formula>
    </cfRule>
  </conditionalFormatting>
  <conditionalFormatting sqref="D1130:D1131">
    <cfRule type="containsText" dxfId="32" priority="45" operator="containsText" text="m2">
      <formula>NOT(ISERROR(SEARCH("m2",D1130)))</formula>
    </cfRule>
  </conditionalFormatting>
  <conditionalFormatting sqref="D1382:D1383">
    <cfRule type="containsText" dxfId="31" priority="43" operator="containsText" text="m2">
      <formula>NOT(ISERROR(SEARCH("m2",D1382)))</formula>
    </cfRule>
  </conditionalFormatting>
  <conditionalFormatting sqref="D193:D194">
    <cfRule type="containsText" dxfId="30" priority="42" operator="containsText" text="m2">
      <formula>NOT(ISERROR(SEARCH("m2",D193)))</formula>
    </cfRule>
  </conditionalFormatting>
  <conditionalFormatting sqref="D758">
    <cfRule type="containsText" dxfId="29" priority="40" operator="containsText" text="m2">
      <formula>NOT(ISERROR(SEARCH("m2",D758)))</formula>
    </cfRule>
  </conditionalFormatting>
  <conditionalFormatting sqref="D953">
    <cfRule type="containsText" dxfId="28" priority="39" operator="containsText" text="m2">
      <formula>NOT(ISERROR(SEARCH("m2",D953)))</formula>
    </cfRule>
  </conditionalFormatting>
  <conditionalFormatting sqref="D484:D485">
    <cfRule type="containsText" dxfId="27" priority="38" operator="containsText" text="m2">
      <formula>NOT(ISERROR(SEARCH("m2",D484)))</formula>
    </cfRule>
  </conditionalFormatting>
  <conditionalFormatting sqref="D759">
    <cfRule type="containsText" dxfId="26" priority="37" operator="containsText" text="m2">
      <formula>NOT(ISERROR(SEARCH("m2",D759)))</formula>
    </cfRule>
  </conditionalFormatting>
  <conditionalFormatting sqref="D954">
    <cfRule type="containsText" dxfId="25" priority="36" operator="containsText" text="m2">
      <formula>NOT(ISERROR(SEARCH("m2",D954)))</formula>
    </cfRule>
  </conditionalFormatting>
  <conditionalFormatting sqref="D1069:D1076">
    <cfRule type="containsText" dxfId="24" priority="35" operator="containsText" text="m2">
      <formula>NOT(ISERROR(SEARCH("m2",D1069)))</formula>
    </cfRule>
  </conditionalFormatting>
  <conditionalFormatting sqref="D1132:D1134">
    <cfRule type="containsText" dxfId="23" priority="34" operator="containsText" text="m2">
      <formula>NOT(ISERROR(SEARCH("m2",D1132)))</formula>
    </cfRule>
  </conditionalFormatting>
  <conditionalFormatting sqref="D1264:D1266">
    <cfRule type="containsText" dxfId="22" priority="33" operator="containsText" text="m2">
      <formula>NOT(ISERROR(SEARCH("m2",D1264)))</formula>
    </cfRule>
  </conditionalFormatting>
  <conditionalFormatting sqref="D61">
    <cfRule type="containsText" dxfId="21" priority="32" operator="containsText" text="m2">
      <formula>NOT(ISERROR(SEARCH("m2",D61)))</formula>
    </cfRule>
  </conditionalFormatting>
  <conditionalFormatting sqref="D909">
    <cfRule type="containsText" dxfId="20" priority="31" operator="containsText" text="m2">
      <formula>NOT(ISERROR(SEARCH("m2",D909)))</formula>
    </cfRule>
  </conditionalFormatting>
  <conditionalFormatting sqref="D913">
    <cfRule type="containsText" dxfId="19" priority="30" operator="containsText" text="m2">
      <formula>NOT(ISERROR(SEARCH("m2",D913)))</formula>
    </cfRule>
  </conditionalFormatting>
  <conditionalFormatting sqref="D1135">
    <cfRule type="containsText" dxfId="18" priority="29" operator="containsText" text="m2">
      <formula>NOT(ISERROR(SEARCH("m2",D1135)))</formula>
    </cfRule>
  </conditionalFormatting>
  <conditionalFormatting sqref="D1267">
    <cfRule type="containsText" dxfId="17" priority="28" operator="containsText" text="m2">
      <formula>NOT(ISERROR(SEARCH("m2",D1267)))</formula>
    </cfRule>
  </conditionalFormatting>
  <conditionalFormatting sqref="D272:D273">
    <cfRule type="containsText" dxfId="16" priority="26" operator="containsText" text="m2">
      <formula>NOT(ISERROR(SEARCH("m2",D272)))</formula>
    </cfRule>
  </conditionalFormatting>
  <conditionalFormatting sqref="D1272">
    <cfRule type="containsText" dxfId="15" priority="23" operator="containsText" text="m2">
      <formula>NOT(ISERROR(SEARCH("m2",D1272)))</formula>
    </cfRule>
  </conditionalFormatting>
  <conditionalFormatting sqref="D1397:D1400">
    <cfRule type="containsText" dxfId="14" priority="21" operator="containsText" text="m2">
      <formula>NOT(ISERROR(SEARCH("m2",D1397)))</formula>
    </cfRule>
  </conditionalFormatting>
  <conditionalFormatting sqref="D1268:D1271">
    <cfRule type="containsText" dxfId="13" priority="18" operator="containsText" text="m2">
      <formula>NOT(ISERROR(SEARCH("m2",D1268)))</formula>
    </cfRule>
  </conditionalFormatting>
  <conditionalFormatting sqref="D612:D613">
    <cfRule type="containsText" dxfId="12" priority="17" operator="containsText" text="m2">
      <formula>NOT(ISERROR(SEARCH("m2",D612)))</formula>
    </cfRule>
  </conditionalFormatting>
  <conditionalFormatting sqref="D617 D620">
    <cfRule type="containsText" dxfId="11" priority="16" operator="containsText" text="m2">
      <formula>NOT(ISERROR(SEARCH("m2",D617)))</formula>
    </cfRule>
  </conditionalFormatting>
  <conditionalFormatting sqref="D621:D622">
    <cfRule type="containsText" dxfId="10" priority="15" operator="containsText" text="m2">
      <formula>NOT(ISERROR(SEARCH("m2",D621)))</formula>
    </cfRule>
  </conditionalFormatting>
  <conditionalFormatting sqref="D618">
    <cfRule type="containsText" dxfId="9" priority="14" operator="containsText" text="m2">
      <formula>NOT(ISERROR(SEARCH("m2",D618)))</formula>
    </cfRule>
  </conditionalFormatting>
  <conditionalFormatting sqref="D817:D819">
    <cfRule type="containsText" dxfId="8" priority="13" operator="containsText" text="m2">
      <formula>NOT(ISERROR(SEARCH("m2",D817)))</formula>
    </cfRule>
  </conditionalFormatting>
  <conditionalFormatting sqref="D779">
    <cfRule type="containsText" dxfId="7" priority="11" operator="containsText" text="m2">
      <formula>NOT(ISERROR(SEARCH("m2",D779)))</formula>
    </cfRule>
  </conditionalFormatting>
  <conditionalFormatting sqref="D782 D784 D786">
    <cfRule type="containsText" dxfId="6" priority="12" operator="containsText" text="m2">
      <formula>NOT(ISERROR(SEARCH("m2",D782)))</formula>
    </cfRule>
  </conditionalFormatting>
  <conditionalFormatting sqref="D781">
    <cfRule type="containsText" dxfId="5" priority="9" operator="containsText" text="m2">
      <formula>NOT(ISERROR(SEARCH("m2",D781)))</formula>
    </cfRule>
  </conditionalFormatting>
  <conditionalFormatting sqref="D783">
    <cfRule type="containsText" dxfId="4" priority="7" operator="containsText" text="m2">
      <formula>NOT(ISERROR(SEARCH("m2",D783)))</formula>
    </cfRule>
  </conditionalFormatting>
  <conditionalFormatting sqref="D785">
    <cfRule type="containsText" dxfId="3" priority="5" operator="containsText" text="m2">
      <formula>NOT(ISERROR(SEARCH("m2",D785)))</formula>
    </cfRule>
  </conditionalFormatting>
  <conditionalFormatting sqref="D787">
    <cfRule type="containsText" dxfId="2" priority="3" operator="containsText" text="m2">
      <formula>NOT(ISERROR(SEARCH("m2",D787)))</formula>
    </cfRule>
  </conditionalFormatting>
  <conditionalFormatting sqref="D811:D812">
    <cfRule type="containsText" dxfId="1" priority="2" operator="containsText" text="m2">
      <formula>NOT(ISERROR(SEARCH("m2",D811)))</formula>
    </cfRule>
  </conditionalFormatting>
  <conditionalFormatting sqref="D811:D812">
    <cfRule type="containsText" dxfId="0" priority="1" operator="containsText" text="m2">
      <formula>NOT(ISERROR(SEARCH("m2",D811)))</formula>
    </cfRule>
  </conditionalFormatting>
  <pageMargins left="0.51181102362204722" right="0.51181102362204722" top="0.78740157480314965" bottom="0.78740157480314965" header="0.31496062992125984" footer="0.31496062992125984"/>
  <pageSetup paperSize="9" scale="58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L196"/>
  <sheetViews>
    <sheetView showGridLines="0" tabSelected="1" topLeftCell="B1" zoomScale="73" zoomScaleNormal="73" zoomScaleSheetLayoutView="73" zoomScalePageLayoutView="60" workbookViewId="0">
      <selection activeCell="L14" sqref="L14"/>
    </sheetView>
  </sheetViews>
  <sheetFormatPr defaultColWidth="9.140625" defaultRowHeight="14.25" x14ac:dyDescent="0.25"/>
  <cols>
    <col min="1" max="1" width="0" style="20" hidden="1" customWidth="1"/>
    <col min="2" max="2" width="9.7109375" style="15" customWidth="1"/>
    <col min="3" max="3" width="15.5703125" style="15" bestFit="1" customWidth="1"/>
    <col min="4" max="4" width="17.42578125" style="34" bestFit="1" customWidth="1"/>
    <col min="5" max="5" width="107.85546875" style="17" customWidth="1"/>
    <col min="6" max="6" width="10.85546875" style="14" customWidth="1"/>
    <col min="7" max="7" width="16.7109375" style="14" customWidth="1"/>
    <col min="8" max="8" width="14.5703125" style="39" bestFit="1" customWidth="1"/>
    <col min="9" max="9" width="19" style="39" customWidth="1"/>
    <col min="10" max="10" width="19.5703125" style="18" bestFit="1" customWidth="1"/>
    <col min="11" max="11" width="13.7109375" style="15" customWidth="1"/>
    <col min="12" max="12" width="25.140625" style="20" bestFit="1" customWidth="1"/>
    <col min="13" max="16384" width="9.140625" style="20"/>
  </cols>
  <sheetData>
    <row r="1" spans="2:11" x14ac:dyDescent="0.25">
      <c r="B1" s="284"/>
      <c r="C1" s="285"/>
      <c r="D1" s="285"/>
      <c r="E1" s="285"/>
      <c r="F1" s="285"/>
      <c r="G1" s="285"/>
      <c r="H1" s="285"/>
      <c r="I1" s="285"/>
      <c r="J1" s="286"/>
      <c r="K1" s="491"/>
    </row>
    <row r="2" spans="2:11" ht="15.75" x14ac:dyDescent="0.25">
      <c r="B2" s="501" t="s">
        <v>593</v>
      </c>
      <c r="C2" s="502"/>
      <c r="D2" s="502"/>
      <c r="E2" s="502"/>
      <c r="F2" s="502"/>
      <c r="G2" s="502"/>
      <c r="H2" s="502"/>
      <c r="I2" s="502"/>
      <c r="J2" s="503"/>
      <c r="K2" s="491"/>
    </row>
    <row r="3" spans="2:11" ht="15.75" x14ac:dyDescent="0.25">
      <c r="B3" s="365" t="s">
        <v>0</v>
      </c>
      <c r="C3" s="419"/>
      <c r="D3" s="419"/>
      <c r="E3" s="419"/>
      <c r="F3" s="419"/>
      <c r="G3" s="419"/>
      <c r="H3" s="419"/>
      <c r="I3" s="419"/>
      <c r="J3" s="441"/>
      <c r="K3" s="491"/>
    </row>
    <row r="4" spans="2:11" ht="15.75" customHeight="1" x14ac:dyDescent="0.25">
      <c r="B4" s="492" t="s">
        <v>594</v>
      </c>
      <c r="C4" s="493"/>
      <c r="D4" s="493"/>
      <c r="E4" s="493"/>
      <c r="F4" s="493"/>
      <c r="G4" s="493"/>
      <c r="H4" s="493"/>
      <c r="I4" s="493"/>
      <c r="J4" s="494"/>
      <c r="K4" s="491"/>
    </row>
    <row r="5" spans="2:11" ht="20.25" customHeight="1" x14ac:dyDescent="0.25">
      <c r="B5" s="495" t="s">
        <v>595</v>
      </c>
      <c r="C5" s="496"/>
      <c r="D5" s="496"/>
      <c r="E5" s="496"/>
      <c r="F5" s="496"/>
      <c r="G5" s="496"/>
      <c r="H5" s="496"/>
      <c r="I5" s="496"/>
      <c r="J5" s="497"/>
      <c r="K5" s="491"/>
    </row>
    <row r="6" spans="2:11" ht="15" x14ac:dyDescent="0.25">
      <c r="B6" s="498" t="s">
        <v>596</v>
      </c>
      <c r="C6" s="499"/>
      <c r="D6" s="499"/>
      <c r="E6" s="499"/>
      <c r="F6" s="499"/>
      <c r="G6" s="499"/>
      <c r="H6" s="499"/>
      <c r="I6" s="499"/>
      <c r="J6" s="500"/>
      <c r="K6" s="491"/>
    </row>
    <row r="7" spans="2:11" ht="15" x14ac:dyDescent="0.25">
      <c r="B7" s="504" t="s">
        <v>4</v>
      </c>
      <c r="C7" s="505"/>
      <c r="D7" s="505"/>
      <c r="E7" s="505"/>
      <c r="F7" s="505"/>
      <c r="G7" s="505"/>
      <c r="H7" s="505"/>
      <c r="I7" s="505"/>
      <c r="J7" s="506"/>
    </row>
    <row r="8" spans="2:11" ht="15.75" thickBot="1" x14ac:dyDescent="0.3">
      <c r="B8" s="287"/>
      <c r="C8" s="288"/>
      <c r="D8" s="288"/>
      <c r="E8" s="488"/>
      <c r="F8" s="488"/>
      <c r="G8" s="488"/>
      <c r="H8" s="488"/>
      <c r="I8" s="288"/>
      <c r="J8" s="289"/>
    </row>
    <row r="9" spans="2:11" ht="18.75" thickBot="1" x14ac:dyDescent="0.3">
      <c r="B9" s="507" t="s">
        <v>597</v>
      </c>
      <c r="C9" s="508"/>
      <c r="D9" s="508"/>
      <c r="E9" s="508"/>
      <c r="F9" s="508"/>
      <c r="G9" s="508"/>
      <c r="H9" s="508"/>
      <c r="I9" s="508"/>
      <c r="J9" s="509"/>
    </row>
    <row r="10" spans="2:11" ht="22.5" customHeight="1" thickBot="1" x14ac:dyDescent="0.3">
      <c r="B10" s="81" t="s">
        <v>6</v>
      </c>
      <c r="C10" s="81" t="s">
        <v>598</v>
      </c>
      <c r="D10" s="81" t="s">
        <v>599</v>
      </c>
      <c r="E10" s="82" t="s">
        <v>600</v>
      </c>
      <c r="F10" s="83" t="s">
        <v>8</v>
      </c>
      <c r="G10" s="83" t="s">
        <v>575</v>
      </c>
      <c r="H10" s="84" t="s">
        <v>601</v>
      </c>
      <c r="I10" s="86" t="s">
        <v>602</v>
      </c>
      <c r="J10" s="85" t="s">
        <v>11</v>
      </c>
    </row>
    <row r="11" spans="2:11" s="71" customFormat="1" ht="24" customHeight="1" x14ac:dyDescent="0.25">
      <c r="B11" s="485" t="s">
        <v>603</v>
      </c>
      <c r="C11" s="486"/>
      <c r="D11" s="486"/>
      <c r="E11" s="486"/>
      <c r="F11" s="486"/>
      <c r="G11" s="486"/>
      <c r="H11" s="486"/>
      <c r="I11" s="486"/>
      <c r="J11" s="87">
        <f>SUM(J13:J27)</f>
        <v>0</v>
      </c>
      <c r="K11" s="28"/>
    </row>
    <row r="12" spans="2:11" ht="15" x14ac:dyDescent="0.25">
      <c r="B12" s="21">
        <v>1</v>
      </c>
      <c r="C12" s="481" t="s">
        <v>10</v>
      </c>
      <c r="D12" s="482"/>
      <c r="E12" s="482"/>
      <c r="F12" s="482"/>
      <c r="G12" s="482"/>
      <c r="H12" s="482"/>
      <c r="I12" s="482"/>
      <c r="J12" s="483"/>
    </row>
    <row r="13" spans="2:11" x14ac:dyDescent="0.25">
      <c r="B13" s="182" t="s">
        <v>12</v>
      </c>
      <c r="C13" s="166" t="s">
        <v>604</v>
      </c>
      <c r="D13" s="178">
        <f>VLOOKUP(B13,'MEMÓRIA DE CÁLCULO'!$B:$H,2,)</f>
        <v>20117</v>
      </c>
      <c r="E13" s="179" t="str">
        <f>VLOOKUP(B13,'MEMÓRIA DE CÁLCULO'!$B:$H,3,)</f>
        <v>DEMOLIÇÃO MANUAL DE REVESTIMENTO C/ARGAMASSA C/TR.ATE CB.E CARGA</v>
      </c>
      <c r="F13" s="114" t="str">
        <f>VLOOKUP(B13,'MEMÓRIA DE CÁLCULO'!$B:$H,4,)</f>
        <v>m²</v>
      </c>
      <c r="G13" s="180">
        <f>VLOOKUP(B13,'MEMÓRIA DE CÁLCULO'!$B:$H,7,)</f>
        <v>1021.0722999999998</v>
      </c>
      <c r="H13" s="181"/>
      <c r="I13" s="181"/>
      <c r="J13" s="185">
        <f>(I13+H13)*G13</f>
        <v>0</v>
      </c>
      <c r="K13" s="162"/>
    </row>
    <row r="14" spans="2:11" x14ac:dyDescent="0.25">
      <c r="B14" s="100" t="s">
        <v>98</v>
      </c>
      <c r="C14" s="88" t="s">
        <v>604</v>
      </c>
      <c r="D14" s="114">
        <f>VLOOKUP(B14,'MEMÓRIA DE CÁLCULO'!$B:$H,2,)</f>
        <v>20109</v>
      </c>
      <c r="E14" s="116" t="str">
        <f>VLOOKUP(B14,'MEMÓRIA DE CÁLCULO'!$B:$H,3,)</f>
        <v>DEMOLIÇÃO MANUAL DE PISO CIMENT.SOBRE LASTRO CONC.C/TR.ATE CB. E CARGA</v>
      </c>
      <c r="F14" s="114" t="str">
        <f>VLOOKUP(B14,'MEMÓRIA DE CÁLCULO'!$B:$H,4,)</f>
        <v>m²</v>
      </c>
      <c r="G14" s="93">
        <f>VLOOKUP(B14,'MEMÓRIA DE CÁLCULO'!$B:$H,7,)</f>
        <v>339.98309999999992</v>
      </c>
      <c r="H14" s="90"/>
      <c r="I14" s="90"/>
      <c r="J14" s="185">
        <f t="shared" ref="J14:J27" si="0">(I14+H14)*G14</f>
        <v>0</v>
      </c>
      <c r="K14" s="162"/>
    </row>
    <row r="15" spans="2:11" x14ac:dyDescent="0.25">
      <c r="B15" s="100" t="s">
        <v>113</v>
      </c>
      <c r="C15" s="88" t="s">
        <v>604</v>
      </c>
      <c r="D15" s="114">
        <f>VLOOKUP(B15,'MEMÓRIA DE CÁLCULO'!$B:$H,2,)</f>
        <v>20115</v>
      </c>
      <c r="E15" s="116" t="str">
        <f>VLOOKUP(B15,'MEMÓRIA DE CÁLCULO'!$B:$H,3,)</f>
        <v>DEMOLIÇÃO MANUAL DE REVESTIMENTOS COM AZULEJO C/TRANSP. ATE CB. E CARGA</v>
      </c>
      <c r="F15" s="114" t="str">
        <f>VLOOKUP(B15,'MEMÓRIA DE CÁLCULO'!$B:$H,4,)</f>
        <v>m²</v>
      </c>
      <c r="G15" s="93">
        <f>VLOOKUP(B15,'MEMÓRIA DE CÁLCULO'!$B:$H,7,)</f>
        <v>96.816699999999997</v>
      </c>
      <c r="H15" s="90"/>
      <c r="I15" s="90"/>
      <c r="J15" s="185">
        <f t="shared" si="0"/>
        <v>0</v>
      </c>
      <c r="K15" s="162"/>
    </row>
    <row r="16" spans="2:11" ht="15.75" customHeight="1" x14ac:dyDescent="0.25">
      <c r="B16" s="100" t="s">
        <v>125</v>
      </c>
      <c r="C16" s="88" t="s">
        <v>604</v>
      </c>
      <c r="D16" s="114">
        <f>VLOOKUP(B16,'MEMÓRIA DE CÁLCULO'!$B:$H,2,)</f>
        <v>20111</v>
      </c>
      <c r="E16" s="116" t="str">
        <f>VLOOKUP(B16,'MEMÓRIA DE CÁLCULO'!$B:$H,3,)</f>
        <v>DEMOLIÇÃO MANUAL DE PISO CERÂMICO SOBRE LASTRO CONC.C/TR.CB e CARGA</v>
      </c>
      <c r="F16" s="114" t="str">
        <f>VLOOKUP(B16,'MEMÓRIA DE CÁLCULO'!$B:$H,4,)</f>
        <v>m²</v>
      </c>
      <c r="G16" s="93">
        <f>VLOOKUP(B16,'MEMÓRIA DE CÁLCULO'!$B:$H,7,)</f>
        <v>117.03999999999999</v>
      </c>
      <c r="H16" s="90"/>
      <c r="I16" s="90"/>
      <c r="J16" s="185">
        <f t="shared" si="0"/>
        <v>0</v>
      </c>
      <c r="K16" s="162"/>
    </row>
    <row r="17" spans="2:11" x14ac:dyDescent="0.25">
      <c r="B17" s="100" t="s">
        <v>130</v>
      </c>
      <c r="C17" s="88" t="s">
        <v>604</v>
      </c>
      <c r="D17" s="114">
        <f>VLOOKUP(B17,'MEMÓRIA DE CÁLCULO'!$B:$H,2,)</f>
        <v>20147</v>
      </c>
      <c r="E17" s="116" t="str">
        <f>VLOOKUP(B17,'MEMÓRIA DE CÁLCULO'!$B:$H,3,)</f>
        <v>DEMOLIÇÃO MANUAL DE FORRO PVC INCLUSIVE ESTRUTURA DE SUSTENTAÇÃO C/ TRANSP. ATÉ CB. E CARGA</v>
      </c>
      <c r="F17" s="114" t="str">
        <f>VLOOKUP(B17,'MEMÓRIA DE CÁLCULO'!$B:$H,4,)</f>
        <v>m²</v>
      </c>
      <c r="G17" s="93">
        <f>VLOOKUP(B17,'MEMÓRIA DE CÁLCULO'!$B:$H,7,)</f>
        <v>171.53399999999999</v>
      </c>
      <c r="H17" s="90"/>
      <c r="I17" s="90"/>
      <c r="J17" s="185">
        <f t="shared" si="0"/>
        <v>0</v>
      </c>
      <c r="K17" s="162"/>
    </row>
    <row r="18" spans="2:11" x14ac:dyDescent="0.25">
      <c r="B18" s="100" t="s">
        <v>136</v>
      </c>
      <c r="C18" s="88" t="s">
        <v>604</v>
      </c>
      <c r="D18" s="114">
        <f>VLOOKUP(B18,'MEMÓRIA DE CÁLCULO'!$B:$H,2,)</f>
        <v>20106</v>
      </c>
      <c r="E18" s="116" t="str">
        <f>VLOOKUP(B18,'MEMÓRIA DE CÁLCULO'!$B:$H,3,)</f>
        <v>REMOÇÃO MANUAL DE JANELA OU PORTAL C/ TRANSP. ATÉ CB. E CARGA</v>
      </c>
      <c r="F18" s="114" t="str">
        <f>VLOOKUP(B18,'MEMÓRIA DE CÁLCULO'!$B:$H,4,)</f>
        <v>m²</v>
      </c>
      <c r="G18" s="93">
        <f>VLOOKUP(B18,'MEMÓRIA DE CÁLCULO'!$B:$H,7,)</f>
        <v>22.76</v>
      </c>
      <c r="H18" s="90"/>
      <c r="I18" s="90"/>
      <c r="J18" s="185">
        <f t="shared" si="0"/>
        <v>0</v>
      </c>
      <c r="K18" s="162"/>
    </row>
    <row r="19" spans="2:11" x14ac:dyDescent="0.25">
      <c r="B19" s="100" t="s">
        <v>149</v>
      </c>
      <c r="C19" s="88" t="s">
        <v>604</v>
      </c>
      <c r="D19" s="114">
        <f>VLOOKUP(B19,'MEMÓRIA DE CÁLCULO'!$B:$H,2,)</f>
        <v>20151</v>
      </c>
      <c r="E19" s="116" t="str">
        <f>VLOOKUP(B19,'MEMÓRIA DE CÁLCULO'!$B:$H,3,)</f>
        <v>DEMOLIÇÃO MANUAL DE DIVISÓRIA EM PEDRA/CONC.C/TRANSP. ATÉ CB. CARGA</v>
      </c>
      <c r="F19" s="114" t="str">
        <f>VLOOKUP(B19,'MEMÓRIA DE CÁLCULO'!$B:$H,4,)</f>
        <v>m²</v>
      </c>
      <c r="G19" s="93">
        <f>VLOOKUP(B19,'MEMÓRIA DE CÁLCULO'!$B:$H,7,)</f>
        <v>7.5600000000000005</v>
      </c>
      <c r="H19" s="90"/>
      <c r="I19" s="90"/>
      <c r="J19" s="185">
        <f t="shared" si="0"/>
        <v>0</v>
      </c>
      <c r="K19" s="162"/>
    </row>
    <row r="20" spans="2:11" x14ac:dyDescent="0.25">
      <c r="B20" s="100" t="s">
        <v>153</v>
      </c>
      <c r="C20" s="88" t="s">
        <v>604</v>
      </c>
      <c r="D20" s="114">
        <f>VLOOKUP(B20,'MEMÓRIA DE CÁLCULO'!$B:$H,2,)</f>
        <v>20118</v>
      </c>
      <c r="E20" s="116" t="str">
        <f>VLOOKUP(B20,'MEMÓRIA DE CÁLCULO'!$B:$H,3,)</f>
        <v>DEMOLIÇÃO MANUAL ALVENARIA TIJOLO S/REAP. C/TR.ATE CB. E CARGA</v>
      </c>
      <c r="F20" s="114" t="str">
        <f>VLOOKUP(B20,'MEMÓRIA DE CÁLCULO'!$B:$H,4,)</f>
        <v>m³</v>
      </c>
      <c r="G20" s="93">
        <f>VLOOKUP(B20,'MEMÓRIA DE CÁLCULO'!$B:$H,7,)</f>
        <v>10.711499999999999</v>
      </c>
      <c r="H20" s="90"/>
      <c r="I20" s="90"/>
      <c r="J20" s="185">
        <f t="shared" si="0"/>
        <v>0</v>
      </c>
      <c r="K20" s="162"/>
    </row>
    <row r="21" spans="2:11" x14ac:dyDescent="0.25">
      <c r="B21" s="100" t="s">
        <v>162</v>
      </c>
      <c r="C21" s="88" t="s">
        <v>604</v>
      </c>
      <c r="D21" s="114">
        <f>VLOOKUP(B21,'MEMÓRIA DE CÁLCULO'!$B:$H,2,)</f>
        <v>20167</v>
      </c>
      <c r="E21" s="116" t="str">
        <f>VLOOKUP(B21,'MEMÓRIA DE CÁLCULO'!$B:$H,3,)</f>
        <v>REMOÇÃO MANUAL DE LUMINÁRIA C/ TRANSP. ATÉ CB. E CARGA</v>
      </c>
      <c r="F21" s="114" t="str">
        <f>VLOOKUP(B21,'MEMÓRIA DE CÁLCULO'!$B:$H,4,)</f>
        <v>und</v>
      </c>
      <c r="G21" s="93">
        <f>VLOOKUP(B21,'MEMÓRIA DE CÁLCULO'!$B:$H,7,)</f>
        <v>66</v>
      </c>
      <c r="H21" s="90"/>
      <c r="I21" s="92"/>
      <c r="J21" s="185">
        <f t="shared" si="0"/>
        <v>0</v>
      </c>
      <c r="K21" s="162"/>
    </row>
    <row r="22" spans="2:11" x14ac:dyDescent="0.25">
      <c r="B22" s="100" t="s">
        <v>183</v>
      </c>
      <c r="C22" s="88" t="s">
        <v>604</v>
      </c>
      <c r="D22" s="114">
        <f>VLOOKUP(B22,'MEMÓRIA DE CÁLCULO'!$B:$H,2,)</f>
        <v>20168</v>
      </c>
      <c r="E22" s="116" t="str">
        <f>VLOOKUP(B22,'MEMÓRIA DE CÁLCULO'!$B:$H,3,)</f>
        <v>REMOÇÃO MANUAL DE INTERRUPTOR/TOMADA ELÉTRICA/DISJUNTOR C/ TRANSP. ATÉ CB. E CARGA</v>
      </c>
      <c r="F22" s="114" t="str">
        <f>VLOOKUP(B22,'MEMÓRIA DE CÁLCULO'!$B:$H,4,)</f>
        <v>und</v>
      </c>
      <c r="G22" s="93">
        <f>VLOOKUP(B22,'MEMÓRIA DE CÁLCULO'!$B:$H,7,)</f>
        <v>14</v>
      </c>
      <c r="H22" s="90"/>
      <c r="I22" s="90"/>
      <c r="J22" s="185">
        <f t="shared" si="0"/>
        <v>0</v>
      </c>
      <c r="K22" s="162"/>
    </row>
    <row r="23" spans="2:11" x14ac:dyDescent="0.25">
      <c r="B23" s="100" t="s">
        <v>188</v>
      </c>
      <c r="C23" s="88" t="s">
        <v>604</v>
      </c>
      <c r="D23" s="114">
        <f>VLOOKUP(B23,'MEMÓRIA DE CÁLCULO'!$B:$H,2,)</f>
        <v>20140</v>
      </c>
      <c r="E23" s="116" t="str">
        <f>VLOOKUP(B23,'MEMÓRIA DE CÁLCULO'!$B:$H,3,)</f>
        <v>REMOÇÃO MANUAL DE METAL SANITÁRIO (VÁLVULAS/SIFÃO/REGISTROS/TORNEIRAS/ OUTROS) C/ TRANSP. ATÉ CB. E CARGA</v>
      </c>
      <c r="F23" s="114" t="str">
        <f>VLOOKUP(B23,'MEMÓRIA DE CÁLCULO'!$B:$H,4,)</f>
        <v>und</v>
      </c>
      <c r="G23" s="93">
        <f>VLOOKUP(B23,'MEMÓRIA DE CÁLCULO'!$B:$H,7,)</f>
        <v>39</v>
      </c>
      <c r="H23" s="90"/>
      <c r="I23" s="90"/>
      <c r="J23" s="185">
        <f t="shared" si="0"/>
        <v>0</v>
      </c>
      <c r="K23" s="162"/>
    </row>
    <row r="24" spans="2:11" x14ac:dyDescent="0.25">
      <c r="B24" s="100" t="s">
        <v>196</v>
      </c>
      <c r="C24" s="88" t="s">
        <v>604</v>
      </c>
      <c r="D24" s="114">
        <f>VLOOKUP(B24,'MEMÓRIA DE CÁLCULO'!$B:$H,2,)</f>
        <v>20102</v>
      </c>
      <c r="E24" s="116" t="str">
        <f>VLOOKUP(B24,'MEMÓRIA DE CÁLCULO'!$B:$H,3,)</f>
        <v>DEMOLICAO-COBERTURA TELHA FIBROCIMENTO/FIBRA DE VIDRO/SIMILARES C/ TRANSP. ATÉ CB. E CARGA</v>
      </c>
      <c r="F24" s="114" t="str">
        <f>VLOOKUP(B24,'MEMÓRIA DE CÁLCULO'!$B:$H,4,)</f>
        <v>m²</v>
      </c>
      <c r="G24" s="93">
        <f>VLOOKUP(B24,'MEMÓRIA DE CÁLCULO'!$B:$H,7,)</f>
        <v>114.76219999999998</v>
      </c>
      <c r="H24" s="90"/>
      <c r="I24" s="90"/>
      <c r="J24" s="185">
        <f t="shared" si="0"/>
        <v>0</v>
      </c>
      <c r="K24" s="162"/>
    </row>
    <row r="25" spans="2:11" ht="28.5" x14ac:dyDescent="0.25">
      <c r="B25" s="100" t="s">
        <v>201</v>
      </c>
      <c r="C25" s="88" t="s">
        <v>604</v>
      </c>
      <c r="D25" s="114">
        <f>VLOOKUP(B25,'MEMÓRIA DE CÁLCULO'!$B:$H,2,)</f>
        <v>21301</v>
      </c>
      <c r="E25" s="117" t="str">
        <f>VLOOKUP(B25,'MEMÓRIA DE CÁLCULO'!$B:$H,3,)</f>
        <v>PLACA DE OBRA PLOTADA EM CHAPA METÁLICA 26 , AFIXADA EM CAVALETES DE MADEIRA DE LEI (VIGOTAS 6X12CM) - PADRÃO GOINFRA</v>
      </c>
      <c r="F25" s="114" t="str">
        <f>VLOOKUP(B25,'MEMÓRIA DE CÁLCULO'!$B:$H,4,)</f>
        <v>m²</v>
      </c>
      <c r="G25" s="93">
        <f>VLOOKUP(B25,'MEMÓRIA DE CÁLCULO'!$B:$H,7,)</f>
        <v>3</v>
      </c>
      <c r="H25" s="90"/>
      <c r="I25" s="90"/>
      <c r="J25" s="185">
        <f t="shared" si="0"/>
        <v>0</v>
      </c>
      <c r="K25" s="162"/>
    </row>
    <row r="26" spans="2:11" x14ac:dyDescent="0.25">
      <c r="B26" s="100" t="s">
        <v>204</v>
      </c>
      <c r="C26" s="265"/>
      <c r="D26" s="266" t="str">
        <f>VLOOKUP(B26,'MEMÓRIA DE CÁLCULO'!$B:$H,2,)</f>
        <v>COMPOSIÇÃO 3</v>
      </c>
      <c r="E26" s="116" t="str">
        <f>VLOOKUP(B26,'MEMÓRIA DE CÁLCULO'!$B:$H,3,)</f>
        <v>REMOÇÃO E REINSTALAÇÃO DOS BEBEDOUROS</v>
      </c>
      <c r="F26" s="114" t="str">
        <f>VLOOKUP(B26,'MEMÓRIA DE CÁLCULO'!$B:$H,4,)</f>
        <v>und</v>
      </c>
      <c r="G26" s="93">
        <f>VLOOKUP(B26,'MEMÓRIA DE CÁLCULO'!$B:$H,7,)</f>
        <v>1</v>
      </c>
      <c r="H26" s="90"/>
      <c r="I26" s="90"/>
      <c r="J26" s="185">
        <f t="shared" si="0"/>
        <v>0</v>
      </c>
      <c r="K26" s="162"/>
    </row>
    <row r="27" spans="2:11" x14ac:dyDescent="0.25">
      <c r="B27" s="100" t="s">
        <v>208</v>
      </c>
      <c r="C27" s="88" t="s">
        <v>604</v>
      </c>
      <c r="D27" s="114">
        <f>VLOOKUP(B27,'MEMÓRIA DE CÁLCULO'!$B:$H,2,)</f>
        <v>20202</v>
      </c>
      <c r="E27" s="116" t="str">
        <f>VLOOKUP(B27,'MEMÓRIA DE CÁLCULO'!$B:$H,3,)</f>
        <v>RASPAGEM E LIMPEZA MANUAL DO TERRENO</v>
      </c>
      <c r="F27" s="114" t="str">
        <f>VLOOKUP(B27,'MEMÓRIA DE CÁLCULO'!$B:$H,4,)</f>
        <v>m²</v>
      </c>
      <c r="G27" s="93">
        <f>VLOOKUP(B27,'MEMÓRIA DE CÁLCULO'!$B:$H,7,)</f>
        <v>28.324000000000002</v>
      </c>
      <c r="H27" s="90"/>
      <c r="I27" s="90"/>
      <c r="J27" s="185">
        <f t="shared" si="0"/>
        <v>0</v>
      </c>
      <c r="K27" s="162"/>
    </row>
    <row r="28" spans="2:11" x14ac:dyDescent="0.25">
      <c r="B28" s="26"/>
      <c r="D28" s="254"/>
      <c r="E28" s="257"/>
      <c r="F28" s="254"/>
      <c r="G28" s="132"/>
      <c r="H28" s="258"/>
      <c r="I28" s="258"/>
      <c r="J28" s="130"/>
      <c r="K28" s="162"/>
    </row>
    <row r="29" spans="2:11" ht="15" x14ac:dyDescent="0.25">
      <c r="B29" s="487" t="s">
        <v>605</v>
      </c>
      <c r="C29" s="478"/>
      <c r="D29" s="478"/>
      <c r="E29" s="478"/>
      <c r="F29" s="478"/>
      <c r="G29" s="478"/>
      <c r="H29" s="478"/>
      <c r="I29" s="484"/>
      <c r="J29" s="281">
        <f>SUM(J31:J32)</f>
        <v>0</v>
      </c>
      <c r="K29" s="162"/>
    </row>
    <row r="30" spans="2:11" ht="15" x14ac:dyDescent="0.25">
      <c r="B30" s="21">
        <v>2</v>
      </c>
      <c r="C30" s="473" t="s">
        <v>214</v>
      </c>
      <c r="D30" s="473"/>
      <c r="E30" s="473"/>
      <c r="F30" s="473"/>
      <c r="G30" s="473"/>
      <c r="H30" s="473"/>
      <c r="I30" s="473"/>
      <c r="J30" s="474"/>
      <c r="K30" s="162"/>
    </row>
    <row r="31" spans="2:11" x14ac:dyDescent="0.25">
      <c r="B31" s="182" t="s">
        <v>215</v>
      </c>
      <c r="C31" s="166" t="s">
        <v>604</v>
      </c>
      <c r="D31" s="166">
        <f>VLOOKUP($B$31,'MEMÓRIA DE CÁLCULO'!$B:$H,2,)</f>
        <v>30105</v>
      </c>
      <c r="E31" s="183" t="str">
        <f>VLOOKUP($B$31,'MEMÓRIA DE CÁLCULO'!$B:$H,3,)</f>
        <v>TRANSPORTE DE ENTULHO EM CAÇAMBA ESTACIONÁRIA INCLUSO A CARGA MANUAL</v>
      </c>
      <c r="F31" s="168" t="s">
        <v>155</v>
      </c>
      <c r="G31" s="180">
        <f>VLOOKUP(B31,'MEMÓRIA DE CÁLCULO'!B:H,7,)</f>
        <v>115.35502940000001</v>
      </c>
      <c r="H31" s="184"/>
      <c r="I31" s="184"/>
      <c r="J31" s="185">
        <f>(I31+H31)*G31</f>
        <v>0</v>
      </c>
      <c r="K31" s="162"/>
    </row>
    <row r="32" spans="2:11" x14ac:dyDescent="0.25">
      <c r="B32" s="434"/>
      <c r="C32" s="479"/>
      <c r="D32" s="479"/>
      <c r="E32" s="479"/>
      <c r="F32" s="479"/>
      <c r="G32" s="479"/>
      <c r="H32" s="479"/>
      <c r="I32" s="479"/>
      <c r="J32" s="480"/>
      <c r="K32" s="162"/>
    </row>
    <row r="33" spans="2:11" ht="15" x14ac:dyDescent="0.25">
      <c r="B33" s="477" t="s">
        <v>606</v>
      </c>
      <c r="C33" s="478"/>
      <c r="D33" s="478"/>
      <c r="E33" s="478"/>
      <c r="F33" s="478"/>
      <c r="G33" s="478"/>
      <c r="H33" s="478"/>
      <c r="I33" s="484"/>
      <c r="J33" s="60">
        <f>SUM(J35:J36)</f>
        <v>0</v>
      </c>
      <c r="K33" s="162"/>
    </row>
    <row r="34" spans="2:11" ht="15" x14ac:dyDescent="0.25">
      <c r="B34" s="21">
        <v>3</v>
      </c>
      <c r="C34" s="473" t="s">
        <v>218</v>
      </c>
      <c r="D34" s="473"/>
      <c r="E34" s="473"/>
      <c r="F34" s="473"/>
      <c r="G34" s="473"/>
      <c r="H34" s="473"/>
      <c r="I34" s="473"/>
      <c r="J34" s="474"/>
      <c r="K34" s="162"/>
    </row>
    <row r="35" spans="2:11" x14ac:dyDescent="0.25">
      <c r="B35" s="182" t="s">
        <v>219</v>
      </c>
      <c r="C35" s="166" t="s">
        <v>604</v>
      </c>
      <c r="D35" s="166">
        <f>VLOOKUP(B35,'MEMÓRIA DE CÁLCULO'!$B:$H,2,)</f>
        <v>40103</v>
      </c>
      <c r="E35" s="116" t="str">
        <f>VLOOKUP(B35,'MEMÓRIA DE CÁLCULO'!$B:$H,3,)</f>
        <v>ESCAVAÇAO MANUAL DE VALAS PROF.1 A 2 M</v>
      </c>
      <c r="F35" s="114" t="str">
        <f>VLOOKUP(B35,'MEMÓRIA DE CÁLCULO'!$B:$H,4,)</f>
        <v>m³</v>
      </c>
      <c r="G35" s="93">
        <f>VLOOKUP(B35,'MEMÓRIA DE CÁLCULO'!$B:$H,7,)</f>
        <v>0.186</v>
      </c>
      <c r="H35" s="184"/>
      <c r="I35" s="184"/>
      <c r="J35" s="185">
        <f>(I35+H35)*G35</f>
        <v>0</v>
      </c>
      <c r="K35" s="162"/>
    </row>
    <row r="36" spans="2:11" x14ac:dyDescent="0.25">
      <c r="B36" s="182" t="s">
        <v>222</v>
      </c>
      <c r="C36" s="166" t="s">
        <v>604</v>
      </c>
      <c r="D36" s="166">
        <f>VLOOKUP(B36,'MEMÓRIA DE CÁLCULO'!$B:$H,2,)</f>
        <v>41002</v>
      </c>
      <c r="E36" s="116" t="str">
        <f>VLOOKUP(B36,'MEMÓRIA DE CÁLCULO'!$B:$H,3,)</f>
        <v xml:space="preserve">APILOAMENTO </v>
      </c>
      <c r="F36" s="114" t="str">
        <f>VLOOKUP(B36,'MEMÓRIA DE CÁLCULO'!$B:$H,4,)</f>
        <v>m³</v>
      </c>
      <c r="G36" s="93">
        <f>VLOOKUP(B36,'MEMÓRIA DE CÁLCULO'!$B:$H,7,)</f>
        <v>0.09</v>
      </c>
      <c r="H36" s="184"/>
      <c r="I36" s="184"/>
      <c r="J36" s="185">
        <f t="shared" ref="J36" si="1">(I36+H36)*G36</f>
        <v>0</v>
      </c>
      <c r="K36" s="162"/>
    </row>
    <row r="37" spans="2:11" x14ac:dyDescent="0.25">
      <c r="B37" s="173"/>
      <c r="C37" s="174"/>
      <c r="D37" s="174"/>
      <c r="E37" s="174"/>
      <c r="F37" s="174"/>
      <c r="G37" s="174"/>
      <c r="H37" s="174"/>
      <c r="I37" s="174"/>
      <c r="J37" s="175"/>
      <c r="K37" s="162"/>
    </row>
    <row r="38" spans="2:11" ht="15" x14ac:dyDescent="0.25">
      <c r="B38" s="477" t="s">
        <v>607</v>
      </c>
      <c r="C38" s="478"/>
      <c r="D38" s="478"/>
      <c r="E38" s="478"/>
      <c r="F38" s="478"/>
      <c r="G38" s="478"/>
      <c r="H38" s="478"/>
      <c r="I38" s="484"/>
      <c r="J38" s="60">
        <f>SUM(J40:J46)</f>
        <v>0</v>
      </c>
      <c r="K38" s="162"/>
    </row>
    <row r="39" spans="2:11" ht="15" x14ac:dyDescent="0.25">
      <c r="B39" s="21">
        <v>4</v>
      </c>
      <c r="C39" s="482" t="s">
        <v>225</v>
      </c>
      <c r="D39" s="482"/>
      <c r="E39" s="482"/>
      <c r="F39" s="482"/>
      <c r="G39" s="482"/>
      <c r="H39" s="482"/>
      <c r="I39" s="482"/>
      <c r="J39" s="483"/>
      <c r="K39" s="162"/>
    </row>
    <row r="40" spans="2:11" x14ac:dyDescent="0.25">
      <c r="B40" s="259" t="s">
        <v>228</v>
      </c>
      <c r="C40" s="260" t="s">
        <v>604</v>
      </c>
      <c r="D40" s="267">
        <f>VLOOKUP(B40,'MEMÓRIA DE CÁLCULO'!$B:$H,2,)</f>
        <v>50901</v>
      </c>
      <c r="E40" s="261" t="str">
        <f>VLOOKUP(B40,'MEMÓRIA DE CÁLCULO'!$B:$H,3,)</f>
        <v>ESCAVACAO MANUAL DE VALAS (SAPATAS/BLOCOS)</v>
      </c>
      <c r="F40" s="262" t="str">
        <f>VLOOKUP(B40,'MEMÓRIA DE CÁLCULO'!$B:$H,4,)</f>
        <v>m³</v>
      </c>
      <c r="G40" s="263">
        <f>VLOOKUP(B40,'MEMÓRIA DE CÁLCULO'!$B:$H,7,)</f>
        <v>1.5</v>
      </c>
      <c r="H40" s="264"/>
      <c r="I40" s="184"/>
      <c r="J40" s="185">
        <f t="shared" ref="J40:J46" si="2">(I40+H40)*G40</f>
        <v>0</v>
      </c>
      <c r="K40" s="162"/>
    </row>
    <row r="41" spans="2:11" x14ac:dyDescent="0.25">
      <c r="B41" s="182" t="s">
        <v>232</v>
      </c>
      <c r="C41" s="166" t="s">
        <v>604</v>
      </c>
      <c r="D41" s="166">
        <f>VLOOKUP(B41,'MEMÓRIA DE CÁLCULO'!$B:$H,2,)</f>
        <v>51024</v>
      </c>
      <c r="E41" s="116" t="str">
        <f>VLOOKUP(B41,'MEMÓRIA DE CÁLCULO'!$B:$H,3,)</f>
        <v>PREPARO COM BETONEIRA E TRANSPORTE MANUAL DE CONCRETO PARA LASTRO - (O.C.)</v>
      </c>
      <c r="F41" s="114" t="str">
        <f>VLOOKUP(B41,'MEMÓRIA DE CÁLCULO'!$B:$H,4,)</f>
        <v>m³</v>
      </c>
      <c r="G41" s="93">
        <f>VLOOKUP(B41,'MEMÓRIA DE CÁLCULO'!$B:$H,7,)</f>
        <v>0.375</v>
      </c>
      <c r="H41" s="94"/>
      <c r="I41" s="94"/>
      <c r="J41" s="185">
        <f t="shared" si="2"/>
        <v>0</v>
      </c>
      <c r="K41" s="162"/>
    </row>
    <row r="42" spans="2:11" x14ac:dyDescent="0.25">
      <c r="B42" s="182" t="s">
        <v>236</v>
      </c>
      <c r="C42" s="166" t="s">
        <v>604</v>
      </c>
      <c r="D42" s="166">
        <f>VLOOKUP(B42,'MEMÓRIA DE CÁLCULO'!$B:$H,2,)</f>
        <v>52004</v>
      </c>
      <c r="E42" s="116" t="str">
        <f>VLOOKUP(B42,'MEMÓRIA DE CÁLCULO'!$B:$H,3,)</f>
        <v>ACO CA 50-A - 8,0 MM (5/16") - (OBRAS CIVIS)</v>
      </c>
      <c r="F42" s="114" t="str">
        <f>VLOOKUP(B42,'MEMÓRIA DE CÁLCULO'!$B:$H,4,)</f>
        <v>KG</v>
      </c>
      <c r="G42" s="93">
        <f>VLOOKUP(B42,'MEMÓRIA DE CÁLCULO'!$B:$H,7,)</f>
        <v>1.8000000000000003</v>
      </c>
      <c r="H42" s="94"/>
      <c r="I42" s="94"/>
      <c r="J42" s="185">
        <f t="shared" si="2"/>
        <v>0</v>
      </c>
      <c r="K42" s="162"/>
    </row>
    <row r="43" spans="2:11" x14ac:dyDescent="0.25">
      <c r="B43" s="182" t="s">
        <v>240</v>
      </c>
      <c r="C43" s="166" t="s">
        <v>604</v>
      </c>
      <c r="D43" s="166">
        <f>VLOOKUP(B43,'MEMÓRIA DE CÁLCULO'!$B:$H,2,)</f>
        <v>51032</v>
      </c>
      <c r="E43" s="116" t="str">
        <f>VLOOKUP(B43,'MEMÓRIA DE CÁLCULO'!$B:$H,3,)</f>
        <v>CONCRETO USINADO CONVENCIONAL FCK=25 MPA COM TRANSPORTE MANUAL (O.C.)</v>
      </c>
      <c r="F43" s="114" t="str">
        <f>VLOOKUP(B43,'MEMÓRIA DE CÁLCULO'!$B:$H,4,)</f>
        <v>m³</v>
      </c>
      <c r="G43" s="93">
        <f>VLOOKUP(B43,'MEMÓRIA DE CÁLCULO'!$B:$H,7,)</f>
        <v>1.5</v>
      </c>
      <c r="H43" s="94"/>
      <c r="I43" s="94"/>
      <c r="J43" s="185">
        <f t="shared" si="2"/>
        <v>0</v>
      </c>
      <c r="K43" s="162"/>
    </row>
    <row r="44" spans="2:11" x14ac:dyDescent="0.25">
      <c r="B44" s="182" t="s">
        <v>243</v>
      </c>
      <c r="C44" s="166" t="s">
        <v>604</v>
      </c>
      <c r="D44" s="166">
        <f>VLOOKUP(B44,'MEMÓRIA DE CÁLCULO'!$B:$H,2,)</f>
        <v>51009</v>
      </c>
      <c r="E44" s="116" t="str">
        <f>VLOOKUP(B44,'MEMÓRIA DE CÁLCULO'!$B:$H,3,)</f>
        <v>FORMA TABUA PINHO P/FUNDACOES U=3V - (OBRAS CIVIS)</v>
      </c>
      <c r="F44" s="114" t="str">
        <f>VLOOKUP(B44,'MEMÓRIA DE CÁLCULO'!$B:$H,4,)</f>
        <v>m²</v>
      </c>
      <c r="G44" s="93">
        <f>VLOOKUP(B44,'MEMÓRIA DE CÁLCULO'!$B:$H,7,)</f>
        <v>4.8000000000000007</v>
      </c>
      <c r="H44" s="94"/>
      <c r="I44" s="94"/>
      <c r="J44" s="185">
        <f t="shared" si="2"/>
        <v>0</v>
      </c>
      <c r="K44" s="162"/>
    </row>
    <row r="45" spans="2:11" x14ac:dyDescent="0.25">
      <c r="B45" s="182" t="s">
        <v>245</v>
      </c>
      <c r="C45" s="166" t="s">
        <v>604</v>
      </c>
      <c r="D45" s="166">
        <f>VLOOKUP(B45,'MEMÓRIA DE CÁLCULO'!$B:$H,2,)</f>
        <v>52004</v>
      </c>
      <c r="E45" s="116" t="str">
        <f>VLOOKUP(B45,'MEMÓRIA DE CÁLCULO'!$B:$H,3,)</f>
        <v>ACO CA 50-A - 8,0 MM (5/16") - (OBRAS CIVIS)</v>
      </c>
      <c r="F45" s="114" t="str">
        <f>VLOOKUP(B45,'MEMÓRIA DE CÁLCULO'!$B:$H,4,)</f>
        <v>KG</v>
      </c>
      <c r="G45" s="93">
        <f>VLOOKUP(B45,'MEMÓRIA DE CÁLCULO'!$B:$H,7,)</f>
        <v>15.264000000000003</v>
      </c>
      <c r="H45" s="94"/>
      <c r="I45" s="94"/>
      <c r="J45" s="185">
        <f t="shared" si="2"/>
        <v>0</v>
      </c>
      <c r="K45" s="162"/>
    </row>
    <row r="46" spans="2:11" x14ac:dyDescent="0.25">
      <c r="B46" s="182" t="s">
        <v>246</v>
      </c>
      <c r="C46" s="166" t="s">
        <v>604</v>
      </c>
      <c r="D46" s="166">
        <f>VLOOKUP(B46,'MEMÓRIA DE CÁLCULO'!$B:$H,2,)</f>
        <v>51032</v>
      </c>
      <c r="E46" s="116" t="str">
        <f>VLOOKUP(B46,'MEMÓRIA DE CÁLCULO'!$B:$H,3,)</f>
        <v>CONCRETO USINADO CONVENCIONAL FCK=25 MPA COM TRANSPORTE MANUAL (O.C.)</v>
      </c>
      <c r="F46" s="114" t="str">
        <f>VLOOKUP(B46,'MEMÓRIA DE CÁLCULO'!$B:$H,4,)</f>
        <v>m³</v>
      </c>
      <c r="G46" s="93">
        <f>VLOOKUP(B46,'MEMÓRIA DE CÁLCULO'!$B:$H,7,)</f>
        <v>0.19200000000000006</v>
      </c>
      <c r="H46" s="94"/>
      <c r="I46" s="94"/>
      <c r="J46" s="185">
        <f t="shared" si="2"/>
        <v>0</v>
      </c>
      <c r="K46" s="162"/>
    </row>
    <row r="47" spans="2:11" x14ac:dyDescent="0.25">
      <c r="B47" s="173"/>
      <c r="C47" s="174"/>
      <c r="D47" s="131"/>
      <c r="E47" s="111"/>
      <c r="G47" s="132"/>
      <c r="H47" s="118"/>
      <c r="I47" s="118"/>
      <c r="J47" s="133"/>
      <c r="K47" s="162"/>
    </row>
    <row r="48" spans="2:11" ht="15" x14ac:dyDescent="0.25">
      <c r="B48" s="477" t="s">
        <v>608</v>
      </c>
      <c r="C48" s="478"/>
      <c r="D48" s="478"/>
      <c r="E48" s="478"/>
      <c r="F48" s="478"/>
      <c r="G48" s="478"/>
      <c r="H48" s="478"/>
      <c r="I48" s="484"/>
      <c r="J48" s="60">
        <f>SUM(J50:J55)</f>
        <v>0</v>
      </c>
      <c r="K48" s="162"/>
    </row>
    <row r="49" spans="2:11" ht="15" x14ac:dyDescent="0.25">
      <c r="B49" s="21">
        <v>5</v>
      </c>
      <c r="C49" s="482" t="s">
        <v>609</v>
      </c>
      <c r="D49" s="482"/>
      <c r="E49" s="482"/>
      <c r="F49" s="482"/>
      <c r="G49" s="482"/>
      <c r="H49" s="482"/>
      <c r="I49" s="482"/>
      <c r="J49" s="483"/>
      <c r="K49" s="162"/>
    </row>
    <row r="50" spans="2:11" x14ac:dyDescent="0.25">
      <c r="B50" s="182" t="s">
        <v>249</v>
      </c>
      <c r="C50" s="88" t="s">
        <v>604</v>
      </c>
      <c r="D50" s="166">
        <f>VLOOKUP(B50,'MEMÓRIA DE CÁLCULO'!$B:$H,2,)</f>
        <v>60305</v>
      </c>
      <c r="E50" s="116" t="str">
        <f>VLOOKUP(B50,'MEMÓRIA DE CÁLCULO'!$B:$H,3,)</f>
        <v>ACO CA-50A - 10,0 MM (3/8") - (OBRAS CIVIS)</v>
      </c>
      <c r="F50" s="114" t="str">
        <f>VLOOKUP(B50,'MEMÓRIA DE CÁLCULO'!$B:$H,4,)</f>
        <v>kg</v>
      </c>
      <c r="G50" s="93">
        <f>VLOOKUP(B50,'MEMÓRIA DE CÁLCULO'!$B:$H,7,)</f>
        <v>30.996000000000002</v>
      </c>
      <c r="H50" s="184"/>
      <c r="I50" s="184"/>
      <c r="J50" s="185">
        <f t="shared" ref="J50:J54" si="3">(I50+H50)*G50</f>
        <v>0</v>
      </c>
      <c r="K50" s="162"/>
    </row>
    <row r="51" spans="2:11" x14ac:dyDescent="0.25">
      <c r="B51" s="182" t="s">
        <v>256</v>
      </c>
      <c r="C51" s="88" t="s">
        <v>604</v>
      </c>
      <c r="D51" s="166">
        <f>VLOOKUP(B51,'MEMÓRIA DE CÁLCULO'!$B:$H,2,)</f>
        <v>60314</v>
      </c>
      <c r="E51" s="116" t="str">
        <f>VLOOKUP(B51,'MEMÓRIA DE CÁLCULO'!$B:$H,3,)</f>
        <v>ACO CA - 60 - 5,0 MM - (OBRAS CIVIS)</v>
      </c>
      <c r="F51" s="114" t="str">
        <f>VLOOKUP(B51,'MEMÓRIA DE CÁLCULO'!$B:$H,4,)</f>
        <v>kg</v>
      </c>
      <c r="G51" s="93">
        <f>VLOOKUP(B51,'MEMÓRIA DE CÁLCULO'!$B:$H,7,)</f>
        <v>8.4480000000000004</v>
      </c>
      <c r="H51" s="184"/>
      <c r="I51" s="184"/>
      <c r="J51" s="185">
        <f t="shared" si="3"/>
        <v>0</v>
      </c>
      <c r="K51" s="162"/>
    </row>
    <row r="52" spans="2:11" x14ac:dyDescent="0.25">
      <c r="B52" s="182" t="s">
        <v>258</v>
      </c>
      <c r="C52" s="88" t="s">
        <v>604</v>
      </c>
      <c r="D52" s="166">
        <f>VLOOKUP(B52,'MEMÓRIA DE CÁLCULO'!$B:$H,2,)</f>
        <v>60517</v>
      </c>
      <c r="E52" s="116" t="str">
        <f>VLOOKUP(B52,'MEMÓRIA DE CÁLCULO'!$B:$H,3,)</f>
        <v>PREPARO COM BETONEIRA E TRANSPORTE MANUAL DE CONCRETO FCK=25 MPA</v>
      </c>
      <c r="F52" s="114" t="str">
        <f>VLOOKUP(B52,'MEMÓRIA DE CÁLCULO'!$B:$H,4,)</f>
        <v>m³</v>
      </c>
      <c r="G52" s="93">
        <f>VLOOKUP(B52,'MEMÓRIA DE CÁLCULO'!$B:$H,7,)</f>
        <v>0.47</v>
      </c>
      <c r="H52" s="184"/>
      <c r="I52" s="184"/>
      <c r="J52" s="185">
        <f t="shared" si="3"/>
        <v>0</v>
      </c>
      <c r="K52" s="162"/>
    </row>
    <row r="53" spans="2:11" x14ac:dyDescent="0.25">
      <c r="B53" s="182" t="s">
        <v>261</v>
      </c>
      <c r="C53" s="88" t="s">
        <v>604</v>
      </c>
      <c r="D53" s="166">
        <f>VLOOKUP(B53,'MEMÓRIA DE CÁLCULO'!$B:$H,2,)</f>
        <v>60801</v>
      </c>
      <c r="E53" s="116" t="str">
        <f>VLOOKUP(B53,'MEMÓRIA DE CÁLCULO'!$B:$H,3,)</f>
        <v>LANÇAMENTO/APLICAÇÃO/ADENSAMENTO MANUAL DE CONCRETO - (OBRAS CIVIS)</v>
      </c>
      <c r="F53" s="114" t="str">
        <f>VLOOKUP(B53,'MEMÓRIA DE CÁLCULO'!$B:$H,4,)</f>
        <v>m³</v>
      </c>
      <c r="G53" s="93">
        <f>VLOOKUP(B53,'MEMÓRIA DE CÁLCULO'!$B:$H,7,)</f>
        <v>0.47</v>
      </c>
      <c r="H53" s="184"/>
      <c r="I53" s="184"/>
      <c r="J53" s="185">
        <f t="shared" si="3"/>
        <v>0</v>
      </c>
      <c r="K53" s="162"/>
    </row>
    <row r="54" spans="2:11" x14ac:dyDescent="0.25">
      <c r="B54" s="182" t="s">
        <v>263</v>
      </c>
      <c r="C54" s="88" t="s">
        <v>604</v>
      </c>
      <c r="D54" s="267">
        <f>VLOOKUP(B54,'MEMÓRIA DE CÁLCULO'!$B:$H,2,)</f>
        <v>60209</v>
      </c>
      <c r="E54" s="116" t="str">
        <f>VLOOKUP(B54,'MEMÓRIA DE CÁLCULO'!$B:$H,3,)</f>
        <v>FORMA CH.COMPENSADA 12MM-VIGA/PILAR U=4V - (OBRAS CIVIS</v>
      </c>
      <c r="F54" s="114" t="str">
        <f>VLOOKUP(B54,'MEMÓRIA DE CÁLCULO'!$B:$H,4,)</f>
        <v>m²</v>
      </c>
      <c r="G54" s="93">
        <f>VLOOKUP(B54,'MEMÓRIA DE CÁLCULO'!$B:$H,7,)</f>
        <v>3.6150000000000002</v>
      </c>
      <c r="H54" s="184"/>
      <c r="I54" s="184"/>
      <c r="J54" s="185">
        <f t="shared" si="3"/>
        <v>0</v>
      </c>
      <c r="K54" s="162"/>
    </row>
    <row r="55" spans="2:11" x14ac:dyDescent="0.25">
      <c r="B55" s="182" t="s">
        <v>267</v>
      </c>
      <c r="C55" s="88" t="s">
        <v>604</v>
      </c>
      <c r="D55" s="267">
        <f>VLOOKUP(B55,'MEMÓRIA DE CÁLCULO'!$B:$H,2,)</f>
        <v>60010</v>
      </c>
      <c r="E55" s="116" t="str">
        <f>VLOOKUP(B55,'MEMÓRIA DE CÁLCULO'!$B:$H,3,)</f>
        <v>VERGA/CONTRAVERGA EM CONCRETO ARMADO FCK = 20 MPA</v>
      </c>
      <c r="F55" s="114" t="str">
        <f>VLOOKUP(B55,'MEMÓRIA DE CÁLCULO'!$B:$H,4,)</f>
        <v>m³</v>
      </c>
      <c r="G55" s="93">
        <f>VLOOKUP(B55,'MEMÓRIA DE CÁLCULO'!$B:$H,7,)</f>
        <v>0.183</v>
      </c>
      <c r="H55" s="184"/>
      <c r="I55" s="184"/>
      <c r="J55" s="185">
        <f t="shared" ref="J55" si="4">(I55+H55)*G55</f>
        <v>0</v>
      </c>
      <c r="K55" s="162"/>
    </row>
    <row r="56" spans="2:11" x14ac:dyDescent="0.25">
      <c r="B56" s="26"/>
      <c r="D56" s="15"/>
      <c r="E56" s="141"/>
      <c r="G56" s="139"/>
      <c r="H56" s="38"/>
      <c r="I56" s="38"/>
      <c r="J56" s="130"/>
      <c r="K56" s="162"/>
    </row>
    <row r="57" spans="2:11" ht="15" x14ac:dyDescent="0.25">
      <c r="B57" s="477" t="s">
        <v>610</v>
      </c>
      <c r="C57" s="478"/>
      <c r="D57" s="478"/>
      <c r="E57" s="478"/>
      <c r="F57" s="478"/>
      <c r="G57" s="478"/>
      <c r="H57" s="478"/>
      <c r="I57" s="484"/>
      <c r="J57" s="60">
        <f>SUM(J59:J66)</f>
        <v>0</v>
      </c>
      <c r="K57" s="162"/>
    </row>
    <row r="58" spans="2:11" ht="15" x14ac:dyDescent="0.25">
      <c r="B58" s="21">
        <v>6</v>
      </c>
      <c r="C58" s="482" t="s">
        <v>611</v>
      </c>
      <c r="D58" s="482"/>
      <c r="E58" s="482"/>
      <c r="F58" s="482"/>
      <c r="G58" s="482"/>
      <c r="H58" s="482"/>
      <c r="I58" s="482"/>
      <c r="J58" s="483"/>
      <c r="K58" s="162"/>
    </row>
    <row r="59" spans="2:11" x14ac:dyDescent="0.25">
      <c r="B59" s="182" t="s">
        <v>274</v>
      </c>
      <c r="C59" s="88" t="s">
        <v>612</v>
      </c>
      <c r="D59" s="166" t="str">
        <f>VLOOKUP(B59,'MEMÓRIA DE CÁLCULO'!$B:$H,2,)</f>
        <v>97592 SINAPI</v>
      </c>
      <c r="E59" s="116" t="str">
        <f>VLOOKUP(B59,'MEMÓRIA DE CÁLCULO'!$B:$H,3,)</f>
        <v>LUMINÁRIA TIPO PLAFON, DE SOBREPOR, COM 1 LÂMPADA LED DE 12/13 W, SEM REAT</v>
      </c>
      <c r="F59" s="114" t="str">
        <f>VLOOKUP(B59,'MEMÓRIA DE CÁLCULO'!$B:$H,4,)</f>
        <v xml:space="preserve">un </v>
      </c>
      <c r="G59" s="93">
        <f>VLOOKUP(B59,'MEMÓRIA DE CÁLCULO'!$B:$H,7,)</f>
        <v>66</v>
      </c>
      <c r="H59" s="184"/>
      <c r="I59" s="184"/>
      <c r="J59" s="185">
        <f t="shared" ref="J59:J65" si="5">(I59+H59)*G59</f>
        <v>0</v>
      </c>
      <c r="K59" s="162"/>
    </row>
    <row r="60" spans="2:11" x14ac:dyDescent="0.25">
      <c r="B60" s="182" t="s">
        <v>280</v>
      </c>
      <c r="C60" s="88" t="s">
        <v>604</v>
      </c>
      <c r="D60" s="166">
        <f>VLOOKUP(B60,'MEMÓRIA DE CÁLCULO'!$B:$H,2,)</f>
        <v>71440</v>
      </c>
      <c r="E60" s="116" t="str">
        <f>VLOOKUP(B60,'MEMÓRIA DE CÁLCULO'!$B:$H,3,)</f>
        <v>INTERRUPTOR SIMPLES (1 SECAO)</v>
      </c>
      <c r="F60" s="114" t="str">
        <f>VLOOKUP(B60,'MEMÓRIA DE CÁLCULO'!$B:$H,4,)</f>
        <v>und</v>
      </c>
      <c r="G60" s="93">
        <f>VLOOKUP(B60,'MEMÓRIA DE CÁLCULO'!$B:$H,7,)</f>
        <v>11</v>
      </c>
      <c r="H60" s="184"/>
      <c r="I60" s="184"/>
      <c r="J60" s="185">
        <f t="shared" si="5"/>
        <v>0</v>
      </c>
      <c r="K60" s="162"/>
    </row>
    <row r="61" spans="2:11" x14ac:dyDescent="0.25">
      <c r="B61" s="182" t="s">
        <v>282</v>
      </c>
      <c r="C61" s="88" t="s">
        <v>604</v>
      </c>
      <c r="D61" s="166">
        <f>VLOOKUP(B61,'MEMÓRIA DE CÁLCULO'!$B:$H,2,)</f>
        <v>72570</v>
      </c>
      <c r="E61" s="116" t="str">
        <f>VLOOKUP(B61,'MEMÓRIA DE CÁLCULO'!$B:$H,3,)</f>
        <v>TOMADA HEXAGONAL 2P + T - 10A - 250V (LINHA X OU EQUIVALENTE)</v>
      </c>
      <c r="F61" s="114" t="str">
        <f>VLOOKUP(B61,'MEMÓRIA DE CÁLCULO'!$B:$H,4,)</f>
        <v>und</v>
      </c>
      <c r="G61" s="93">
        <f>VLOOKUP(B61,'MEMÓRIA DE CÁLCULO'!$B:$H,7,)</f>
        <v>3</v>
      </c>
      <c r="H61" s="184"/>
      <c r="I61" s="184"/>
      <c r="J61" s="185">
        <f t="shared" si="5"/>
        <v>0</v>
      </c>
      <c r="K61" s="162"/>
    </row>
    <row r="62" spans="2:11" ht="15" customHeight="1" x14ac:dyDescent="0.25">
      <c r="B62" s="182" t="s">
        <v>284</v>
      </c>
      <c r="C62" s="88" t="s">
        <v>604</v>
      </c>
      <c r="D62" s="166" t="str">
        <f>VLOOKUP(B62,'MEMÓRIA DE CÁLCULO'!$B:$H,2,)</f>
        <v>70580</v>
      </c>
      <c r="E62" s="116" t="str">
        <f>VLOOKUP(B62,'MEMÓRIA DE CÁLCULO'!$B:$H,3,)</f>
        <v xml:space="preserve">CABO PVC (70ºC) 1 KV No. 1,5 MM2 </v>
      </c>
      <c r="F62" s="114" t="str">
        <f>VLOOKUP(B62,'MEMÓRIA DE CÁLCULO'!$B:$H,4,)</f>
        <v>m</v>
      </c>
      <c r="G62" s="93">
        <f>VLOOKUP(B62,'MEMÓRIA DE CÁLCULO'!$B:$H,7,)</f>
        <v>750</v>
      </c>
      <c r="H62" s="184"/>
      <c r="I62" s="184"/>
      <c r="J62" s="185">
        <f t="shared" si="5"/>
        <v>0</v>
      </c>
      <c r="K62" s="162"/>
    </row>
    <row r="63" spans="2:11" ht="15" customHeight="1" x14ac:dyDescent="0.25">
      <c r="B63" s="182" t="s">
        <v>289</v>
      </c>
      <c r="C63" s="88" t="s">
        <v>604</v>
      </c>
      <c r="D63" s="166" t="str">
        <f>VLOOKUP(B63,'MEMÓRIA DE CÁLCULO'!$B:$H,2,)</f>
        <v>70563</v>
      </c>
      <c r="E63" s="116" t="str">
        <f>VLOOKUP(B63,'MEMÓRIA DE CÁLCULO'!$B:$H,3,)</f>
        <v xml:space="preserve">CABO ISOLADO PVC 750 V, No. 2,5 MM2 </v>
      </c>
      <c r="F63" s="114" t="str">
        <f>VLOOKUP(B63,'MEMÓRIA DE CÁLCULO'!$B:$H,4,)</f>
        <v>m</v>
      </c>
      <c r="G63" s="93">
        <f>VLOOKUP(B63,'MEMÓRIA DE CÁLCULO'!$B:$H,7,)</f>
        <v>600</v>
      </c>
      <c r="H63" s="184"/>
      <c r="I63" s="184"/>
      <c r="J63" s="185">
        <f t="shared" si="5"/>
        <v>0</v>
      </c>
      <c r="K63" s="162"/>
    </row>
    <row r="64" spans="2:11" ht="15" customHeight="1" x14ac:dyDescent="0.25">
      <c r="B64" s="182" t="s">
        <v>292</v>
      </c>
      <c r="C64" s="88" t="s">
        <v>604</v>
      </c>
      <c r="D64" s="166" t="str">
        <f>VLOOKUP(B64,'MEMÓRIA DE CÁLCULO'!$B:$H,2,)</f>
        <v>70565</v>
      </c>
      <c r="E64" s="116" t="str">
        <f>VLOOKUP(B64,'MEMÓRIA DE CÁLCULO'!$B:$H,3,)</f>
        <v xml:space="preserve">CABO ISOLADO PVC 750 V, No. 6 MM2 </v>
      </c>
      <c r="F64" s="114" t="str">
        <f>VLOOKUP(B64,'MEMÓRIA DE CÁLCULO'!$B:$H,4,)</f>
        <v>m</v>
      </c>
      <c r="G64" s="93">
        <f>VLOOKUP(B64,'MEMÓRIA DE CÁLCULO'!$B:$H,7,)</f>
        <v>600</v>
      </c>
      <c r="H64" s="184"/>
      <c r="I64" s="184"/>
      <c r="J64" s="185">
        <f t="shared" si="5"/>
        <v>0</v>
      </c>
      <c r="K64" s="162"/>
    </row>
    <row r="65" spans="2:11" ht="15" customHeight="1" x14ac:dyDescent="0.25">
      <c r="B65" s="182" t="s">
        <v>295</v>
      </c>
      <c r="C65" s="88" t="s">
        <v>604</v>
      </c>
      <c r="D65" s="166" t="str">
        <f>VLOOKUP(B65,'MEMÓRIA DE CÁLCULO'!$B:$H,2,)</f>
        <v>70571</v>
      </c>
      <c r="E65" s="116" t="str">
        <f>VLOOKUP(B65,'MEMÓRIA DE CÁLCULO'!$B:$H,3,)</f>
        <v>CABO ISOLADO PVC 750 V, No. 16 MM²</v>
      </c>
      <c r="F65" s="114" t="str">
        <f>VLOOKUP(B65,'MEMÓRIA DE CÁLCULO'!$B:$H,4,)</f>
        <v>m</v>
      </c>
      <c r="G65" s="93">
        <f>VLOOKUP(B65,'MEMÓRIA DE CÁLCULO'!$B:$H,7,)</f>
        <v>600</v>
      </c>
      <c r="H65" s="184"/>
      <c r="I65" s="184"/>
      <c r="J65" s="185">
        <f t="shared" si="5"/>
        <v>0</v>
      </c>
      <c r="K65" s="162"/>
    </row>
    <row r="66" spans="2:11" ht="15" customHeight="1" x14ac:dyDescent="0.25">
      <c r="B66" s="170" t="s">
        <v>298</v>
      </c>
      <c r="C66" s="265" t="s">
        <v>604</v>
      </c>
      <c r="D66" s="267">
        <f>VLOOKUP(B66,'MEMÓRIA DE CÁLCULO'!$B:$H,2,)</f>
        <v>71598</v>
      </c>
      <c r="E66" s="268" t="str">
        <f>VLOOKUP(B66,'MEMÓRIA DE CÁLCULO'!$B:$H,3,)</f>
        <v>LUMINÁRIA DE EMERGÊNCIA 30 LEDS</v>
      </c>
      <c r="F66" s="266" t="str">
        <f>VLOOKUP(B66,'MEMÓRIA DE CÁLCULO'!$B:$H,4,)</f>
        <v>und</v>
      </c>
      <c r="G66" s="269">
        <f>VLOOKUP(B66,'MEMÓRIA DE CÁLCULO'!$B:$H,7,)</f>
        <v>35</v>
      </c>
      <c r="H66" s="270"/>
      <c r="I66" s="270"/>
      <c r="J66" s="185">
        <f t="shared" ref="J66" si="6">(I66+H66)*G66</f>
        <v>0</v>
      </c>
      <c r="K66" s="162"/>
    </row>
    <row r="67" spans="2:11" ht="15" customHeight="1" x14ac:dyDescent="0.25">
      <c r="B67" s="26"/>
      <c r="C67" s="127"/>
      <c r="D67" s="127"/>
      <c r="E67" s="111"/>
      <c r="G67" s="128"/>
      <c r="H67" s="129"/>
      <c r="I67" s="129"/>
      <c r="J67" s="130"/>
      <c r="K67" s="162"/>
    </row>
    <row r="68" spans="2:11" s="22" customFormat="1" ht="15" x14ac:dyDescent="0.25">
      <c r="B68" s="477" t="s">
        <v>613</v>
      </c>
      <c r="C68" s="478"/>
      <c r="D68" s="478"/>
      <c r="E68" s="478"/>
      <c r="F68" s="478"/>
      <c r="G68" s="478"/>
      <c r="H68" s="478"/>
      <c r="I68" s="484"/>
      <c r="J68" s="62">
        <f>SUM(J70:J80,J81)</f>
        <v>0</v>
      </c>
      <c r="K68" s="162"/>
    </row>
    <row r="69" spans="2:11" s="22" customFormat="1" ht="15" x14ac:dyDescent="0.25">
      <c r="B69" s="21">
        <v>7</v>
      </c>
      <c r="C69" s="473" t="s">
        <v>614</v>
      </c>
      <c r="D69" s="473"/>
      <c r="E69" s="473"/>
      <c r="F69" s="473"/>
      <c r="G69" s="473"/>
      <c r="H69" s="473"/>
      <c r="I69" s="473"/>
      <c r="J69" s="474"/>
      <c r="K69" s="162"/>
    </row>
    <row r="70" spans="2:11" s="22" customFormat="1" ht="15" x14ac:dyDescent="0.25">
      <c r="B70" s="182" t="s">
        <v>303</v>
      </c>
      <c r="C70" s="88" t="s">
        <v>604</v>
      </c>
      <c r="D70" s="166">
        <f>VLOOKUP(B70,'MEMÓRIA DE CÁLCULO'!$B:$H,2,)</f>
        <v>81829</v>
      </c>
      <c r="E70" s="116" t="str">
        <f>VLOOKUP(B70,'MEMÓRIA DE CÁLCULO'!$B:$H,3,)</f>
        <v>CAIXA DE INSPEÇÃO - TAMPA EM CONCRETO ARMADO 25 MPA E=5CM</v>
      </c>
      <c r="F70" s="114" t="str">
        <f>VLOOKUP(B70,'MEMÓRIA DE CÁLCULO'!$B:$H,4,)</f>
        <v>m²</v>
      </c>
      <c r="G70" s="93">
        <f>VLOOKUP(B70,'MEMÓRIA DE CÁLCULO'!$B:$H,7,)</f>
        <v>17.40795</v>
      </c>
      <c r="H70" s="96"/>
      <c r="I70" s="96"/>
      <c r="J70" s="185">
        <f t="shared" ref="J70:J86" si="7">(I70+H70)*G70</f>
        <v>0</v>
      </c>
      <c r="K70" s="162"/>
    </row>
    <row r="71" spans="2:11" s="22" customFormat="1" ht="15" x14ac:dyDescent="0.25">
      <c r="B71" s="182" t="s">
        <v>312</v>
      </c>
      <c r="C71" s="88" t="s">
        <v>604</v>
      </c>
      <c r="D71" s="166">
        <f>VLOOKUP(B71,'MEMÓRIA DE CÁLCULO'!$B:$H,2,)</f>
        <v>80693</v>
      </c>
      <c r="E71" s="116" t="str">
        <f>VLOOKUP(B71,'MEMÓRIA DE CÁLCULO'!$B:$H,3,)</f>
        <v>TANQUE (PANELAO) INOX 60 X 70 X 40 CM CH.18</v>
      </c>
      <c r="F71" s="114" t="str">
        <f>VLOOKUP(B71,'MEMÓRIA DE CÁLCULO'!$B:$H,4,)</f>
        <v>und</v>
      </c>
      <c r="G71" s="93">
        <f>VLOOKUP(B71,'MEMÓRIA DE CÁLCULO'!$B:$H,7,)</f>
        <v>2</v>
      </c>
      <c r="H71" s="96"/>
      <c r="I71" s="96"/>
      <c r="J71" s="185">
        <f t="shared" si="7"/>
        <v>0</v>
      </c>
      <c r="K71" s="162"/>
    </row>
    <row r="72" spans="2:11" s="22" customFormat="1" ht="28.5" customHeight="1" x14ac:dyDescent="0.25">
      <c r="B72" s="182" t="s">
        <v>314</v>
      </c>
      <c r="C72" s="88" t="s">
        <v>604</v>
      </c>
      <c r="D72" s="267">
        <f>VLOOKUP(B72,'MEMÓRIA DE CÁLCULO'!$B:$H,2,)</f>
        <v>80570</v>
      </c>
      <c r="E72" s="116" t="str">
        <f>VLOOKUP(B72,'MEMÓRIA DE CÁLCULO'!$B:$H,3,)</f>
        <v>TORNEIRA DE MESA PARA LAVATÓRIO DIÂMETRO DE 1/2"</v>
      </c>
      <c r="F72" s="114" t="str">
        <f>VLOOKUP(B72,'MEMÓRIA DE CÁLCULO'!$B:$H,4,)</f>
        <v xml:space="preserve">un </v>
      </c>
      <c r="G72" s="93">
        <f>VLOOKUP(B72,'MEMÓRIA DE CÁLCULO'!$B:$H,7,)</f>
        <v>14</v>
      </c>
      <c r="H72" s="96"/>
      <c r="I72" s="96"/>
      <c r="J72" s="185">
        <f t="shared" si="7"/>
        <v>0</v>
      </c>
      <c r="K72" s="162"/>
    </row>
    <row r="73" spans="2:11" s="22" customFormat="1" ht="15" x14ac:dyDescent="0.25">
      <c r="B73" s="182" t="s">
        <v>320</v>
      </c>
      <c r="C73" s="88" t="s">
        <v>604</v>
      </c>
      <c r="D73" s="267">
        <f>VLOOKUP(B73,'MEMÓRIA DE CÁLCULO'!$B:$H,2,)</f>
        <v>80656</v>
      </c>
      <c r="E73" s="116" t="str">
        <f>VLOOKUP(B73,'MEMÓRIA DE CÁLCULO'!$B:$H,3,)</f>
        <v>TORNEIRA DE MESA PARA PIA DIÂMETRO DE 1/2" - BICA MÓVEL</v>
      </c>
      <c r="F73" s="114" t="str">
        <f>VLOOKUP(B73,'MEMÓRIA DE CÁLCULO'!$B:$H,4,)</f>
        <v xml:space="preserve">un </v>
      </c>
      <c r="G73" s="93">
        <f>VLOOKUP(B73,'MEMÓRIA DE CÁLCULO'!$B:$H,7,)</f>
        <v>2</v>
      </c>
      <c r="H73" s="96"/>
      <c r="I73" s="96"/>
      <c r="J73" s="185">
        <f t="shared" si="7"/>
        <v>0</v>
      </c>
      <c r="K73" s="162"/>
    </row>
    <row r="74" spans="2:11" s="22" customFormat="1" ht="15" x14ac:dyDescent="0.25">
      <c r="B74" s="182" t="s">
        <v>322</v>
      </c>
      <c r="C74" s="88" t="s">
        <v>604</v>
      </c>
      <c r="D74" s="267">
        <f>VLOOKUP(B74,'MEMÓRIA DE CÁLCULO'!$B:$H,2,)</f>
        <v>80561</v>
      </c>
      <c r="E74" s="116" t="str">
        <f>VLOOKUP(B74,'MEMÓRIA DE CÁLCULO'!$B:$H,3,)</f>
        <v>SIFAO P/LAVATORIO PVC DIAM.1"X1.1/2"</v>
      </c>
      <c r="F74" s="114" t="str">
        <f>VLOOKUP(B74,'MEMÓRIA DE CÁLCULO'!$B:$H,4,)</f>
        <v xml:space="preserve">un </v>
      </c>
      <c r="G74" s="93">
        <f>VLOOKUP(B74,'MEMÓRIA DE CÁLCULO'!$B:$H,7,)</f>
        <v>12</v>
      </c>
      <c r="H74" s="96"/>
      <c r="I74" s="96"/>
      <c r="J74" s="185">
        <f t="shared" si="7"/>
        <v>0</v>
      </c>
      <c r="K74" s="162"/>
    </row>
    <row r="75" spans="2:11" x14ac:dyDescent="0.25">
      <c r="B75" s="182" t="s">
        <v>324</v>
      </c>
      <c r="C75" s="88" t="s">
        <v>604</v>
      </c>
      <c r="D75" s="267">
        <f>VLOOKUP(B75,'MEMÓRIA DE CÁLCULO'!$B:$H,2,)</f>
        <v>80671</v>
      </c>
      <c r="E75" s="116" t="str">
        <f>VLOOKUP(B75,'MEMÓRIA DE CÁLCULO'!$B:$H,3,)</f>
        <v>SIFAO PVC P/PIA 1.1/2" X 2"</v>
      </c>
      <c r="F75" s="114" t="str">
        <f>VLOOKUP(B75,'MEMÓRIA DE CÁLCULO'!$B:$H,4,)</f>
        <v xml:space="preserve">un </v>
      </c>
      <c r="G75" s="93">
        <f>VLOOKUP(B75,'MEMÓRIA DE CÁLCULO'!$B:$H,7,)</f>
        <v>4</v>
      </c>
      <c r="H75" s="96"/>
      <c r="I75" s="96"/>
      <c r="J75" s="185">
        <f t="shared" si="7"/>
        <v>0</v>
      </c>
      <c r="K75" s="162"/>
    </row>
    <row r="76" spans="2:11" s="22" customFormat="1" ht="32.25" customHeight="1" x14ac:dyDescent="0.25">
      <c r="B76" s="182" t="s">
        <v>326</v>
      </c>
      <c r="C76" s="282"/>
      <c r="D76" s="283" t="str">
        <f>VLOOKUP(B76,'MEMÓRIA DE CÁLCULO'!$B:$H,2,)</f>
        <v>COMPOSIÇÃO 2</v>
      </c>
      <c r="E76" s="116" t="str">
        <f>VLOOKUP(B76,'MEMÓRIA DE CÁLCULO'!$B:$H,3,)</f>
        <v>CAIXA COM GERLHA RETANGULAR DE FERRO FUNDIDO, DIMENSÕES INTERNAS: 0,15X1,00X0,3M - INCLUSO CANALETA</v>
      </c>
      <c r="F76" s="114" t="str">
        <f>VLOOKUP(B76,'MEMÓRIA DE CÁLCULO'!$B:$H,4,)</f>
        <v>und</v>
      </c>
      <c r="G76" s="93">
        <f>VLOOKUP(B76,'MEMÓRIA DE CÁLCULO'!$B:$H,7,)</f>
        <v>13</v>
      </c>
      <c r="H76" s="96"/>
      <c r="I76" s="96"/>
      <c r="J76" s="185">
        <f t="shared" si="7"/>
        <v>0</v>
      </c>
      <c r="K76" s="162"/>
    </row>
    <row r="77" spans="2:11" s="22" customFormat="1" ht="32.25" customHeight="1" x14ac:dyDescent="0.25">
      <c r="B77" s="182" t="s">
        <v>330</v>
      </c>
      <c r="C77" s="88" t="s">
        <v>604</v>
      </c>
      <c r="D77" s="166">
        <f>VLOOKUP(B77,'MEMÓRIA DE CÁLCULO'!$B:$H,2,)</f>
        <v>80810</v>
      </c>
      <c r="E77" s="116" t="str">
        <f>VLOOKUP(B77,'MEMÓRIA DE CÁLCULO'!$B:$H,3,)</f>
        <v>TORNEIRA DE PAREDE PARA TANQUE COM AREJADOR DIÂMETRO DE 1/2" E 3/4"</v>
      </c>
      <c r="F77" s="114" t="str">
        <f>VLOOKUP(B77,'MEMÓRIA DE CÁLCULO'!$B:$H,4,)</f>
        <v xml:space="preserve">un </v>
      </c>
      <c r="G77" s="93">
        <f>VLOOKUP(B77,'MEMÓRIA DE CÁLCULO'!$B:$H,7,)</f>
        <v>4</v>
      </c>
      <c r="H77" s="96"/>
      <c r="I77" s="96"/>
      <c r="J77" s="185">
        <f t="shared" si="7"/>
        <v>0</v>
      </c>
      <c r="K77" s="162"/>
    </row>
    <row r="78" spans="2:11" s="22" customFormat="1" ht="18.75" customHeight="1" x14ac:dyDescent="0.25">
      <c r="B78" s="182" t="s">
        <v>334</v>
      </c>
      <c r="C78" s="88" t="s">
        <v>604</v>
      </c>
      <c r="D78" s="166">
        <f>VLOOKUP(B78,'MEMÓRIA DE CÁLCULO'!$B:$H,2,)</f>
        <v>82302</v>
      </c>
      <c r="E78" s="116" t="str">
        <f>VLOOKUP(B78,'MEMÓRIA DE CÁLCULO'!$B:$H,3,)</f>
        <v>TUBO SOLD. P/ESGOTO DIAM. 50 MM</v>
      </c>
      <c r="F78" s="114" t="str">
        <f>VLOOKUP(B78,'MEMÓRIA DE CÁLCULO'!$B:$H,4,)</f>
        <v>m</v>
      </c>
      <c r="G78" s="93">
        <f>VLOOKUP(B78,'MEMÓRIA DE CÁLCULO'!$B:$H,7,)</f>
        <v>48</v>
      </c>
      <c r="H78" s="96"/>
      <c r="I78" s="96"/>
      <c r="J78" s="185">
        <f t="shared" si="7"/>
        <v>0</v>
      </c>
      <c r="K78" s="162"/>
    </row>
    <row r="79" spans="2:11" s="22" customFormat="1" ht="23.25" customHeight="1" x14ac:dyDescent="0.25">
      <c r="B79" s="182" t="s">
        <v>337</v>
      </c>
      <c r="C79" s="88" t="s">
        <v>604</v>
      </c>
      <c r="D79" s="166">
        <f>VLOOKUP(B79,'MEMÓRIA DE CÁLCULO'!$B:$H,2,)</f>
        <v>82304</v>
      </c>
      <c r="E79" s="116" t="str">
        <f>VLOOKUP(B79,'MEMÓRIA DE CÁLCULO'!$B:$H,3,)</f>
        <v>TUBO SOLDAVEL P/ESGOTO DIAM. 100 MM</v>
      </c>
      <c r="F79" s="114" t="str">
        <f>VLOOKUP(B79,'MEMÓRIA DE CÁLCULO'!$B:$H,4,)</f>
        <v>m</v>
      </c>
      <c r="G79" s="93">
        <f>VLOOKUP(B79,'MEMÓRIA DE CÁLCULO'!$B:$H,7,)</f>
        <v>40</v>
      </c>
      <c r="H79" s="96"/>
      <c r="I79" s="96"/>
      <c r="J79" s="185">
        <f t="shared" si="7"/>
        <v>0</v>
      </c>
      <c r="K79" s="162"/>
    </row>
    <row r="80" spans="2:11" s="22" customFormat="1" ht="21.75" customHeight="1" x14ac:dyDescent="0.25">
      <c r="B80" s="182" t="s">
        <v>339</v>
      </c>
      <c r="C80" s="88" t="s">
        <v>604</v>
      </c>
      <c r="D80" s="166">
        <f>VLOOKUP(B80,'MEMÓRIA DE CÁLCULO'!$B:$H,2,)</f>
        <v>81661</v>
      </c>
      <c r="E80" s="116" t="str">
        <f>VLOOKUP(B80,'MEMÓRIA DE CÁLCULO'!$B:$H,3,)</f>
        <v>CORPO CX. SIFONADA DIAM. 100 X 100 X 50</v>
      </c>
      <c r="F80" s="114" t="str">
        <f>VLOOKUP(B80,'MEMÓRIA DE CÁLCULO'!$B:$H,4,)</f>
        <v>und</v>
      </c>
      <c r="G80" s="93">
        <f>VLOOKUP(B80,'MEMÓRIA DE CÁLCULO'!$B:$H,7,)</f>
        <v>4</v>
      </c>
      <c r="H80" s="96"/>
      <c r="I80" s="96"/>
      <c r="J80" s="185">
        <f t="shared" si="7"/>
        <v>0</v>
      </c>
      <c r="K80" s="162"/>
    </row>
    <row r="81" spans="2:11" s="17" customFormat="1" ht="15" x14ac:dyDescent="0.25">
      <c r="B81" s="510" t="s">
        <v>341</v>
      </c>
      <c r="C81" s="511"/>
      <c r="D81" s="511"/>
      <c r="E81" s="511"/>
      <c r="F81" s="511"/>
      <c r="G81" s="511"/>
      <c r="H81" s="511"/>
      <c r="I81" s="511"/>
      <c r="J81" s="255">
        <f>SUM(J82:J87)</f>
        <v>0</v>
      </c>
      <c r="K81" s="162"/>
    </row>
    <row r="82" spans="2:11" s="17" customFormat="1" x14ac:dyDescent="0.25">
      <c r="B82" s="182" t="s">
        <v>342</v>
      </c>
      <c r="C82" s="271" t="s">
        <v>604</v>
      </c>
      <c r="D82" s="260">
        <f>VLOOKUP(B82,'MEMÓRIA DE CÁLCULO'!$B:$H,2,)</f>
        <v>85003</v>
      </c>
      <c r="E82" s="261" t="str">
        <f>VLOOKUP(B82,'MEMÓRIA DE CÁLCULO'!$B:$H,3,)</f>
        <v>EXTINTOR PO QUIMICO SECO (6 KG) - CAPACIDADE EXTINTORA 20 BC</v>
      </c>
      <c r="F82" s="262" t="str">
        <f>VLOOKUP(B82,'MEMÓRIA DE CÁLCULO'!$B:$H,4,)</f>
        <v>und</v>
      </c>
      <c r="G82" s="263">
        <f>VLOOKUP(B82,'MEMÓRIA DE CÁLCULO'!$B:$H,7,)</f>
        <v>10</v>
      </c>
      <c r="H82" s="272"/>
      <c r="I82" s="272"/>
      <c r="J82" s="185">
        <f t="shared" si="7"/>
        <v>0</v>
      </c>
      <c r="K82" s="162"/>
    </row>
    <row r="83" spans="2:11" s="17" customFormat="1" x14ac:dyDescent="0.25">
      <c r="B83" s="182" t="s">
        <v>344</v>
      </c>
      <c r="C83" s="88"/>
      <c r="D83" s="166" t="str">
        <f>VLOOKUP(B83,'MEMÓRIA DE CÁLCULO'!$B:$H,2,)</f>
        <v>COMPOSIÇÃO 7</v>
      </c>
      <c r="E83" s="116" t="str">
        <f>VLOOKUP(B83,'MEMÓRIA DE CÁLCULO'!$B:$H,3,)</f>
        <v>PLACA DE SINALIZAÇÃO - 13X26 CM - LETREIRO SAÍDA</v>
      </c>
      <c r="F83" s="114" t="str">
        <f>VLOOKUP(B83,'MEMÓRIA DE CÁLCULO'!$B:$H,4,)</f>
        <v>und</v>
      </c>
      <c r="G83" s="93">
        <f>VLOOKUP(B83,'MEMÓRIA DE CÁLCULO'!$B:$H,7,)</f>
        <v>4</v>
      </c>
      <c r="H83" s="121"/>
      <c r="I83" s="121"/>
      <c r="J83" s="185">
        <f t="shared" si="7"/>
        <v>0</v>
      </c>
      <c r="K83" s="162"/>
    </row>
    <row r="84" spans="2:11" s="17" customFormat="1" x14ac:dyDescent="0.25">
      <c r="B84" s="182" t="s">
        <v>347</v>
      </c>
      <c r="C84" s="88"/>
      <c r="D84" s="166" t="str">
        <f>VLOOKUP(B84,'MEMÓRIA DE CÁLCULO'!$B:$H,2,)</f>
        <v>COMPOSIÇÃO 6</v>
      </c>
      <c r="E84" s="116" t="str">
        <f>VLOOKUP(B84,'MEMÓRIA DE CÁLCULO'!$B:$H,3,)</f>
        <v>PLACA DE SINALIZAÇÃO - 13X26 CM - SAÍDA SETA DIREITA</v>
      </c>
      <c r="F84" s="114" t="str">
        <f>VLOOKUP(B84,'MEMÓRIA DE CÁLCULO'!$B:$H,4,)</f>
        <v>und</v>
      </c>
      <c r="G84" s="93">
        <f>VLOOKUP(B84,'MEMÓRIA DE CÁLCULO'!$B:$H,7,)</f>
        <v>6</v>
      </c>
      <c r="H84" s="121"/>
      <c r="I84" s="121"/>
      <c r="J84" s="185">
        <f t="shared" si="7"/>
        <v>0</v>
      </c>
      <c r="K84" s="162"/>
    </row>
    <row r="85" spans="2:11" s="17" customFormat="1" x14ac:dyDescent="0.25">
      <c r="B85" s="182" t="s">
        <v>350</v>
      </c>
      <c r="C85" s="88"/>
      <c r="D85" s="166" t="str">
        <f>VLOOKUP(B85,'MEMÓRIA DE CÁLCULO'!$B:$H,2,)</f>
        <v>COMPOSIÇÃO 5</v>
      </c>
      <c r="E85" s="116" t="str">
        <f>VLOOKUP(B85,'MEMÓRIA DE CÁLCULO'!$B:$H,3,)</f>
        <v>PLACA DE SINALIZAÇÃO - 13X26 CM - SAÍDA SETA ESQUERDA</v>
      </c>
      <c r="F85" s="114" t="str">
        <f>VLOOKUP(B85,'MEMÓRIA DE CÁLCULO'!$B:$H,4,)</f>
        <v>und</v>
      </c>
      <c r="G85" s="93">
        <f>VLOOKUP(B85,'MEMÓRIA DE CÁLCULO'!$B:$H,7,)</f>
        <v>5</v>
      </c>
      <c r="H85" s="121"/>
      <c r="I85" s="121"/>
      <c r="J85" s="185">
        <f t="shared" si="7"/>
        <v>0</v>
      </c>
      <c r="K85" s="162"/>
    </row>
    <row r="86" spans="2:11" s="17" customFormat="1" x14ac:dyDescent="0.25">
      <c r="B86" s="182" t="s">
        <v>353</v>
      </c>
      <c r="C86" s="88"/>
      <c r="D86" s="166" t="str">
        <f>VLOOKUP(B86,'MEMÓRIA DE CÁLCULO'!$B:$H,2,)</f>
        <v>COMPOSIÇÃO 4</v>
      </c>
      <c r="E86" s="116" t="str">
        <f>VLOOKUP(B86,'MEMÓRIA DE CÁLCULO'!$B:$H,3,)</f>
        <v>PLACA DE SINALIZAÇÃO - 20X20 CM - EXTINTOR</v>
      </c>
      <c r="F86" s="114" t="str">
        <f>VLOOKUP(B86,'MEMÓRIA DE CÁLCULO'!$B:$H,4,)</f>
        <v>und</v>
      </c>
      <c r="G86" s="93">
        <f>VLOOKUP(B86,'MEMÓRIA DE CÁLCULO'!$B:$H,7,)</f>
        <v>9</v>
      </c>
      <c r="H86" s="121"/>
      <c r="I86" s="121"/>
      <c r="J86" s="185">
        <f t="shared" si="7"/>
        <v>0</v>
      </c>
      <c r="K86" s="162"/>
    </row>
    <row r="87" spans="2:11" s="17" customFormat="1" x14ac:dyDescent="0.25">
      <c r="B87" s="182" t="s">
        <v>356</v>
      </c>
      <c r="C87" s="88" t="s">
        <v>604</v>
      </c>
      <c r="D87" s="166">
        <f>VLOOKUP(B87,'MEMÓRIA DE CÁLCULO'!$B:$H,2,)</f>
        <v>85001</v>
      </c>
      <c r="E87" s="116" t="str">
        <f>VLOOKUP(B87,'MEMÓRIA DE CÁLCULO'!$B:$H,3,)</f>
        <v>EXTINTOR CO2 (6 KG) - CAPACIDADE EXTINTORA 5 BC</v>
      </c>
      <c r="F87" s="114" t="str">
        <f>VLOOKUP(B87,'MEMÓRIA DE CÁLCULO'!$B:$H,4,)</f>
        <v>und</v>
      </c>
      <c r="G87" s="93">
        <f>VLOOKUP(B87,'MEMÓRIA DE CÁLCULO'!$B:$H,7,)</f>
        <v>3</v>
      </c>
      <c r="H87" s="121"/>
      <c r="I87" s="121"/>
      <c r="J87" s="185">
        <f t="shared" ref="J87" si="8">(I87+H87)*G87</f>
        <v>0</v>
      </c>
      <c r="K87" s="162"/>
    </row>
    <row r="88" spans="2:11" s="17" customFormat="1" x14ac:dyDescent="0.25">
      <c r="B88" s="26"/>
      <c r="C88" s="15"/>
      <c r="D88" s="15"/>
      <c r="E88" s="257"/>
      <c r="F88" s="254"/>
      <c r="G88" s="132"/>
      <c r="H88" s="140"/>
      <c r="I88" s="140"/>
      <c r="J88" s="130"/>
      <c r="K88" s="162"/>
    </row>
    <row r="89" spans="2:11" s="17" customFormat="1" ht="15" x14ac:dyDescent="0.25">
      <c r="B89" s="477" t="s">
        <v>615</v>
      </c>
      <c r="C89" s="478"/>
      <c r="D89" s="478"/>
      <c r="E89" s="478"/>
      <c r="F89" s="478"/>
      <c r="G89" s="478"/>
      <c r="H89" s="478"/>
      <c r="I89" s="484"/>
      <c r="J89" s="61">
        <f>SUM(J91:J101)</f>
        <v>0</v>
      </c>
      <c r="K89" s="162"/>
    </row>
    <row r="90" spans="2:11" s="17" customFormat="1" ht="15" x14ac:dyDescent="0.25">
      <c r="B90" s="21">
        <v>8</v>
      </c>
      <c r="C90" s="473" t="s">
        <v>359</v>
      </c>
      <c r="D90" s="473"/>
      <c r="E90" s="473"/>
      <c r="F90" s="473"/>
      <c r="G90" s="473"/>
      <c r="H90" s="473"/>
      <c r="I90" s="473"/>
      <c r="J90" s="474"/>
      <c r="K90" s="162"/>
    </row>
    <row r="91" spans="2:11" s="17" customFormat="1" ht="30" customHeight="1" x14ac:dyDescent="0.25">
      <c r="B91" s="182" t="s">
        <v>360</v>
      </c>
      <c r="C91" s="88" t="s">
        <v>604</v>
      </c>
      <c r="D91" s="166">
        <f>VLOOKUP(B91,'MEMÓRIA DE CÁLCULO'!$B:$H,2,)</f>
        <v>91007</v>
      </c>
      <c r="E91" s="117" t="str">
        <f>VLOOKUP(B91,'MEMÓRIA DE CÁLCULO'!$B:$H,3,)</f>
        <v>CENTRAL DE GÁS PADRÃO GOINFRA/2019 COMPLETA, EXCLUSO AS INSTALAÇÕES MECÂNICAS (1+1 CILINDRO P-45)</v>
      </c>
      <c r="F91" s="114" t="str">
        <f>VLOOKUP(B91,'MEMÓRIA DE CÁLCULO'!$B:$H,4,)</f>
        <v>und</v>
      </c>
      <c r="G91" s="93">
        <f>VLOOKUP(B91,'MEMÓRIA DE CÁLCULO'!$B:$H,7,)</f>
        <v>1</v>
      </c>
      <c r="H91" s="121"/>
      <c r="I91" s="121"/>
      <c r="J91" s="101">
        <f>(I91+H91)*G91</f>
        <v>0</v>
      </c>
      <c r="K91" s="162"/>
    </row>
    <row r="92" spans="2:11" x14ac:dyDescent="0.25">
      <c r="B92" s="182" t="s">
        <v>363</v>
      </c>
      <c r="C92" s="88" t="s">
        <v>604</v>
      </c>
      <c r="D92" s="166">
        <f>VLOOKUP(B92,'MEMÓRIA DE CÁLCULO'!$B:$H,2,)</f>
        <v>91012</v>
      </c>
      <c r="E92" s="116" t="str">
        <f>VLOOKUP(B92,'MEMÓRIA DE CÁLCULO'!$B:$H,3,)</f>
        <v>TUBO DE AÇO GALVANIZADO 3/4" SCHEDULE 40, ROSCA NPT - NBR 5590</v>
      </c>
      <c r="F92" s="114" t="str">
        <f>VLOOKUP(B92,'MEMÓRIA DE CÁLCULO'!$B:$H,4,)</f>
        <v>m</v>
      </c>
      <c r="G92" s="93">
        <f>VLOOKUP(B92,'MEMÓRIA DE CÁLCULO'!$B:$H,7,)</f>
        <v>10</v>
      </c>
      <c r="H92" s="121"/>
      <c r="I92" s="121"/>
      <c r="J92" s="101">
        <f t="shared" ref="J92:J100" si="9">(I92+H92)*G92</f>
        <v>0</v>
      </c>
      <c r="K92" s="162"/>
    </row>
    <row r="93" spans="2:11" x14ac:dyDescent="0.25">
      <c r="B93" s="182" t="s">
        <v>365</v>
      </c>
      <c r="C93" s="88" t="s">
        <v>604</v>
      </c>
      <c r="D93" s="166">
        <f>VLOOKUP(B93,'MEMÓRIA DE CÁLCULO'!$B:$H,2,)</f>
        <v>91018</v>
      </c>
      <c r="E93" s="116" t="str">
        <f>VLOOKUP(B93,'MEMÓRIA DE CÁLCULO'!$B:$H,3,)</f>
        <v>COTOVELO 90º FERRO MALEÁVEL GALVANIZADO 3/4" CLASSE 150 ROSCA NPT NBR 6925</v>
      </c>
      <c r="F93" s="114" t="str">
        <f>VLOOKUP(B93,'MEMÓRIA DE CÁLCULO'!$B:$H,4,)</f>
        <v>und</v>
      </c>
      <c r="G93" s="93">
        <f>VLOOKUP(B93,'MEMÓRIA DE CÁLCULO'!$B:$H,7,)</f>
        <v>8</v>
      </c>
      <c r="H93" s="121"/>
      <c r="I93" s="121"/>
      <c r="J93" s="101">
        <f t="shared" si="9"/>
        <v>0</v>
      </c>
      <c r="K93" s="162"/>
    </row>
    <row r="94" spans="2:11" x14ac:dyDescent="0.25">
      <c r="B94" s="182" t="s">
        <v>367</v>
      </c>
      <c r="C94" s="88" t="s">
        <v>604</v>
      </c>
      <c r="D94" s="166">
        <f>VLOOKUP(B94,'MEMÓRIA DE CÁLCULO'!$B:$H,2,)</f>
        <v>91020</v>
      </c>
      <c r="E94" s="116" t="str">
        <f>VLOOKUP(B94,'MEMÓRIA DE CÁLCULO'!$B:$H,3,)</f>
        <v>TE DE FERRO MALEÁVEL GALVANIZADO 3/4" CLASSE 150 ROSCA NPT NBR 6925</v>
      </c>
      <c r="F94" s="114" t="str">
        <f>VLOOKUP(B94,'MEMÓRIA DE CÁLCULO'!$B:$H,4,)</f>
        <v>und</v>
      </c>
      <c r="G94" s="93">
        <f>VLOOKUP(B94,'MEMÓRIA DE CÁLCULO'!$B:$H,7,)</f>
        <v>2</v>
      </c>
      <c r="H94" s="121"/>
      <c r="I94" s="121"/>
      <c r="J94" s="101">
        <f t="shared" si="9"/>
        <v>0</v>
      </c>
      <c r="K94" s="162"/>
    </row>
    <row r="95" spans="2:11" x14ac:dyDescent="0.25">
      <c r="B95" s="182" t="s">
        <v>369</v>
      </c>
      <c r="C95" s="88" t="s">
        <v>604</v>
      </c>
      <c r="D95" s="166">
        <f>VLOOKUP(B95,'MEMÓRIA DE CÁLCULO'!$B:$H,2,)</f>
        <v>91021</v>
      </c>
      <c r="E95" s="116" t="str">
        <f>VLOOKUP(B95,'MEMÓRIA DE CÁLCULO'!$B:$H,3,)</f>
        <v>LUVA REDUÇÃO DE FERRO MALEÁVEL GALVANIZADO 3/4" X 1/2", CLASSE 150, ROSCA NPT - NBR 6925</v>
      </c>
      <c r="F95" s="114" t="str">
        <f>VLOOKUP(B95,'MEMÓRIA DE CÁLCULO'!$B:$H,4,)</f>
        <v>und</v>
      </c>
      <c r="G95" s="93">
        <f>VLOOKUP(B95,'MEMÓRIA DE CÁLCULO'!$B:$H,7,)</f>
        <v>4</v>
      </c>
      <c r="H95" s="121"/>
      <c r="I95" s="121"/>
      <c r="J95" s="101">
        <f t="shared" si="9"/>
        <v>0</v>
      </c>
      <c r="K95" s="162"/>
    </row>
    <row r="96" spans="2:11" x14ac:dyDescent="0.25">
      <c r="B96" s="182" t="s">
        <v>371</v>
      </c>
      <c r="C96" s="88" t="s">
        <v>604</v>
      </c>
      <c r="D96" s="166">
        <f>VLOOKUP(B96,'MEMÓRIA DE CÁLCULO'!$B:$H,2,)</f>
        <v>91025</v>
      </c>
      <c r="E96" s="116" t="str">
        <f>VLOOKUP(B96,'MEMÓRIA DE CÁLCULO'!$B:$H,3,)</f>
        <v>VÁLVULA DE ESFERA TRIPARTIDA 3/4", PASSAGEM PLENA, ROSCA NPT, CLASSE 300 - NORMA ASME B16.34</v>
      </c>
      <c r="F96" s="114" t="str">
        <f>VLOOKUP(B96,'MEMÓRIA DE CÁLCULO'!$B:$H,4,)</f>
        <v>und</v>
      </c>
      <c r="G96" s="93">
        <f>VLOOKUP(B96,'MEMÓRIA DE CÁLCULO'!$B:$H,7,)</f>
        <v>2</v>
      </c>
      <c r="H96" s="121"/>
      <c r="I96" s="121"/>
      <c r="J96" s="101">
        <f t="shared" si="9"/>
        <v>0</v>
      </c>
      <c r="K96" s="162"/>
    </row>
    <row r="97" spans="2:11" x14ac:dyDescent="0.25">
      <c r="B97" s="182" t="s">
        <v>373</v>
      </c>
      <c r="C97" s="88" t="s">
        <v>604</v>
      </c>
      <c r="D97" s="166">
        <f>VLOOKUP(B97,'MEMÓRIA DE CÁLCULO'!$B:$H,2,)</f>
        <v>91029</v>
      </c>
      <c r="E97" s="116" t="str">
        <f>VLOOKUP(B97,'MEMÓRIA DE CÁLCULO'!$B:$H,3,)</f>
        <v>VÁLVULA DE RETENÇÃO EM LATÃO 7/16" NS (I) X 1/2" NPT (E)</v>
      </c>
      <c r="F97" s="114" t="str">
        <f>VLOOKUP(B97,'MEMÓRIA DE CÁLCULO'!$B:$H,4,)</f>
        <v>und</v>
      </c>
      <c r="G97" s="93">
        <f>VLOOKUP(B97,'MEMÓRIA DE CÁLCULO'!$B:$H,7,)</f>
        <v>1</v>
      </c>
      <c r="H97" s="121"/>
      <c r="I97" s="121"/>
      <c r="J97" s="101">
        <f t="shared" si="9"/>
        <v>0</v>
      </c>
      <c r="K97" s="162"/>
    </row>
    <row r="98" spans="2:11" ht="28.5" x14ac:dyDescent="0.25">
      <c r="B98" s="182" t="s">
        <v>375</v>
      </c>
      <c r="C98" s="88" t="s">
        <v>604</v>
      </c>
      <c r="D98" s="166">
        <f>VLOOKUP(B98,'MEMÓRIA DE CÁLCULO'!$B:$H,2,)</f>
        <v>91041</v>
      </c>
      <c r="E98" s="117" t="str">
        <f>VLOOKUP(B98,'MEMÓRIA DE CÁLCULO'!$B:$H,3,)</f>
        <v>CHICOTE "PIGTAIL" FLEXÍVEL PARA P-45 DE MANGUEIRA NITRÍLICA COM COMPRIMENTO DE 500 MM E ROSCA DAS CONEXÕES DE 7/8" R.E. X 7/16"NS OU M20 X 7/16" NS - NBR 13419</v>
      </c>
      <c r="F98" s="114" t="str">
        <f>VLOOKUP(B98,'MEMÓRIA DE CÁLCULO'!$B:$H,4,)</f>
        <v>und</v>
      </c>
      <c r="G98" s="93">
        <f>VLOOKUP(B98,'MEMÓRIA DE CÁLCULO'!$B:$H,7,)</f>
        <v>2</v>
      </c>
      <c r="H98" s="121"/>
      <c r="I98" s="121"/>
      <c r="J98" s="101">
        <f t="shared" si="9"/>
        <v>0</v>
      </c>
      <c r="K98" s="162"/>
    </row>
    <row r="99" spans="2:11" ht="47.25" customHeight="1" x14ac:dyDescent="0.25">
      <c r="B99" s="182" t="s">
        <v>377</v>
      </c>
      <c r="C99" s="88" t="s">
        <v>604</v>
      </c>
      <c r="D99" s="166">
        <f>VLOOKUP(B99,'MEMÓRIA DE CÁLCULO'!$B:$H,2,)</f>
        <v>91045</v>
      </c>
      <c r="E99" s="117" t="str">
        <f>VLOOKUP(B99,'MEMÓRIA DE CÁLCULO'!$B:$H,3,)</f>
        <v>SUPORTE "L" , EM FERRO CHATO 1/8" X 1" PINTADO (42CM) PARA TUBO DE AÇO GALVANIZADO 3/4" - INCLUSO ABRAÇADEIRA TIPO "U" 3/4"/PARAFUSOS/PORCAS/ ARRUELAS, BEM COMO A FIXAÇÃO NA PAREDE COM BUCHAS/PARAFUSOS.</v>
      </c>
      <c r="F99" s="114" t="str">
        <f>VLOOKUP(B99,'MEMÓRIA DE CÁLCULO'!$B:$H,4,)</f>
        <v>und</v>
      </c>
      <c r="G99" s="93">
        <f>VLOOKUP(B99,'MEMÓRIA DE CÁLCULO'!$B:$H,7,)</f>
        <v>2</v>
      </c>
      <c r="H99" s="121"/>
      <c r="I99" s="121"/>
      <c r="J99" s="101">
        <f t="shared" si="9"/>
        <v>0</v>
      </c>
      <c r="K99" s="162"/>
    </row>
    <row r="100" spans="2:11" x14ac:dyDescent="0.25">
      <c r="B100" s="182" t="s">
        <v>379</v>
      </c>
      <c r="C100" s="88" t="s">
        <v>604</v>
      </c>
      <c r="D100" s="166">
        <f>VLOOKUP(B100,'MEMÓRIA DE CÁLCULO'!$B:$H,2,)</f>
        <v>91046</v>
      </c>
      <c r="E100" s="116" t="str">
        <f>VLOOKUP(B100,'MEMÓRIA DE CÁLCULO'!$B:$H,3,)</f>
        <v>PLACA DE SINALIZAÇÃO EM ALUMÍNIO 35 X 25 CM - "PERIGO - GÁS INFLAMÁVEL - PROIBIDO FUMAR</v>
      </c>
      <c r="F100" s="114" t="str">
        <f>VLOOKUP(B100,'MEMÓRIA DE CÁLCULO'!$B:$H,4,)</f>
        <v>und</v>
      </c>
      <c r="G100" s="93">
        <f>VLOOKUP(B100,'MEMÓRIA DE CÁLCULO'!$B:$H,7,)</f>
        <v>1</v>
      </c>
      <c r="H100" s="121"/>
      <c r="I100" s="121"/>
      <c r="J100" s="101">
        <f t="shared" si="9"/>
        <v>0</v>
      </c>
      <c r="K100" s="162"/>
    </row>
    <row r="101" spans="2:11" x14ac:dyDescent="0.25">
      <c r="B101" s="182" t="s">
        <v>381</v>
      </c>
      <c r="C101" s="88" t="s">
        <v>604</v>
      </c>
      <c r="D101" s="166">
        <f>VLOOKUP(B101,'MEMÓRIA DE CÁLCULO'!$B:$H,2,)</f>
        <v>91011</v>
      </c>
      <c r="E101" s="116" t="str">
        <f>VLOOKUP(B101,'MEMÓRIA DE CÁLCULO'!$B:$H,3,)</f>
        <v>REGULADOR DE PRESSÃO PRIMEIRO ESTÁGIO, 8 KG/H, REGULÁVEL COM MANÔMETRO, PRESSÃO DE ENTRADA 2 A 18 BAR E PRESSÃO DE SAÍDA 0,5 A 2 BAR, CONEXÕES DE ENTRADA E SAÍDA 1/4" NPT</v>
      </c>
      <c r="F101" s="114" t="str">
        <f>VLOOKUP(B101,'MEMÓRIA DE CÁLCULO'!$B:$H,4,)</f>
        <v>und</v>
      </c>
      <c r="G101" s="93">
        <f>VLOOKUP(B101,'MEMÓRIA DE CÁLCULO'!$B:$H,7,)</f>
        <v>1</v>
      </c>
      <c r="H101" s="121"/>
      <c r="I101" s="121"/>
      <c r="J101" s="101">
        <f>(I101+H101)*G101</f>
        <v>0</v>
      </c>
      <c r="K101" s="162"/>
    </row>
    <row r="102" spans="2:11" x14ac:dyDescent="0.25">
      <c r="B102" s="136"/>
      <c r="C102" s="137"/>
      <c r="D102" s="138"/>
      <c r="E102" s="111"/>
      <c r="F102" s="139"/>
      <c r="H102" s="140"/>
      <c r="I102" s="140"/>
      <c r="J102" s="130"/>
      <c r="K102" s="162"/>
    </row>
    <row r="103" spans="2:11" ht="15" x14ac:dyDescent="0.25">
      <c r="B103" s="477" t="s">
        <v>616</v>
      </c>
      <c r="C103" s="478"/>
      <c r="D103" s="478"/>
      <c r="E103" s="478"/>
      <c r="F103" s="478"/>
      <c r="G103" s="478"/>
      <c r="H103" s="478"/>
      <c r="I103" s="484"/>
      <c r="J103" s="61">
        <f>SUM(J105:J105)</f>
        <v>0</v>
      </c>
      <c r="K103" s="162"/>
    </row>
    <row r="104" spans="2:11" ht="15" x14ac:dyDescent="0.25">
      <c r="B104" s="21">
        <v>9</v>
      </c>
      <c r="C104" s="473" t="s">
        <v>617</v>
      </c>
      <c r="D104" s="473"/>
      <c r="E104" s="473"/>
      <c r="F104" s="473"/>
      <c r="G104" s="473"/>
      <c r="H104" s="473"/>
      <c r="I104" s="473"/>
      <c r="J104" s="474"/>
      <c r="K104" s="162"/>
    </row>
    <row r="105" spans="2:11" x14ac:dyDescent="0.25">
      <c r="B105" s="100" t="s">
        <v>385</v>
      </c>
      <c r="C105" s="88" t="s">
        <v>604</v>
      </c>
      <c r="D105" s="119">
        <f>VLOOKUP(B105,'MEMÓRIA DE CÁLCULO'!B:H,2,)</f>
        <v>100160</v>
      </c>
      <c r="E105" s="91" t="str">
        <f>VLOOKUP(B105,'MEMÓRIA DE CÁLCULO'!B:H,3,)</f>
        <v>ALVENARIA DE TIJOLO FURADO 1/2 VEZ 14X29X9 - 6 FUROS - ARG. (1CALH:4ARML+100KG DE CI/M3)</v>
      </c>
      <c r="F105" s="114" t="str">
        <f>VLOOKUP(B105,'MEMÓRIA DE CÁLCULO'!$B:$H,4,)</f>
        <v>m²</v>
      </c>
      <c r="G105" s="89">
        <f>VLOOKUP(B105,'MEMÓRIA DE CÁLCULO'!B:H,7,)</f>
        <v>29.009999999999998</v>
      </c>
      <c r="H105" s="94"/>
      <c r="I105" s="94"/>
      <c r="J105" s="101">
        <f t="shared" ref="J105" si="10">(I105+H105)*G105</f>
        <v>0</v>
      </c>
      <c r="K105" s="162"/>
    </row>
    <row r="106" spans="2:11" ht="15" customHeight="1" x14ac:dyDescent="0.25">
      <c r="B106" s="26"/>
      <c r="D106" s="134"/>
      <c r="E106" s="111"/>
      <c r="H106" s="38"/>
      <c r="I106" s="38"/>
      <c r="J106" s="130"/>
      <c r="K106" s="162"/>
    </row>
    <row r="107" spans="2:11" ht="15" x14ac:dyDescent="0.25">
      <c r="B107" s="477" t="s">
        <v>618</v>
      </c>
      <c r="C107" s="478"/>
      <c r="D107" s="478"/>
      <c r="E107" s="478"/>
      <c r="F107" s="478"/>
      <c r="G107" s="478"/>
      <c r="H107" s="478"/>
      <c r="I107" s="484"/>
      <c r="J107" s="61">
        <f>SUM(J109:J111)</f>
        <v>0</v>
      </c>
      <c r="K107" s="162"/>
    </row>
    <row r="108" spans="2:11" ht="15" x14ac:dyDescent="0.25">
      <c r="B108" s="21">
        <v>10</v>
      </c>
      <c r="C108" s="473" t="s">
        <v>392</v>
      </c>
      <c r="D108" s="473"/>
      <c r="E108" s="473"/>
      <c r="F108" s="473"/>
      <c r="G108" s="473"/>
      <c r="H108" s="473"/>
      <c r="I108" s="473"/>
      <c r="J108" s="474"/>
      <c r="K108" s="162"/>
    </row>
    <row r="109" spans="2:11" ht="28.5" x14ac:dyDescent="0.25">
      <c r="B109" s="182" t="s">
        <v>394</v>
      </c>
      <c r="C109" s="166" t="s">
        <v>604</v>
      </c>
      <c r="D109" s="166">
        <f>VLOOKUP(B109,'MEMÓRIA DE CÁLCULO'!B:H,2,)</f>
        <v>121105</v>
      </c>
      <c r="E109" s="167" t="str">
        <f>VLOOKUP(B109,'MEMÓRIA DE CÁLCULO'!B:H,3,)</f>
        <v>IMPERMEABILIZAÇÃO DE ALICERCE / "PÉ" DE PAREDE / PEITORIL E ALVENARIA DE UM MODO GERAL COM CIMENTO CRISTALIZANTE SEMI FLEXÍVEL - 2 DEMÃOS ( ESPECÍFICO PARA OBRAS DE REFORMA)</v>
      </c>
      <c r="F109" s="114" t="str">
        <f>VLOOKUP(B109,'MEMÓRIA DE CÁLCULO'!$B:$H,4,)</f>
        <v>m²</v>
      </c>
      <c r="G109" s="168">
        <f>VLOOKUP(B109,'MEMÓRIA DE CÁLCULO'!B:H,7,)</f>
        <v>760.5564999999998</v>
      </c>
      <c r="H109" s="186"/>
      <c r="I109" s="186"/>
      <c r="J109" s="101">
        <f t="shared" ref="J109:J111" si="11">(I109+H109)*G109</f>
        <v>0</v>
      </c>
      <c r="K109" s="162"/>
    </row>
    <row r="110" spans="2:11" s="17" customFormat="1" x14ac:dyDescent="0.25">
      <c r="B110" s="120" t="s">
        <v>396</v>
      </c>
      <c r="C110" s="95" t="s">
        <v>604</v>
      </c>
      <c r="D110" s="95">
        <f>VLOOKUP(B110,'MEMÓRIA DE CÁLCULO'!B:H,2,)</f>
        <v>121001</v>
      </c>
      <c r="E110" s="91" t="str">
        <f>VLOOKUP(B110,'MEMÓRIA DE CÁLCULO'!B:H,3,)</f>
        <v>IMPERMEABILIZAÇÃO-REBAIXO BANHEIRO COM 4 DEMÃOS DE EMULSÃO ASFÁLTICA</v>
      </c>
      <c r="F110" s="114" t="str">
        <f>VLOOKUP(B110,'MEMÓRIA DE CÁLCULO'!$B:$H,4,)</f>
        <v>m²</v>
      </c>
      <c r="G110" s="89">
        <f>VLOOKUP(B110,'MEMÓRIA DE CÁLCULO'!B:H,7,)</f>
        <v>5.52</v>
      </c>
      <c r="H110" s="122"/>
      <c r="I110" s="122"/>
      <c r="J110" s="101">
        <f t="shared" si="11"/>
        <v>0</v>
      </c>
      <c r="K110" s="162"/>
    </row>
    <row r="111" spans="2:11" x14ac:dyDescent="0.25">
      <c r="B111" s="120" t="s">
        <v>400</v>
      </c>
      <c r="C111" s="95" t="s">
        <v>604</v>
      </c>
      <c r="D111" s="95">
        <f>VLOOKUP(B111,'MEMÓRIA DE CÁLCULO'!B:H,2,)</f>
        <v>120208</v>
      </c>
      <c r="E111" s="91" t="str">
        <f>VLOOKUP(B111,'MEMÓRIA DE CÁLCULO'!B:H,3,)</f>
        <v>IMPERMEABILIZACAO-ARGAM. SINT.SEMI - FLEXIVEL</v>
      </c>
      <c r="F111" s="114" t="str">
        <f>VLOOKUP(B111,'MEMÓRIA DE CÁLCULO'!$B:$H,4,)</f>
        <v>m²</v>
      </c>
      <c r="G111" s="89">
        <f>VLOOKUP(B111,'MEMÓRIA DE CÁLCULO'!B:H,7,)</f>
        <v>210.51510000000002</v>
      </c>
      <c r="H111" s="122"/>
      <c r="I111" s="122"/>
      <c r="J111" s="101">
        <f t="shared" si="11"/>
        <v>0</v>
      </c>
      <c r="K111" s="162"/>
    </row>
    <row r="112" spans="2:11" x14ac:dyDescent="0.25">
      <c r="B112" s="26"/>
      <c r="D112" s="15"/>
      <c r="E112" s="111"/>
      <c r="H112" s="125"/>
      <c r="I112" s="125"/>
      <c r="J112" s="126"/>
      <c r="K112" s="162"/>
    </row>
    <row r="113" spans="2:11" ht="15" x14ac:dyDescent="0.25">
      <c r="B113" s="475" t="s">
        <v>619</v>
      </c>
      <c r="C113" s="476"/>
      <c r="D113" s="476"/>
      <c r="E113" s="476"/>
      <c r="F113" s="476"/>
      <c r="G113" s="476"/>
      <c r="H113" s="476"/>
      <c r="I113" s="476"/>
      <c r="J113" s="61">
        <f>J115</f>
        <v>0</v>
      </c>
      <c r="K113" s="162"/>
    </row>
    <row r="114" spans="2:11" ht="15" x14ac:dyDescent="0.25">
      <c r="B114" s="21">
        <v>11</v>
      </c>
      <c r="C114" s="481" t="s">
        <v>620</v>
      </c>
      <c r="D114" s="482"/>
      <c r="E114" s="482"/>
      <c r="F114" s="482"/>
      <c r="G114" s="482"/>
      <c r="H114" s="482"/>
      <c r="I114" s="482"/>
      <c r="J114" s="483"/>
      <c r="K114" s="162"/>
    </row>
    <row r="115" spans="2:11" ht="28.5" x14ac:dyDescent="0.25">
      <c r="B115" s="182" t="s">
        <v>417</v>
      </c>
      <c r="C115" s="166" t="s">
        <v>604</v>
      </c>
      <c r="D115" s="166">
        <f>VLOOKUP(B115,'MEMÓRIA DE CÁLCULO'!B:H,2,)</f>
        <v>140200</v>
      </c>
      <c r="E115" s="167" t="str">
        <f>VLOOKUP(B115,'MEMÓRIA DE CÁLCULO'!B:H,3,)</f>
        <v>EST.MAD.TELHA FIBROCIM. COM APOIOS EM LAJES/VIGAS OU PAREDES(SOMENTE TERÇAS ) C/FERRAGENS</v>
      </c>
      <c r="F115" s="114" t="str">
        <f>VLOOKUP(B115,'MEMÓRIA DE CÁLCULO'!$B:$H,4,)</f>
        <v>m²</v>
      </c>
      <c r="G115" s="168">
        <f>VLOOKUP(B115,'MEMÓRIA DE CÁLCULO'!B:H,7,)</f>
        <v>12</v>
      </c>
      <c r="H115" s="186"/>
      <c r="I115" s="186"/>
      <c r="J115" s="101">
        <f t="shared" ref="J115" si="12">(I115+H115)*G115</f>
        <v>0</v>
      </c>
      <c r="K115" s="162"/>
    </row>
    <row r="116" spans="2:11" ht="15" customHeight="1" x14ac:dyDescent="0.25">
      <c r="B116" s="143"/>
      <c r="C116" s="144"/>
      <c r="D116" s="144"/>
      <c r="E116" s="144"/>
      <c r="F116" s="144"/>
      <c r="G116" s="144"/>
      <c r="H116" s="144"/>
      <c r="I116" s="144"/>
      <c r="J116" s="145"/>
      <c r="K116" s="162"/>
    </row>
    <row r="117" spans="2:11" ht="15" customHeight="1" x14ac:dyDescent="0.25">
      <c r="B117" s="477" t="s">
        <v>621</v>
      </c>
      <c r="C117" s="478"/>
      <c r="D117" s="478"/>
      <c r="E117" s="478"/>
      <c r="F117" s="478"/>
      <c r="G117" s="478"/>
      <c r="H117" s="478"/>
      <c r="I117" s="484"/>
      <c r="J117" s="61">
        <f>SUM(J119:J120)</f>
        <v>0</v>
      </c>
      <c r="K117" s="162"/>
    </row>
    <row r="118" spans="2:11" ht="15" customHeight="1" x14ac:dyDescent="0.25">
      <c r="B118" s="21">
        <v>12</v>
      </c>
      <c r="C118" s="481" t="s">
        <v>420</v>
      </c>
      <c r="D118" s="482"/>
      <c r="E118" s="482"/>
      <c r="F118" s="482"/>
      <c r="G118" s="482"/>
      <c r="H118" s="482"/>
      <c r="I118" s="482"/>
      <c r="J118" s="483"/>
      <c r="K118" s="162"/>
    </row>
    <row r="119" spans="2:11" ht="15" customHeight="1" x14ac:dyDescent="0.25">
      <c r="B119" s="182" t="s">
        <v>421</v>
      </c>
      <c r="C119" s="166" t="s">
        <v>604</v>
      </c>
      <c r="D119" s="166">
        <f>VLOOKUP(B119,'MEMÓRIA DE CÁLCULO'!B:H,2,)</f>
        <v>160501</v>
      </c>
      <c r="E119" s="167" t="str">
        <f>VLOOKUP(B119,'MEMÓRIA DE CÁLCULO'!B:H,3,)</f>
        <v>COBERTURA COM TELHA ONDULADA OU EQUIV.</v>
      </c>
      <c r="F119" s="114" t="str">
        <f>VLOOKUP(B119,'MEMÓRIA DE CÁLCULO'!$B:$H,4,)</f>
        <v>m²</v>
      </c>
      <c r="G119" s="168">
        <f>VLOOKUP(B119,'MEMÓRIA DE CÁLCULO'!B:H,7,)</f>
        <v>120.88379999999999</v>
      </c>
      <c r="H119" s="186"/>
      <c r="I119" s="186"/>
      <c r="J119" s="101">
        <f t="shared" ref="J119" si="13">(I119+H119)*G119</f>
        <v>0</v>
      </c>
      <c r="K119" s="162"/>
    </row>
    <row r="120" spans="2:11" ht="15" customHeight="1" x14ac:dyDescent="0.25">
      <c r="B120" s="182" t="s">
        <v>423</v>
      </c>
      <c r="C120" s="166" t="s">
        <v>604</v>
      </c>
      <c r="D120" s="166">
        <f>VLOOKUP(B120,'MEMÓRIA DE CÁLCULO'!B:H,2,)</f>
        <v>160906</v>
      </c>
      <c r="E120" s="167" t="str">
        <f>VLOOKUP(B120,'MEMÓRIA DE CÁLCULO'!B:H,3,)</f>
        <v>COBERTURA COM TELHA FIBERGLASS COM VÉU PROTEÇÃO 1MM COM ACESSÓRIOS</v>
      </c>
      <c r="F120" s="114" t="str">
        <f>VLOOKUP(B120,'MEMÓRIA DE CÁLCULO'!$B:$H,4,)</f>
        <v>m²</v>
      </c>
      <c r="G120" s="168">
        <f>VLOOKUP(B120,'MEMÓRIA DE CÁLCULO'!B:H,7,)</f>
        <v>59.1</v>
      </c>
      <c r="H120" s="186"/>
      <c r="I120" s="186"/>
      <c r="J120" s="101">
        <f t="shared" ref="J120" si="14">(I120+H120)*G120</f>
        <v>0</v>
      </c>
      <c r="K120" s="162"/>
    </row>
    <row r="121" spans="2:11" ht="15" customHeight="1" x14ac:dyDescent="0.25">
      <c r="B121" s="143"/>
      <c r="C121" s="144"/>
      <c r="D121" s="144"/>
      <c r="E121" s="144"/>
      <c r="F121" s="144"/>
      <c r="G121" s="144"/>
      <c r="H121" s="144"/>
      <c r="I121" s="144"/>
      <c r="J121" s="145"/>
      <c r="K121" s="162"/>
    </row>
    <row r="122" spans="2:11" ht="15" customHeight="1" x14ac:dyDescent="0.25">
      <c r="B122" s="475" t="s">
        <v>622</v>
      </c>
      <c r="C122" s="476"/>
      <c r="D122" s="476"/>
      <c r="E122" s="476"/>
      <c r="F122" s="476"/>
      <c r="G122" s="476"/>
      <c r="H122" s="476"/>
      <c r="I122" s="476"/>
      <c r="J122" s="62">
        <f>SUM(J124)</f>
        <v>0</v>
      </c>
      <c r="K122" s="162"/>
    </row>
    <row r="123" spans="2:11" ht="15" customHeight="1" x14ac:dyDescent="0.25">
      <c r="B123" s="21">
        <v>13</v>
      </c>
      <c r="C123" s="481" t="s">
        <v>623</v>
      </c>
      <c r="D123" s="482"/>
      <c r="E123" s="482"/>
      <c r="F123" s="482"/>
      <c r="G123" s="482"/>
      <c r="H123" s="482"/>
      <c r="I123" s="482"/>
      <c r="J123" s="483"/>
      <c r="K123" s="162"/>
    </row>
    <row r="124" spans="2:11" ht="15" customHeight="1" x14ac:dyDescent="0.25">
      <c r="B124" s="182" t="s">
        <v>428</v>
      </c>
      <c r="C124" s="166" t="s">
        <v>604</v>
      </c>
      <c r="D124" s="166">
        <f>VLOOKUP(B124,'MEMÓRIA DE CÁLCULO'!B:H,2,)</f>
        <v>170103</v>
      </c>
      <c r="E124" s="167" t="str">
        <f>VLOOKUP(B124,'MEMÓRIA DE CÁLCULO'!B:H,3,)</f>
        <v>PORTA LISA 80x210 C/PORTAL E ALISAR S/FERRAGENS</v>
      </c>
      <c r="F124" s="114" t="str">
        <f>VLOOKUP(B124,'MEMÓRIA DE CÁLCULO'!$B:$H,4,)</f>
        <v xml:space="preserve">un </v>
      </c>
      <c r="G124" s="168">
        <f>VLOOKUP(B124,'MEMÓRIA DE CÁLCULO'!B:H,7,)</f>
        <v>1</v>
      </c>
      <c r="H124" s="96"/>
      <c r="I124" s="96"/>
      <c r="J124" s="101">
        <f t="shared" ref="J124" si="15">(I124+H124)*G124</f>
        <v>0</v>
      </c>
      <c r="K124" s="162"/>
    </row>
    <row r="125" spans="2:11" ht="15" customHeight="1" x14ac:dyDescent="0.25">
      <c r="B125" s="26"/>
      <c r="D125" s="15"/>
      <c r="E125" s="111"/>
      <c r="H125" s="125"/>
      <c r="I125" s="125"/>
      <c r="J125" s="126"/>
      <c r="K125" s="162"/>
    </row>
    <row r="126" spans="2:11" ht="15" customHeight="1" x14ac:dyDescent="0.25">
      <c r="B126" s="477" t="s">
        <v>624</v>
      </c>
      <c r="C126" s="478"/>
      <c r="D126" s="478"/>
      <c r="E126" s="478"/>
      <c r="F126" s="478"/>
      <c r="G126" s="478"/>
      <c r="H126" s="478"/>
      <c r="I126" s="484"/>
      <c r="J126" s="62">
        <f>SUM(J128:J132)</f>
        <v>0</v>
      </c>
      <c r="K126" s="162"/>
    </row>
    <row r="127" spans="2:11" ht="15" customHeight="1" x14ac:dyDescent="0.25">
      <c r="B127" s="21">
        <v>14</v>
      </c>
      <c r="C127" s="473" t="s">
        <v>432</v>
      </c>
      <c r="D127" s="473"/>
      <c r="E127" s="473"/>
      <c r="F127" s="473"/>
      <c r="G127" s="473"/>
      <c r="H127" s="473"/>
      <c r="I127" s="473"/>
      <c r="J127" s="474"/>
      <c r="K127" s="162"/>
    </row>
    <row r="128" spans="2:11" ht="15" customHeight="1" x14ac:dyDescent="0.25">
      <c r="B128" s="182" t="s">
        <v>433</v>
      </c>
      <c r="C128" s="166" t="s">
        <v>604</v>
      </c>
      <c r="D128" s="166">
        <f>VLOOKUP(B128,'MEMÓRIA DE CÁLCULO'!B:H,2,)</f>
        <v>180309</v>
      </c>
      <c r="E128" s="167" t="str">
        <f>VLOOKUP(B128,'MEMÓRIA DE CÁLCULO'!B:H,3,)</f>
        <v>PORTAO CORRER / ABRIR CONJUGADO PT-8 C/FERRAGENS</v>
      </c>
      <c r="F128" s="114" t="str">
        <f>VLOOKUP(B128,'MEMÓRIA DE CÁLCULO'!$B:$H,4,)</f>
        <v>m²</v>
      </c>
      <c r="G128" s="168">
        <f>VLOOKUP(B128,'MEMÓRIA DE CÁLCULO'!B:H,7,)</f>
        <v>4.3</v>
      </c>
      <c r="H128" s="96"/>
      <c r="I128" s="96"/>
      <c r="J128" s="101">
        <f t="shared" ref="J128:J131" si="16">(I128+H128)*G128</f>
        <v>0</v>
      </c>
      <c r="K128" s="162"/>
    </row>
    <row r="129" spans="2:12" x14ac:dyDescent="0.25">
      <c r="B129" s="182" t="s">
        <v>436</v>
      </c>
      <c r="C129" s="166"/>
      <c r="D129" s="166" t="str">
        <f>VLOOKUP(B129,'MEMÓRIA DE CÁLCULO'!B:H,2,)</f>
        <v>COMPOSIÇÃO 1</v>
      </c>
      <c r="E129" s="167" t="str">
        <f>VLOOKUP(B129,'MEMÓRIA DE CÁLCULO'!B:H,3,)</f>
        <v>PORTA DE AÇO DE GIRO CALHA - 100X215 CM</v>
      </c>
      <c r="F129" s="114" t="str">
        <f>VLOOKUP(B129,'MEMÓRIA DE CÁLCULO'!$B:$H,4,)</f>
        <v>und</v>
      </c>
      <c r="G129" s="168">
        <f>VLOOKUP(B129,'MEMÓRIA DE CÁLCULO'!B:H,7,)</f>
        <v>4</v>
      </c>
      <c r="H129" s="96"/>
      <c r="I129" s="96"/>
      <c r="J129" s="101">
        <f t="shared" si="16"/>
        <v>0</v>
      </c>
      <c r="K129" s="162"/>
    </row>
    <row r="130" spans="2:12" x14ac:dyDescent="0.25">
      <c r="B130" s="182" t="s">
        <v>440</v>
      </c>
      <c r="C130" s="166" t="s">
        <v>604</v>
      </c>
      <c r="D130" s="166">
        <f>VLOOKUP(B130,'MEMÓRIA DE CÁLCULO'!B:H,2,)</f>
        <v>180501</v>
      </c>
      <c r="E130" s="167" t="str">
        <f>VLOOKUP(B130,'MEMÓRIA DE CÁLCULO'!B:H,3,)</f>
        <v>PORTA DE ABRIR EM CHAPA PF-1 C/FERRAGENS</v>
      </c>
      <c r="F130" s="114" t="str">
        <f>VLOOKUP(B130,'MEMÓRIA DE CÁLCULO'!$B:$H,4,)</f>
        <v>m²</v>
      </c>
      <c r="G130" s="168">
        <f>VLOOKUP(B130,'MEMÓRIA DE CÁLCULO'!B:H,7,)</f>
        <v>7.77</v>
      </c>
      <c r="H130" s="96"/>
      <c r="I130" s="96"/>
      <c r="J130" s="101">
        <f t="shared" si="16"/>
        <v>0</v>
      </c>
      <c r="K130" s="162"/>
    </row>
    <row r="131" spans="2:12" ht="28.5" x14ac:dyDescent="0.25">
      <c r="B131" s="182" t="s">
        <v>445</v>
      </c>
      <c r="C131" s="166" t="s">
        <v>604</v>
      </c>
      <c r="D131" s="166">
        <f>VLOOKUP(B131,'MEMÓRIA DE CÁLCULO'!B:H,2,)</f>
        <v>180112</v>
      </c>
      <c r="E131" s="167" t="str">
        <f>VLOOKUP(B131,'MEMÓRIA DE CÁLCULO'!B:H,3,)</f>
        <v>ESQUADRIA ALUMÍNIO ANODIZADO COM 3 FOLHAS (01 VIDRO E 02 VENEZIANA )C/ FERRAGENS (M.O.FAB.INC.MAT.)</v>
      </c>
      <c r="F131" s="114" t="str">
        <f>VLOOKUP(B131,'MEMÓRIA DE CÁLCULO'!$B:$H,4,)</f>
        <v>m²</v>
      </c>
      <c r="G131" s="168">
        <f>VLOOKUP(B131,'MEMÓRIA DE CÁLCULO'!B:H,7,)</f>
        <v>10</v>
      </c>
      <c r="H131" s="96"/>
      <c r="I131" s="96"/>
      <c r="J131" s="101">
        <f t="shared" si="16"/>
        <v>0</v>
      </c>
      <c r="K131" s="162"/>
    </row>
    <row r="132" spans="2:12" x14ac:dyDescent="0.25">
      <c r="B132" s="182" t="s">
        <v>449</v>
      </c>
      <c r="C132" s="166" t="s">
        <v>604</v>
      </c>
      <c r="D132" s="166">
        <f>VLOOKUP(B132,'MEMÓRIA DE CÁLCULO'!B:H,2,)</f>
        <v>180304</v>
      </c>
      <c r="E132" s="167" t="str">
        <f>VLOOKUP(B132,'MEMÓRIA DE CÁLCULO'!B:H,3,)</f>
        <v>PORTAO DE ABRIR CHAPA 14 PT-4 C/FERRAGENS</v>
      </c>
      <c r="F132" s="114" t="str">
        <f>VLOOKUP(B132,'MEMÓRIA DE CÁLCULO'!$B:$H,4,)</f>
        <v>m²</v>
      </c>
      <c r="G132" s="168">
        <f>VLOOKUP(B132,'MEMÓRIA DE CÁLCULO'!B:H,7,)</f>
        <v>0.12</v>
      </c>
      <c r="H132" s="96"/>
      <c r="I132" s="96"/>
      <c r="J132" s="101">
        <f t="shared" ref="J132" si="17">(I132+H132)*G132</f>
        <v>0</v>
      </c>
      <c r="K132" s="162"/>
    </row>
    <row r="133" spans="2:12" x14ac:dyDescent="0.25">
      <c r="B133" s="26"/>
      <c r="D133" s="15"/>
      <c r="E133" s="111"/>
      <c r="F133" s="254"/>
      <c r="H133" s="125"/>
      <c r="I133" s="125"/>
      <c r="J133" s="126"/>
      <c r="K133" s="162"/>
    </row>
    <row r="134" spans="2:12" ht="15" x14ac:dyDescent="0.25">
      <c r="B134" s="477" t="s">
        <v>625</v>
      </c>
      <c r="C134" s="478"/>
      <c r="D134" s="478"/>
      <c r="E134" s="478"/>
      <c r="F134" s="478"/>
      <c r="G134" s="478"/>
      <c r="H134" s="478"/>
      <c r="I134" s="484"/>
      <c r="J134" s="62">
        <f>SUM(J136:J139)</f>
        <v>0</v>
      </c>
      <c r="K134" s="162"/>
    </row>
    <row r="135" spans="2:12" ht="15" x14ac:dyDescent="0.25">
      <c r="B135" s="21">
        <v>15</v>
      </c>
      <c r="C135" s="473" t="s">
        <v>453</v>
      </c>
      <c r="D135" s="473"/>
      <c r="E135" s="473"/>
      <c r="F135" s="473"/>
      <c r="G135" s="473"/>
      <c r="H135" s="473"/>
      <c r="I135" s="473"/>
      <c r="J135" s="474"/>
      <c r="K135" s="162"/>
    </row>
    <row r="136" spans="2:12" x14ac:dyDescent="0.25">
      <c r="B136" s="100" t="s">
        <v>454</v>
      </c>
      <c r="C136" s="88" t="s">
        <v>604</v>
      </c>
      <c r="D136" s="88">
        <f>VLOOKUP(B136,'MEMÓRIA DE CÁLCULO'!B:H,2,)</f>
        <v>200403</v>
      </c>
      <c r="E136" s="91" t="str">
        <f>VLOOKUP(B136,'MEMÓRIA DE CÁLCULO'!B:H,3,)</f>
        <v>REBOCO (1 CALH:4 ARFC+100kgCI/M3)</v>
      </c>
      <c r="F136" s="114" t="str">
        <f>VLOOKUP(B136,'MEMÓRIA DE CÁLCULO'!$B:$H,4,)</f>
        <v>m²</v>
      </c>
      <c r="G136" s="89">
        <f>VLOOKUP(B136,'MEMÓRIA DE CÁLCULO'!B:H,7,)</f>
        <v>824.60739999999998</v>
      </c>
      <c r="H136" s="96"/>
      <c r="I136" s="96"/>
      <c r="J136" s="101">
        <f t="shared" ref="J136:J139" si="18">(I136+H136)*G136</f>
        <v>0</v>
      </c>
      <c r="K136" s="162"/>
    </row>
    <row r="137" spans="2:12" x14ac:dyDescent="0.25">
      <c r="B137" s="100" t="s">
        <v>456</v>
      </c>
      <c r="C137" s="88" t="s">
        <v>604</v>
      </c>
      <c r="D137" s="88">
        <f>VLOOKUP(B137,'MEMÓRIA DE CÁLCULO'!B:H,2,)</f>
        <v>201302</v>
      </c>
      <c r="E137" s="91" t="str">
        <f>VLOOKUP(B137,'MEMÓRIA DE CÁLCULO'!B:H,3,)</f>
        <v>REVESTIMENTO COM CERAMICA</v>
      </c>
      <c r="F137" s="114" t="str">
        <f>VLOOKUP(B137,'MEMÓRIA DE CÁLCULO'!$B:$H,4,)</f>
        <v>m²</v>
      </c>
      <c r="G137" s="89">
        <f>VLOOKUP(B137,'MEMÓRIA DE CÁLCULO'!B:H,7,)</f>
        <v>388.07380000000018</v>
      </c>
      <c r="H137" s="96"/>
      <c r="I137" s="96"/>
      <c r="J137" s="101">
        <f t="shared" si="18"/>
        <v>0</v>
      </c>
      <c r="K137" s="162"/>
    </row>
    <row r="138" spans="2:12" x14ac:dyDescent="0.25">
      <c r="B138" s="100" t="s">
        <v>461</v>
      </c>
      <c r="C138" s="88" t="s">
        <v>604</v>
      </c>
      <c r="D138" s="88">
        <f>VLOOKUP(B138,'MEMÓRIA DE CÁLCULO'!B:H,2,)</f>
        <v>200101</v>
      </c>
      <c r="E138" s="91" t="str">
        <f>VLOOKUP(B138,'MEMÓRIA DE CÁLCULO'!B:H,3,)</f>
        <v>CHAPISCO COMUM</v>
      </c>
      <c r="F138" s="114" t="str">
        <f>VLOOKUP(B138,'MEMÓRIA DE CÁLCULO'!$B:$H,4,)</f>
        <v>m²</v>
      </c>
      <c r="G138" s="89">
        <f>VLOOKUP(B138,'MEMÓRIA DE CÁLCULO'!B:H,7,)</f>
        <v>33.062240000000003</v>
      </c>
      <c r="H138" s="96"/>
      <c r="I138" s="96"/>
      <c r="J138" s="101">
        <f t="shared" si="18"/>
        <v>0</v>
      </c>
      <c r="K138" s="162"/>
    </row>
    <row r="139" spans="2:12" x14ac:dyDescent="0.25">
      <c r="B139" s="100" t="s">
        <v>463</v>
      </c>
      <c r="C139" s="88" t="s">
        <v>604</v>
      </c>
      <c r="D139" s="88">
        <f>VLOOKUP(B139,'MEMÓRIA DE CÁLCULO'!B:H,2,)</f>
        <v>200201</v>
      </c>
      <c r="E139" s="91" t="str">
        <f>VLOOKUP(B139,'MEMÓRIA DE CÁLCULO'!B:H,3,)</f>
        <v>EMBOÇO (1CI:4 ARML)</v>
      </c>
      <c r="F139" s="114" t="str">
        <f>VLOOKUP(B139,'MEMÓRIA DE CÁLCULO'!$B:$H,4,)</f>
        <v>m²</v>
      </c>
      <c r="G139" s="89">
        <f>VLOOKUP(B139,'MEMÓRIA DE CÁLCULO'!B:H,7,)</f>
        <v>25.98884</v>
      </c>
      <c r="H139" s="96"/>
      <c r="I139" s="96"/>
      <c r="J139" s="101">
        <f t="shared" si="18"/>
        <v>0</v>
      </c>
      <c r="K139" s="162"/>
    </row>
    <row r="140" spans="2:12" s="22" customFormat="1" ht="15" x14ac:dyDescent="0.25">
      <c r="B140" s="109"/>
      <c r="C140" s="110"/>
      <c r="D140" s="31"/>
      <c r="E140" s="111"/>
      <c r="F140" s="4"/>
      <c r="G140" s="4"/>
      <c r="H140" s="112"/>
      <c r="I140" s="112"/>
      <c r="J140" s="113"/>
      <c r="K140" s="162"/>
      <c r="L140" s="42"/>
    </row>
    <row r="141" spans="2:12" s="22" customFormat="1" ht="15" x14ac:dyDescent="0.25">
      <c r="B141" s="475" t="s">
        <v>626</v>
      </c>
      <c r="C141" s="476"/>
      <c r="D141" s="476"/>
      <c r="E141" s="476"/>
      <c r="F141" s="476"/>
      <c r="G141" s="476"/>
      <c r="H141" s="476"/>
      <c r="I141" s="476"/>
      <c r="J141" s="63">
        <f>SUM(J143:J146)</f>
        <v>0</v>
      </c>
      <c r="K141" s="162"/>
      <c r="L141" s="42"/>
    </row>
    <row r="142" spans="2:12" s="22" customFormat="1" ht="15" x14ac:dyDescent="0.25">
      <c r="B142" s="21">
        <v>16</v>
      </c>
      <c r="C142" s="481" t="s">
        <v>466</v>
      </c>
      <c r="D142" s="482"/>
      <c r="E142" s="482"/>
      <c r="F142" s="482"/>
      <c r="G142" s="482"/>
      <c r="H142" s="482"/>
      <c r="I142" s="482"/>
      <c r="J142" s="483"/>
      <c r="K142" s="162"/>
      <c r="L142" s="42"/>
    </row>
    <row r="143" spans="2:12" s="22" customFormat="1" ht="15" x14ac:dyDescent="0.25">
      <c r="B143" s="100" t="s">
        <v>467</v>
      </c>
      <c r="C143" s="88" t="s">
        <v>604</v>
      </c>
      <c r="D143" s="88">
        <f>VLOOKUP(B143,'MEMÓRIA DE CÁLCULO'!B:H,2,)</f>
        <v>210499</v>
      </c>
      <c r="E143" s="91" t="str">
        <f>VLOOKUP(B143,'MEMÓRIA DE CÁLCULO'!B:H,3,)</f>
        <v>FORRO DE GESSO ACARTONADO PARA ÁREAS MOLHADAS, ESPESSURA DE 12,5 MM</v>
      </c>
      <c r="F143" s="114" t="str">
        <f>VLOOKUP(B143,'MEMÓRIA DE CÁLCULO'!$B:$H,4,)</f>
        <v>m²</v>
      </c>
      <c r="G143" s="89">
        <f>VLOOKUP(B143,'MEMÓRIA DE CÁLCULO'!B:H,7,)</f>
        <v>101.91999999999999</v>
      </c>
      <c r="H143" s="98"/>
      <c r="I143" s="98"/>
      <c r="J143" s="101">
        <f t="shared" ref="J143:J144" si="19">(I143+H143)*G143</f>
        <v>0</v>
      </c>
      <c r="K143" s="162"/>
      <c r="L143" s="42"/>
    </row>
    <row r="144" spans="2:12" s="22" customFormat="1" ht="15" x14ac:dyDescent="0.25">
      <c r="B144" s="100" t="s">
        <v>469</v>
      </c>
      <c r="C144" s="88" t="s">
        <v>604</v>
      </c>
      <c r="D144" s="88">
        <f>VLOOKUP(B144,'MEMÓRIA DE CÁLCULO'!B:H,2,)</f>
        <v>210505</v>
      </c>
      <c r="E144" s="91" t="str">
        <f>VLOOKUP(B144,'MEMÓRIA DE CÁLCULO'!B:H,3,)</f>
        <v>MOLDURA PARA FORRO DE GESSO COMUM 5 CM</v>
      </c>
      <c r="F144" s="114" t="str">
        <f>VLOOKUP(B144,'MEMÓRIA DE CÁLCULO'!$B:$H,4,)</f>
        <v>m</v>
      </c>
      <c r="G144" s="89">
        <f>VLOOKUP(B144,'MEMÓRIA DE CÁLCULO'!B:H,7,)</f>
        <v>72.14</v>
      </c>
      <c r="H144" s="98"/>
      <c r="I144" s="98"/>
      <c r="J144" s="101">
        <f t="shared" si="19"/>
        <v>0</v>
      </c>
      <c r="K144" s="162"/>
      <c r="L144" s="42"/>
    </row>
    <row r="145" spans="2:12" s="22" customFormat="1" ht="15" x14ac:dyDescent="0.25">
      <c r="B145" s="100" t="s">
        <v>471</v>
      </c>
      <c r="C145" s="271" t="s">
        <v>604</v>
      </c>
      <c r="D145" s="271">
        <f>VLOOKUP(B145,'MEMÓRIA DE CÁLCULO'!B:H,2,)</f>
        <v>210460</v>
      </c>
      <c r="E145" s="273" t="str">
        <f>VLOOKUP(B145,'MEMÓRIA DE CÁLCULO'!B:H,3,)</f>
        <v>FORRO DE PVC COM ESTRUTURA EM METALON PINTADA COM TINTA ALQUÍDICA D.F.</v>
      </c>
      <c r="F145" s="262" t="str">
        <f>VLOOKUP(B145,'MEMÓRIA DE CÁLCULO'!$B:$H,4,)</f>
        <v>m²</v>
      </c>
      <c r="G145" s="274">
        <f>VLOOKUP(B145,'MEMÓRIA DE CÁLCULO'!B:H,7,)</f>
        <v>6.3419999999999996</v>
      </c>
      <c r="H145" s="275"/>
      <c r="I145" s="275"/>
      <c r="J145" s="101">
        <f t="shared" ref="J145" si="20">(I145+H145)*G145</f>
        <v>0</v>
      </c>
      <c r="K145" s="162"/>
      <c r="L145" s="42"/>
    </row>
    <row r="146" spans="2:12" s="22" customFormat="1" ht="15" x14ac:dyDescent="0.25">
      <c r="B146" s="100" t="s">
        <v>473</v>
      </c>
      <c r="C146" s="271" t="s">
        <v>604</v>
      </c>
      <c r="D146" s="271">
        <f>VLOOKUP(B146,'MEMÓRIA DE CÁLCULO'!B:H,2,)</f>
        <v>210498</v>
      </c>
      <c r="E146" s="273" t="str">
        <f>VLOOKUP(B146,'MEMÓRIA DE CÁLCULO'!B:H,3,)</f>
        <v>FORRO DE GESSO ACARTONADO PARA ÁREAS SECAS ESPESSURA DE 12,5MM</v>
      </c>
      <c r="F146" s="262" t="str">
        <f>VLOOKUP(B146,'MEMÓRIA DE CÁLCULO'!$B:$H,4,)</f>
        <v>m²</v>
      </c>
      <c r="G146" s="274">
        <f>VLOOKUP(B146,'MEMÓRIA DE CÁLCULO'!B:H,7,)</f>
        <v>74.801999999999992</v>
      </c>
      <c r="H146" s="275"/>
      <c r="I146" s="275"/>
      <c r="J146" s="101">
        <f t="shared" ref="J146" si="21">(I146+H146)*G146</f>
        <v>0</v>
      </c>
      <c r="K146" s="162"/>
      <c r="L146" s="42"/>
    </row>
    <row r="147" spans="2:12" s="22" customFormat="1" ht="15" x14ac:dyDescent="0.25">
      <c r="B147" s="26"/>
      <c r="C147" s="15"/>
      <c r="D147" s="15"/>
      <c r="E147" s="103"/>
      <c r="F147" s="14"/>
      <c r="G147" s="14"/>
      <c r="H147" s="104"/>
      <c r="I147" s="104"/>
      <c r="J147" s="105"/>
      <c r="K147" s="162"/>
      <c r="L147" s="42"/>
    </row>
    <row r="148" spans="2:12" s="15" customFormat="1" ht="15" x14ac:dyDescent="0.25">
      <c r="B148" s="477" t="s">
        <v>627</v>
      </c>
      <c r="C148" s="478"/>
      <c r="D148" s="478"/>
      <c r="E148" s="478"/>
      <c r="F148" s="478"/>
      <c r="G148" s="478"/>
      <c r="H148" s="478"/>
      <c r="I148" s="484"/>
      <c r="J148" s="62">
        <f>SUM(J150:J152)</f>
        <v>0</v>
      </c>
      <c r="K148" s="162"/>
    </row>
    <row r="149" spans="2:12" s="22" customFormat="1" ht="15" x14ac:dyDescent="0.25">
      <c r="B149" s="21">
        <v>17</v>
      </c>
      <c r="C149" s="473" t="s">
        <v>628</v>
      </c>
      <c r="D149" s="473"/>
      <c r="E149" s="473"/>
      <c r="F149" s="473"/>
      <c r="G149" s="473"/>
      <c r="H149" s="473"/>
      <c r="I149" s="473"/>
      <c r="J149" s="474"/>
      <c r="K149" s="162"/>
    </row>
    <row r="150" spans="2:12" ht="15" x14ac:dyDescent="0.25">
      <c r="B150" s="170" t="s">
        <v>477</v>
      </c>
      <c r="C150" s="88" t="s">
        <v>604</v>
      </c>
      <c r="D150" s="88">
        <f>VLOOKUP(B150,'MEMÓRIA DE CÁLCULO'!B:H,2,)</f>
        <v>220102</v>
      </c>
      <c r="E150" s="91" t="str">
        <f>VLOOKUP(B150,'MEMÓRIA DE CÁLCULO'!B:H,3,)</f>
        <v>PISO CONCRETO DESEMPENADO ESPESSURA = 5 CM 1:2,5:3,5</v>
      </c>
      <c r="F150" s="114" t="str">
        <f>VLOOKUP(B150,'MEMÓRIA DE CÁLCULO'!$B:$H,4,)</f>
        <v>m²</v>
      </c>
      <c r="G150" s="89">
        <f>VLOOKUP(B150,'MEMÓRIA DE CÁLCULO'!B:H,7,)</f>
        <v>456.00919999999996</v>
      </c>
      <c r="H150" s="171"/>
      <c r="I150" s="171"/>
      <c r="J150" s="101">
        <f t="shared" ref="J150:J152" si="22">(I150+H150)*G150</f>
        <v>0</v>
      </c>
      <c r="K150" s="162"/>
      <c r="L150" s="42"/>
    </row>
    <row r="151" spans="2:12" ht="42" customHeight="1" x14ac:dyDescent="0.25">
      <c r="B151" s="170" t="s">
        <v>482</v>
      </c>
      <c r="C151" s="88" t="s">
        <v>604</v>
      </c>
      <c r="D151" s="88">
        <f>VLOOKUP(B151,'MEMÓRIA DE CÁLCULO'!B:H,2,)</f>
        <v>220311</v>
      </c>
      <c r="E151" s="91" t="str">
        <f>VLOOKUP(B151,'MEMÓRIA DE CÁLCULO'!B:H,3,)</f>
        <v>CERÂMICA ANTIDERRAPANTE PEI MAIOR OU IGUAL A 4 COM CONTRA PISO (1CI:3ARML) E ARGAMASSA COLANTE</v>
      </c>
      <c r="F151" s="114" t="str">
        <f>VLOOKUP(B151,'MEMÓRIA DE CÁLCULO'!$B:$H,4,)</f>
        <v>m²</v>
      </c>
      <c r="G151" s="89">
        <f>VLOOKUP(B151,'MEMÓRIA DE CÁLCULO'!B:H,7,)</f>
        <v>153.27224000000001</v>
      </c>
      <c r="H151" s="97"/>
      <c r="I151" s="97"/>
      <c r="J151" s="101">
        <f t="shared" si="22"/>
        <v>0</v>
      </c>
      <c r="K151" s="162"/>
      <c r="L151" s="42"/>
    </row>
    <row r="152" spans="2:12" ht="15" x14ac:dyDescent="0.25">
      <c r="B152" s="170" t="s">
        <v>484</v>
      </c>
      <c r="C152" s="88" t="s">
        <v>604</v>
      </c>
      <c r="D152" s="88">
        <f>VLOOKUP(B152,'MEMÓRIA DE CÁLCULO'!B:H,2,)</f>
        <v>220312</v>
      </c>
      <c r="E152" s="91" t="str">
        <f>VLOOKUP(B152,'MEMÓRIA DE CÁLCULO'!B:H,3,)</f>
        <v>RODAPÉ DE CERÂMICA ANTIDERRAPANTE COM ARGAMASSA COLANTE</v>
      </c>
      <c r="F152" s="114" t="str">
        <f>VLOOKUP(B152,'MEMÓRIA DE CÁLCULO'!$B:$H,4,)</f>
        <v>m</v>
      </c>
      <c r="G152" s="89">
        <f>VLOOKUP(B152,'MEMÓRIA DE CÁLCULO'!B:H,7,)</f>
        <v>87.3</v>
      </c>
      <c r="H152" s="97"/>
      <c r="I152" s="97"/>
      <c r="J152" s="101">
        <f t="shared" si="22"/>
        <v>0</v>
      </c>
      <c r="K152" s="162"/>
      <c r="L152" s="42"/>
    </row>
    <row r="153" spans="2:12" x14ac:dyDescent="0.25">
      <c r="B153" s="26"/>
      <c r="D153" s="15"/>
      <c r="E153" s="15"/>
      <c r="F153" s="15"/>
      <c r="G153" s="15"/>
      <c r="H153" s="15"/>
      <c r="I153" s="15"/>
      <c r="J153" s="135"/>
      <c r="K153" s="162"/>
    </row>
    <row r="154" spans="2:12" ht="15" x14ac:dyDescent="0.25">
      <c r="B154" s="475" t="s">
        <v>629</v>
      </c>
      <c r="C154" s="476"/>
      <c r="D154" s="476"/>
      <c r="E154" s="476"/>
      <c r="F154" s="476"/>
      <c r="G154" s="476"/>
      <c r="H154" s="476"/>
      <c r="I154" s="476"/>
      <c r="J154" s="63">
        <f>SUM(J156:J158)</f>
        <v>0</v>
      </c>
      <c r="K154" s="162"/>
    </row>
    <row r="155" spans="2:12" ht="15" x14ac:dyDescent="0.25">
      <c r="B155" s="21">
        <v>18</v>
      </c>
      <c r="C155" s="481" t="s">
        <v>488</v>
      </c>
      <c r="D155" s="482"/>
      <c r="E155" s="482"/>
      <c r="F155" s="482"/>
      <c r="G155" s="482"/>
      <c r="H155" s="482"/>
      <c r="I155" s="482"/>
      <c r="J155" s="483"/>
      <c r="K155" s="162"/>
    </row>
    <row r="156" spans="2:12" x14ac:dyDescent="0.25">
      <c r="B156" s="182" t="s">
        <v>489</v>
      </c>
      <c r="C156" s="166" t="s">
        <v>604</v>
      </c>
      <c r="D156" s="166">
        <f>VLOOKUP(B156,'MEMÓRIA DE CÁLCULO'!B:H,2,)</f>
        <v>230101</v>
      </c>
      <c r="E156" s="187" t="str">
        <f>VLOOKUP(B156,'MEMÓRIA DE CÁLCULO'!B:H,3,)</f>
        <v>FECH.(ALAV.) LAFONTE 6236 E/8766- E17 IMAB OU EQUIV</v>
      </c>
      <c r="F156" s="114" t="str">
        <f>VLOOKUP(B156,'MEMÓRIA DE CÁLCULO'!$B:$H,4,)</f>
        <v xml:space="preserve">un </v>
      </c>
      <c r="G156" s="168">
        <f>VLOOKUP(B156,'MEMÓRIA DE CÁLCULO'!B:H,7,)</f>
        <v>6</v>
      </c>
      <c r="H156" s="188"/>
      <c r="I156" s="188"/>
      <c r="J156" s="101">
        <f t="shared" ref="J156:J157" si="23">(I156+H156)*G156</f>
        <v>0</v>
      </c>
      <c r="K156" s="162"/>
    </row>
    <row r="157" spans="2:12" x14ac:dyDescent="0.25">
      <c r="B157" s="182" t="s">
        <v>493</v>
      </c>
      <c r="C157" s="88" t="s">
        <v>604</v>
      </c>
      <c r="D157" s="88">
        <f>VLOOKUP(B157,'MEMÓRIA DE CÁLCULO'!B:H,2,)</f>
        <v>230201</v>
      </c>
      <c r="E157" s="99" t="str">
        <f>VLOOKUP(B157,'MEMÓRIA DE CÁLCULO'!B:H,3,)</f>
        <v>DOBRADICA 3" x 3 1/2" FERRO POLIDO</v>
      </c>
      <c r="F157" s="114" t="str">
        <f>VLOOKUP(B157,'MEMÓRIA DE CÁLCULO'!$B:$H,4,)</f>
        <v xml:space="preserve">un </v>
      </c>
      <c r="G157" s="89">
        <f>VLOOKUP(B157,'MEMÓRIA DE CÁLCULO'!B:H,7,)</f>
        <v>3</v>
      </c>
      <c r="H157" s="98"/>
      <c r="I157" s="98"/>
      <c r="J157" s="101">
        <f t="shared" si="23"/>
        <v>0</v>
      </c>
      <c r="K157" s="162"/>
    </row>
    <row r="158" spans="2:12" x14ac:dyDescent="0.25">
      <c r="B158" s="173"/>
      <c r="C158" s="174"/>
      <c r="D158" s="174"/>
      <c r="E158" s="174"/>
      <c r="F158" s="174"/>
      <c r="G158" s="174"/>
      <c r="H158" s="174"/>
      <c r="I158" s="174"/>
      <c r="J158" s="175"/>
      <c r="K158" s="162"/>
    </row>
    <row r="159" spans="2:12" ht="15" x14ac:dyDescent="0.25">
      <c r="B159" s="477" t="s">
        <v>630</v>
      </c>
      <c r="C159" s="478"/>
      <c r="D159" s="478"/>
      <c r="E159" s="478"/>
      <c r="F159" s="478"/>
      <c r="G159" s="478"/>
      <c r="H159" s="478"/>
      <c r="I159" s="478"/>
      <c r="J159" s="63">
        <f>SUM(J161:J162)</f>
        <v>0</v>
      </c>
      <c r="K159" s="162"/>
      <c r="L159" s="41"/>
    </row>
    <row r="160" spans="2:12" ht="15" x14ac:dyDescent="0.25">
      <c r="B160" s="21">
        <v>19</v>
      </c>
      <c r="C160" s="481" t="s">
        <v>496</v>
      </c>
      <c r="D160" s="482"/>
      <c r="E160" s="482"/>
      <c r="F160" s="482"/>
      <c r="G160" s="482"/>
      <c r="H160" s="482"/>
      <c r="I160" s="482"/>
      <c r="J160" s="483"/>
      <c r="K160" s="162"/>
    </row>
    <row r="161" spans="2:11" x14ac:dyDescent="0.25">
      <c r="B161" s="182" t="s">
        <v>497</v>
      </c>
      <c r="C161" s="166" t="s">
        <v>604</v>
      </c>
      <c r="D161" s="166">
        <f>VLOOKUP(B161,'MEMÓRIA DE CÁLCULO'!B:H,2,)</f>
        <v>250101</v>
      </c>
      <c r="E161" s="187" t="str">
        <f>VLOOKUP(B161,'MEMÓRIA DE CÁLCULO'!B:H,3,)</f>
        <v>ENGENHEIRO - OBRAS CIVIS</v>
      </c>
      <c r="F161" s="166" t="s">
        <v>499</v>
      </c>
      <c r="G161" s="168">
        <f>VLOOKUP(B161,'MEMÓRIA DE CÁLCULO'!B:H,7,)</f>
        <v>264</v>
      </c>
      <c r="H161" s="188"/>
      <c r="I161" s="188"/>
      <c r="J161" s="101">
        <f t="shared" ref="J161:J162" si="24">(I161+H161)*G161</f>
        <v>0</v>
      </c>
      <c r="K161" s="162"/>
    </row>
    <row r="162" spans="2:11" x14ac:dyDescent="0.25">
      <c r="B162" s="100" t="s">
        <v>503</v>
      </c>
      <c r="C162" s="88" t="s">
        <v>604</v>
      </c>
      <c r="D162" s="88">
        <f>VLOOKUP(B162,'MEMÓRIA DE CÁLCULO'!B:H,2,)</f>
        <v>250103</v>
      </c>
      <c r="E162" s="99" t="str">
        <f>VLOOKUP(B162,'MEMÓRIA DE CÁLCULO'!B:H,3,)</f>
        <v>ENCARREGADO - (OBRAS CIVIS)</v>
      </c>
      <c r="F162" s="88" t="s">
        <v>499</v>
      </c>
      <c r="G162" s="89">
        <f>VLOOKUP(B162,'MEMÓRIA DE CÁLCULO'!B:H,7,)</f>
        <v>704</v>
      </c>
      <c r="H162" s="98"/>
      <c r="I162" s="98"/>
      <c r="J162" s="101">
        <f t="shared" si="24"/>
        <v>0</v>
      </c>
      <c r="K162" s="162"/>
    </row>
    <row r="163" spans="2:11" x14ac:dyDescent="0.25">
      <c r="B163" s="434"/>
      <c r="C163" s="479"/>
      <c r="D163" s="479"/>
      <c r="E163" s="479"/>
      <c r="F163" s="479"/>
      <c r="G163" s="479"/>
      <c r="H163" s="479"/>
      <c r="I163" s="479"/>
      <c r="J163" s="480"/>
      <c r="K163" s="162"/>
    </row>
    <row r="164" spans="2:11" ht="15" x14ac:dyDescent="0.25">
      <c r="B164" s="477" t="s">
        <v>631</v>
      </c>
      <c r="C164" s="478"/>
      <c r="D164" s="478"/>
      <c r="E164" s="478"/>
      <c r="F164" s="478"/>
      <c r="G164" s="478"/>
      <c r="H164" s="478"/>
      <c r="I164" s="478"/>
      <c r="J164" s="63">
        <f>SUM(J166:J174)</f>
        <v>0</v>
      </c>
      <c r="K164" s="162"/>
    </row>
    <row r="165" spans="2:11" ht="15" x14ac:dyDescent="0.25">
      <c r="B165" s="21">
        <v>20</v>
      </c>
      <c r="C165" s="481" t="s">
        <v>507</v>
      </c>
      <c r="D165" s="482"/>
      <c r="E165" s="482"/>
      <c r="F165" s="482"/>
      <c r="G165" s="482"/>
      <c r="H165" s="482"/>
      <c r="I165" s="482"/>
      <c r="J165" s="483"/>
      <c r="K165" s="162"/>
    </row>
    <row r="166" spans="2:11" x14ac:dyDescent="0.25">
      <c r="B166" s="182" t="s">
        <v>508</v>
      </c>
      <c r="C166" s="166" t="s">
        <v>604</v>
      </c>
      <c r="D166" s="166">
        <f>VLOOKUP(B166,'MEMÓRIA DE CÁLCULO'!B:H,2,)</f>
        <v>261300</v>
      </c>
      <c r="E166" s="187" t="str">
        <f>VLOOKUP(B166,'MEMÓRIA DE CÁLCULO'!B:H,3,)</f>
        <v>EMASSAMENTO COM MASSA PVA DUAS DEMAOS</v>
      </c>
      <c r="F166" s="114" t="str">
        <f>VLOOKUP(B166,'MEMÓRIA DE CÁLCULO'!$B:$H,4,)</f>
        <v>m²</v>
      </c>
      <c r="G166" s="168">
        <f>VLOOKUP(B166,'MEMÓRIA DE CÁLCULO'!B:H,7,)</f>
        <v>1174.0212999999999</v>
      </c>
      <c r="H166" s="188"/>
      <c r="I166" s="188"/>
      <c r="J166" s="101">
        <f t="shared" ref="J166:J174" si="25">(I166+H166)*G166</f>
        <v>0</v>
      </c>
      <c r="K166" s="162"/>
    </row>
    <row r="167" spans="2:11" x14ac:dyDescent="0.25">
      <c r="B167" s="182" t="s">
        <v>527</v>
      </c>
      <c r="C167" s="88" t="s">
        <v>604</v>
      </c>
      <c r="D167" s="88">
        <f>VLOOKUP(B167,'MEMÓRIA DE CÁLCULO'!B:H,2,)</f>
        <v>261304</v>
      </c>
      <c r="E167" s="99" t="str">
        <f>VLOOKUP(B167,'MEMÓRIA DE CÁLCULO'!B:H,3,)</f>
        <v>EMASSAMENTO ACRILICO 2 DEMAOS</v>
      </c>
      <c r="F167" s="114" t="str">
        <f>VLOOKUP(B167,'MEMÓRIA DE CÁLCULO'!$B:$H,4,)</f>
        <v>m²</v>
      </c>
      <c r="G167" s="89">
        <f>VLOOKUP(B167,'MEMÓRIA DE CÁLCULO'!B:H,7,)</f>
        <v>760.88249999999982</v>
      </c>
      <c r="H167" s="98"/>
      <c r="I167" s="98"/>
      <c r="J167" s="101">
        <f t="shared" si="25"/>
        <v>0</v>
      </c>
      <c r="K167" s="162"/>
    </row>
    <row r="168" spans="2:11" x14ac:dyDescent="0.25">
      <c r="B168" s="182" t="s">
        <v>529</v>
      </c>
      <c r="C168" s="88" t="s">
        <v>604</v>
      </c>
      <c r="D168" s="88">
        <f>VLOOKUP(B168,'MEMÓRIA DE CÁLCULO'!B:H,2,)</f>
        <v>261001</v>
      </c>
      <c r="E168" s="99" t="str">
        <f>VLOOKUP(B168,'MEMÓRIA DE CÁLCULO'!B:H,3,)</f>
        <v>PINTURA LATEX ACRILICO 2 DEMAOS</v>
      </c>
      <c r="F168" s="114" t="str">
        <f>VLOOKUP(B168,'MEMÓRIA DE CÁLCULO'!$B:$H,4,)</f>
        <v>m²</v>
      </c>
      <c r="G168" s="89">
        <f>VLOOKUP(B168,'MEMÓRIA DE CÁLCULO'!B:H,7,)</f>
        <v>1956.2035999999996</v>
      </c>
      <c r="H168" s="98"/>
      <c r="I168" s="98"/>
      <c r="J168" s="101">
        <f t="shared" si="25"/>
        <v>0</v>
      </c>
      <c r="K168" s="162"/>
    </row>
    <row r="169" spans="2:11" x14ac:dyDescent="0.25">
      <c r="B169" s="182" t="s">
        <v>537</v>
      </c>
      <c r="C169" s="88" t="s">
        <v>604</v>
      </c>
      <c r="D169" s="88">
        <f>VLOOKUP(B169,'MEMÓRIA DE CÁLCULO'!B:H,2,)</f>
        <v>260601</v>
      </c>
      <c r="E169" s="99" t="str">
        <f>VLOOKUP(B169,'MEMÓRIA DE CÁLCULO'!B:H,3,)</f>
        <v>PINTURA TEXTURIZADA C/SELADOR ACRILICO</v>
      </c>
      <c r="F169" s="114" t="str">
        <f>VLOOKUP(B169,'MEMÓRIA DE CÁLCULO'!$B:$H,4,)</f>
        <v>m²</v>
      </c>
      <c r="G169" s="89">
        <f>VLOOKUP(B169,'MEMÓRIA DE CÁLCULO'!B:H,7,)</f>
        <v>325.64949999999999</v>
      </c>
      <c r="H169" s="98"/>
      <c r="I169" s="98"/>
      <c r="J169" s="101">
        <f t="shared" si="25"/>
        <v>0</v>
      </c>
      <c r="K169" s="162"/>
    </row>
    <row r="170" spans="2:11" x14ac:dyDescent="0.25">
      <c r="B170" s="182" t="s">
        <v>539</v>
      </c>
      <c r="C170" s="88" t="s">
        <v>612</v>
      </c>
      <c r="D170" s="88" t="str">
        <f>VLOOKUP(B170,'MEMÓRIA DE CÁLCULO'!B:H,2,)</f>
        <v>SINAPI 99822</v>
      </c>
      <c r="E170" s="99" t="str">
        <f>VLOOKUP(B170,'MEMÓRIA DE CÁLCULO'!B:H,3,)</f>
        <v>LIMPEZA DE PORTA DE MADEIRA</v>
      </c>
      <c r="F170" s="114" t="str">
        <f>VLOOKUP(B170,'MEMÓRIA DE CÁLCULO'!$B:$H,4,)</f>
        <v>m²</v>
      </c>
      <c r="G170" s="89">
        <f>VLOOKUP(B170,'MEMÓRIA DE CÁLCULO'!B:H,7,)</f>
        <v>25.2</v>
      </c>
      <c r="H170" s="98"/>
      <c r="I170" s="98"/>
      <c r="J170" s="101">
        <f t="shared" si="25"/>
        <v>0</v>
      </c>
      <c r="K170" s="162"/>
    </row>
    <row r="171" spans="2:11" x14ac:dyDescent="0.25">
      <c r="B171" s="182" t="s">
        <v>550</v>
      </c>
      <c r="C171" s="88" t="s">
        <v>604</v>
      </c>
      <c r="D171" s="88">
        <f>VLOOKUP(B171,'MEMÓRIA DE CÁLCULO'!B:H,2,)</f>
        <v>260902</v>
      </c>
      <c r="E171" s="99" t="str">
        <f>VLOOKUP(B171,'MEMÓRIA DE CÁLCULO'!B:H,3,)</f>
        <v>PINTURA C/VERNIZ ACRILICO-02 DEMAOS - FACE INTERNA E EXTERNA</v>
      </c>
      <c r="F171" s="114" t="str">
        <f>VLOOKUP(B171,'MEMÓRIA DE CÁLCULO'!$B:$H,4,)</f>
        <v>m²</v>
      </c>
      <c r="G171" s="89">
        <f>VLOOKUP(B171,'MEMÓRIA DE CÁLCULO'!B:H,7,)</f>
        <v>32.339999999999996</v>
      </c>
      <c r="H171" s="98"/>
      <c r="I171" s="98"/>
      <c r="J171" s="101">
        <f t="shared" si="25"/>
        <v>0</v>
      </c>
      <c r="K171" s="162"/>
    </row>
    <row r="172" spans="2:11" x14ac:dyDescent="0.25">
      <c r="B172" s="182" t="s">
        <v>554</v>
      </c>
      <c r="C172" s="88" t="s">
        <v>604</v>
      </c>
      <c r="D172" s="88">
        <f>VLOOKUP(B172,'MEMÓRIA DE CÁLCULO'!B:H,2,)</f>
        <v>261008</v>
      </c>
      <c r="E172" s="99" t="str">
        <f>VLOOKUP(B172,'MEMÓRIA DE CÁLCULO'!B:H,3,)</f>
        <v>FUNDO ANTICORROSIVO PARA ESQUADRIAS METÁLICAS</v>
      </c>
      <c r="F172" s="114" t="str">
        <f>VLOOKUP(B172,'MEMÓRIA DE CÁLCULO'!$B:$H,4,)</f>
        <v>m²</v>
      </c>
      <c r="G172" s="89">
        <f>VLOOKUP(B172,'MEMÓRIA DE CÁLCULO'!B:H,7,)</f>
        <v>97.447999999999993</v>
      </c>
      <c r="H172" s="98"/>
      <c r="I172" s="98"/>
      <c r="J172" s="101">
        <f t="shared" si="25"/>
        <v>0</v>
      </c>
      <c r="K172" s="162"/>
    </row>
    <row r="173" spans="2:11" ht="28.5" x14ac:dyDescent="0.25">
      <c r="B173" s="182" t="s">
        <v>563</v>
      </c>
      <c r="C173" s="88" t="s">
        <v>604</v>
      </c>
      <c r="D173" s="88">
        <f>VLOOKUP(B173,'MEMÓRIA DE CÁLCULO'!B:H,2,)</f>
        <v>261609</v>
      </c>
      <c r="E173" s="99" t="str">
        <f>VLOOKUP(B173,'MEMÓRIA DE CÁLCULO'!B:H,3,)</f>
        <v>PINTURA ESMALTE ALQUIDICO ESTR.METALICA 2 DEMAOS - CONSIDERANDO FACE INTERNA E EXTERNA</v>
      </c>
      <c r="F173" s="114" t="str">
        <f>VLOOKUP(B173,'MEMÓRIA DE CÁLCULO'!$B:$H,4,)</f>
        <v>m²</v>
      </c>
      <c r="G173" s="89">
        <f>VLOOKUP(B173,'MEMÓRIA DE CÁLCULO'!B:H,7,)</f>
        <v>99.339999999999989</v>
      </c>
      <c r="H173" s="98"/>
      <c r="I173" s="98"/>
      <c r="J173" s="101">
        <f t="shared" si="25"/>
        <v>0</v>
      </c>
      <c r="K173" s="162"/>
    </row>
    <row r="174" spans="2:11" x14ac:dyDescent="0.25">
      <c r="B174" s="182" t="s">
        <v>565</v>
      </c>
      <c r="C174" s="88" t="s">
        <v>604</v>
      </c>
      <c r="D174" s="88">
        <f>VLOOKUP(B174,'MEMÓRIA DE CÁLCULO'!B:H,2,)</f>
        <v>261703</v>
      </c>
      <c r="E174" s="99" t="str">
        <f>VLOOKUP(B174,'MEMÓRIA DE CÁLCULO'!B:H,3,)</f>
        <v>PINT.POLIESPORTIVA - 2 DEM.(PISOS E CIMENTADOS)</v>
      </c>
      <c r="F174" s="114" t="str">
        <f>VLOOKUP(B174,'MEMÓRIA DE CÁLCULO'!$B:$H,4,)</f>
        <v>m²</v>
      </c>
      <c r="G174" s="89">
        <f>VLOOKUP(B174,'MEMÓRIA DE CÁLCULO'!B:H,7,)</f>
        <v>393.69520000000006</v>
      </c>
      <c r="H174" s="98"/>
      <c r="I174" s="98"/>
      <c r="J174" s="101">
        <f t="shared" si="25"/>
        <v>0</v>
      </c>
      <c r="K174" s="162"/>
    </row>
    <row r="175" spans="2:11" x14ac:dyDescent="0.25">
      <c r="B175" s="26"/>
      <c r="C175" s="174"/>
      <c r="D175" s="15"/>
      <c r="E175" s="103"/>
      <c r="H175" s="123"/>
      <c r="I175" s="123"/>
      <c r="J175" s="124"/>
      <c r="K175" s="162"/>
    </row>
    <row r="176" spans="2:11" ht="15" x14ac:dyDescent="0.25">
      <c r="B176" s="477" t="s">
        <v>632</v>
      </c>
      <c r="C176" s="478"/>
      <c r="D176" s="478"/>
      <c r="E176" s="478"/>
      <c r="F176" s="478"/>
      <c r="G176" s="478"/>
      <c r="H176" s="478"/>
      <c r="I176" s="478"/>
      <c r="J176" s="63">
        <f>SUM(J178:J180)</f>
        <v>0</v>
      </c>
      <c r="K176" s="162"/>
    </row>
    <row r="177" spans="2:11" ht="15" x14ac:dyDescent="0.25">
      <c r="B177" s="21">
        <v>21</v>
      </c>
      <c r="C177" s="481" t="s">
        <v>568</v>
      </c>
      <c r="D177" s="482"/>
      <c r="E177" s="482"/>
      <c r="F177" s="482"/>
      <c r="G177" s="482"/>
      <c r="H177" s="482"/>
      <c r="I177" s="482"/>
      <c r="J177" s="483"/>
      <c r="K177" s="162"/>
    </row>
    <row r="178" spans="2:11" ht="27.75" customHeight="1" x14ac:dyDescent="0.25">
      <c r="B178" s="182" t="s">
        <v>569</v>
      </c>
      <c r="C178" s="88" t="s">
        <v>604</v>
      </c>
      <c r="D178" s="88">
        <f>VLOOKUP(B178,'MEMÓRIA DE CÁLCULO'!B:H,2,)</f>
        <v>270501</v>
      </c>
      <c r="E178" s="99" t="str">
        <f>VLOOKUP(B178,'MEMÓRIA DE CÁLCULO'!B:H,3,)</f>
        <v>LIMPEZA FINAL DE OBRA - (OBRAS CIVIS)</v>
      </c>
      <c r="F178" s="114" t="str">
        <f>VLOOKUP(B178,'MEMÓRIA DE CÁLCULO'!$B:$H,4,)</f>
        <v>m²</v>
      </c>
      <c r="G178" s="89">
        <f>VLOOKUP(B178,'MEMÓRIA DE CÁLCULO'!B:H,7,)</f>
        <v>1121.3499999999999</v>
      </c>
      <c r="H178" s="98"/>
      <c r="I178" s="98"/>
      <c r="J178" s="101">
        <f t="shared" ref="J178:J180" si="26">(I178+H178)*G178</f>
        <v>0</v>
      </c>
      <c r="K178" s="162"/>
    </row>
    <row r="179" spans="2:11" ht="22.5" customHeight="1" x14ac:dyDescent="0.25">
      <c r="B179" s="182" t="s">
        <v>572</v>
      </c>
      <c r="C179" s="88" t="s">
        <v>604</v>
      </c>
      <c r="D179" s="88">
        <f>VLOOKUP(B179,'MEMÓRIA DE CÁLCULO'!B:H,2,)</f>
        <v>270810</v>
      </c>
      <c r="E179" s="99" t="str">
        <f>VLOOKUP(B179,'MEMÓRIA DE CÁLCULO'!B:H,3,)</f>
        <v>PLACA DE INAUGURACAO ACO ESCOVADO 80 X 60 CM</v>
      </c>
      <c r="F179" s="114" t="str">
        <f>VLOOKUP(B179,'MEMÓRIA DE CÁLCULO'!$B:$H,4,)</f>
        <v>un.</v>
      </c>
      <c r="G179" s="89">
        <f>VLOOKUP(B179,'MEMÓRIA DE CÁLCULO'!B:H,7,)</f>
        <v>1</v>
      </c>
      <c r="H179" s="98"/>
      <c r="I179" s="98"/>
      <c r="J179" s="101">
        <f t="shared" si="26"/>
        <v>0</v>
      </c>
      <c r="K179" s="162"/>
    </row>
    <row r="180" spans="2:11" x14ac:dyDescent="0.25">
      <c r="B180" s="182" t="s">
        <v>577</v>
      </c>
      <c r="C180" s="88"/>
      <c r="D180" s="88" t="str">
        <f>VLOOKUP(B180,'MEMÓRIA DE CÁLCULO'!B:H,2,)</f>
        <v>COMPOSIÇÃO 8</v>
      </c>
      <c r="E180" s="99" t="str">
        <f>VLOOKUP(B180,'MEMÓRIA DE CÁLCULO'!B:H,3,)</f>
        <v>ESPELHO 40X50 CM</v>
      </c>
      <c r="F180" s="114" t="str">
        <f>VLOOKUP(B180,'MEMÓRIA DE CÁLCULO'!$B:$H,4,)</f>
        <v>m²</v>
      </c>
      <c r="G180" s="89">
        <f>VLOOKUP(B180,'MEMÓRIA DE CÁLCULO'!B:H,7,)</f>
        <v>3.4000000000000008</v>
      </c>
      <c r="H180" s="98"/>
      <c r="I180" s="98"/>
      <c r="J180" s="101">
        <f t="shared" si="26"/>
        <v>0</v>
      </c>
    </row>
    <row r="181" spans="2:11" x14ac:dyDescent="0.25">
      <c r="B181" s="26"/>
      <c r="D181" s="15"/>
      <c r="E181" s="103"/>
      <c r="F181" s="254"/>
      <c r="H181" s="104"/>
      <c r="I181" s="104"/>
      <c r="J181" s="130"/>
    </row>
    <row r="182" spans="2:11" x14ac:dyDescent="0.25">
      <c r="B182" s="26"/>
      <c r="D182" s="15"/>
      <c r="E182" s="103"/>
      <c r="F182" s="254"/>
      <c r="H182" s="104"/>
      <c r="I182" s="104"/>
      <c r="J182" s="130"/>
    </row>
    <row r="183" spans="2:11" ht="20.25" customHeight="1" x14ac:dyDescent="0.25">
      <c r="B183" s="464" t="s">
        <v>633</v>
      </c>
      <c r="C183" s="465"/>
      <c r="D183" s="465"/>
      <c r="E183" s="465"/>
      <c r="F183" s="465"/>
      <c r="G183" s="465"/>
      <c r="H183" s="465"/>
      <c r="I183" s="465"/>
      <c r="J183" s="466"/>
      <c r="K183" s="463"/>
    </row>
    <row r="184" spans="2:11" ht="15.75" x14ac:dyDescent="0.25">
      <c r="B184" s="7"/>
      <c r="C184" s="2"/>
      <c r="D184" s="30"/>
      <c r="E184" s="1"/>
      <c r="F184" s="11"/>
      <c r="G184" s="11"/>
      <c r="H184" s="40"/>
      <c r="I184" s="64" t="s">
        <v>634</v>
      </c>
      <c r="J184" s="65">
        <f>SUM(J29,J33,J38,J48,J57,J68,J89,J103,J107,J113,J117,J122,J126,J134,J141,J148,J154,J159,J164,J176,J11,)</f>
        <v>0</v>
      </c>
      <c r="K184" s="463"/>
    </row>
    <row r="185" spans="2:11" ht="15.75" x14ac:dyDescent="0.25">
      <c r="B185" s="8"/>
      <c r="C185" s="4"/>
      <c r="D185" s="31"/>
      <c r="E185" s="3"/>
      <c r="F185" s="12"/>
      <c r="G185" s="12"/>
      <c r="H185" s="36"/>
      <c r="I185" s="66" t="s">
        <v>635</v>
      </c>
      <c r="J185" s="67">
        <f>ROUNDUP((J184*0.2388),2)</f>
        <v>0</v>
      </c>
      <c r="K185" s="463"/>
    </row>
    <row r="186" spans="2:11" ht="16.5" thickBot="1" x14ac:dyDescent="0.3">
      <c r="B186" s="9"/>
      <c r="C186" s="6"/>
      <c r="D186" s="32"/>
      <c r="E186" s="5"/>
      <c r="F186" s="13"/>
      <c r="G186" s="13"/>
      <c r="H186" s="37"/>
      <c r="I186" s="68" t="s">
        <v>636</v>
      </c>
      <c r="J186" s="69">
        <f>J184+J185</f>
        <v>0</v>
      </c>
      <c r="K186" s="463"/>
    </row>
    <row r="187" spans="2:11" ht="15" x14ac:dyDescent="0.25">
      <c r="B187" s="149"/>
      <c r="C187" s="150"/>
      <c r="D187" s="151"/>
      <c r="E187" s="152"/>
      <c r="F187" s="153"/>
      <c r="G187" s="150"/>
      <c r="H187" s="154"/>
      <c r="I187" s="154"/>
      <c r="J187" s="155"/>
      <c r="K187" s="463"/>
    </row>
    <row r="188" spans="2:11" ht="32.25" customHeight="1" x14ac:dyDescent="0.25">
      <c r="B188" s="8"/>
      <c r="D188" s="148"/>
      <c r="E188" s="148" t="s">
        <v>637</v>
      </c>
      <c r="F188" s="469" t="s">
        <v>589</v>
      </c>
      <c r="G188" s="469"/>
      <c r="H188" s="469"/>
      <c r="I188" s="469"/>
      <c r="J188" s="470"/>
      <c r="K188" s="463"/>
    </row>
    <row r="189" spans="2:11" ht="24" customHeight="1" x14ac:dyDescent="0.25">
      <c r="B189" s="8"/>
      <c r="C189" s="4"/>
      <c r="D189" s="33"/>
      <c r="E189" s="147"/>
      <c r="F189" s="161"/>
      <c r="G189" s="467"/>
      <c r="H189" s="467"/>
      <c r="I189" s="467"/>
      <c r="J189" s="468"/>
      <c r="K189" s="463"/>
    </row>
    <row r="190" spans="2:11" ht="18" x14ac:dyDescent="0.25">
      <c r="B190" s="8"/>
      <c r="C190" s="24"/>
      <c r="E190" s="172" t="s">
        <v>590</v>
      </c>
      <c r="F190" s="160"/>
      <c r="G190" s="467" t="s">
        <v>590</v>
      </c>
      <c r="H190" s="467"/>
      <c r="I190" s="467"/>
      <c r="J190" s="468"/>
      <c r="K190" s="463"/>
    </row>
    <row r="191" spans="2:11" ht="15" x14ac:dyDescent="0.25">
      <c r="B191" s="25"/>
      <c r="C191" s="24"/>
      <c r="E191" s="177" t="s">
        <v>638</v>
      </c>
      <c r="F191" s="29"/>
      <c r="G191" s="489" t="s">
        <v>591</v>
      </c>
      <c r="H191" s="489"/>
      <c r="I191" s="489"/>
      <c r="J191" s="490"/>
    </row>
    <row r="192" spans="2:11" ht="23.25" customHeight="1" thickBot="1" x14ac:dyDescent="0.3">
      <c r="B192" s="156"/>
      <c r="C192" s="157"/>
      <c r="D192" s="158"/>
      <c r="E192" s="176" t="s">
        <v>639</v>
      </c>
      <c r="F192" s="159"/>
      <c r="G192" s="471" t="s">
        <v>640</v>
      </c>
      <c r="H192" s="471"/>
      <c r="I192" s="471"/>
      <c r="J192" s="472"/>
    </row>
    <row r="193" spans="4:10" x14ac:dyDescent="0.25">
      <c r="D193" s="35"/>
      <c r="H193" s="38"/>
      <c r="I193" s="38"/>
      <c r="J193" s="27"/>
    </row>
    <row r="194" spans="4:10" x14ac:dyDescent="0.25">
      <c r="D194" s="35"/>
    </row>
    <row r="195" spans="4:10" x14ac:dyDescent="0.25">
      <c r="D195" s="35"/>
    </row>
    <row r="196" spans="4:10" x14ac:dyDescent="0.25">
      <c r="D196" s="35"/>
      <c r="E196" s="23"/>
    </row>
  </sheetData>
  <mergeCells count="61">
    <mergeCell ref="C58:J58"/>
    <mergeCell ref="B57:I57"/>
    <mergeCell ref="B81:I81"/>
    <mergeCell ref="C69:J69"/>
    <mergeCell ref="B68:I68"/>
    <mergeCell ref="B103:I103"/>
    <mergeCell ref="B107:I107"/>
    <mergeCell ref="C104:J104"/>
    <mergeCell ref="B89:I89"/>
    <mergeCell ref="C90:J90"/>
    <mergeCell ref="C39:J39"/>
    <mergeCell ref="C49:J49"/>
    <mergeCell ref="K1:K6"/>
    <mergeCell ref="B3:J3"/>
    <mergeCell ref="B4:J4"/>
    <mergeCell ref="B5:J5"/>
    <mergeCell ref="B6:J6"/>
    <mergeCell ref="B2:J2"/>
    <mergeCell ref="B38:I38"/>
    <mergeCell ref="B48:I48"/>
    <mergeCell ref="B7:J7"/>
    <mergeCell ref="B32:J32"/>
    <mergeCell ref="B9:J9"/>
    <mergeCell ref="C12:J12"/>
    <mergeCell ref="C30:J30"/>
    <mergeCell ref="C34:J34"/>
    <mergeCell ref="B11:I11"/>
    <mergeCell ref="B33:I33"/>
    <mergeCell ref="B29:I29"/>
    <mergeCell ref="E8:H8"/>
    <mergeCell ref="G191:J191"/>
    <mergeCell ref="B134:I134"/>
    <mergeCell ref="C108:J108"/>
    <mergeCell ref="C114:J114"/>
    <mergeCell ref="C135:J135"/>
    <mergeCell ref="B113:I113"/>
    <mergeCell ref="B126:I126"/>
    <mergeCell ref="C127:J127"/>
    <mergeCell ref="B117:I117"/>
    <mergeCell ref="C118:J118"/>
    <mergeCell ref="B122:I122"/>
    <mergeCell ref="C123:J123"/>
    <mergeCell ref="G192:J192"/>
    <mergeCell ref="C149:J149"/>
    <mergeCell ref="B141:I141"/>
    <mergeCell ref="B154:I154"/>
    <mergeCell ref="B159:I159"/>
    <mergeCell ref="B163:J163"/>
    <mergeCell ref="C160:J160"/>
    <mergeCell ref="C155:J155"/>
    <mergeCell ref="C142:J142"/>
    <mergeCell ref="B164:I164"/>
    <mergeCell ref="C165:J165"/>
    <mergeCell ref="B148:I148"/>
    <mergeCell ref="C177:J177"/>
    <mergeCell ref="B176:I176"/>
    <mergeCell ref="K183:K190"/>
    <mergeCell ref="B183:J183"/>
    <mergeCell ref="G190:J190"/>
    <mergeCell ref="G189:J189"/>
    <mergeCell ref="F188:J188"/>
  </mergeCells>
  <phoneticPr fontId="7" type="noConversion"/>
  <printOptions horizontalCentered="1"/>
  <pageMargins left="0.23622047244094491" right="0.23622047244094491" top="0.27559055118110237" bottom="0.74803149606299213" header="0.31496062992125984" footer="0.31496062992125984"/>
  <pageSetup paperSize="9" scale="61" fitToHeight="0" orientation="landscape" r:id="rId1"/>
  <headerFooter>
    <oddFooter>Página &amp;P de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648A9A-3259-48E8-BA26-F22DE1B45450}">
  <sheetPr>
    <pageSetUpPr fitToPage="1"/>
  </sheetPr>
  <dimension ref="B1:K39"/>
  <sheetViews>
    <sheetView zoomScale="85" zoomScaleNormal="85" zoomScaleSheetLayoutView="90" workbookViewId="0">
      <selection activeCell="D49" sqref="D49"/>
    </sheetView>
  </sheetViews>
  <sheetFormatPr defaultRowHeight="15" x14ac:dyDescent="0.25"/>
  <cols>
    <col min="2" max="2" width="3" style="10" customWidth="1"/>
    <col min="3" max="3" width="42.7109375" customWidth="1"/>
    <col min="4" max="4" width="15.85546875" style="16" bestFit="1" customWidth="1"/>
    <col min="5" max="5" width="10" style="10" customWidth="1"/>
    <col min="6" max="6" width="13.28515625" style="10" bestFit="1" customWidth="1"/>
    <col min="7" max="10" width="14.28515625" style="10" bestFit="1" customWidth="1"/>
    <col min="11" max="11" width="9.85546875" style="10" customWidth="1"/>
  </cols>
  <sheetData>
    <row r="1" spans="2:11" x14ac:dyDescent="0.25">
      <c r="B1" s="54"/>
      <c r="C1" s="512" t="s">
        <v>641</v>
      </c>
      <c r="D1" s="512"/>
      <c r="E1" s="512"/>
      <c r="F1" s="512"/>
      <c r="G1" s="512"/>
      <c r="H1" s="512"/>
      <c r="I1" s="512"/>
      <c r="J1" s="512"/>
      <c r="K1" s="55">
        <v>23.88</v>
      </c>
    </row>
    <row r="2" spans="2:11" x14ac:dyDescent="0.25">
      <c r="B2" s="56"/>
      <c r="C2" s="513" t="s">
        <v>0</v>
      </c>
      <c r="D2" s="513"/>
      <c r="E2" s="513"/>
      <c r="F2" s="513"/>
      <c r="G2" s="513"/>
      <c r="H2" s="513"/>
      <c r="I2" s="513"/>
      <c r="J2" s="513"/>
      <c r="K2" s="57"/>
    </row>
    <row r="3" spans="2:11" ht="15" customHeight="1" x14ac:dyDescent="0.25">
      <c r="B3" s="56"/>
      <c r="C3" s="525" t="s">
        <v>594</v>
      </c>
      <c r="D3" s="525"/>
      <c r="E3" s="525"/>
      <c r="F3" s="525"/>
      <c r="G3" s="525"/>
      <c r="H3" s="525"/>
      <c r="I3" s="525"/>
      <c r="J3" s="525"/>
      <c r="K3" s="57"/>
    </row>
    <row r="4" spans="2:11" x14ac:dyDescent="0.25">
      <c r="B4" s="56"/>
      <c r="C4" s="513" t="s">
        <v>642</v>
      </c>
      <c r="D4" s="513"/>
      <c r="E4" s="513"/>
      <c r="F4" s="513"/>
      <c r="G4" s="513"/>
      <c r="H4" s="513"/>
      <c r="I4" s="513"/>
      <c r="J4" s="513"/>
      <c r="K4" s="57"/>
    </row>
    <row r="5" spans="2:11" ht="35.25" customHeight="1" x14ac:dyDescent="0.25">
      <c r="B5" s="514" t="s">
        <v>643</v>
      </c>
      <c r="C5" s="515"/>
      <c r="D5" s="515"/>
      <c r="E5" s="515"/>
      <c r="F5" s="515"/>
      <c r="G5" s="515"/>
      <c r="H5" s="515"/>
      <c r="I5" s="515"/>
      <c r="J5" s="515"/>
      <c r="K5" s="516"/>
    </row>
    <row r="6" spans="2:11" ht="19.5" customHeight="1" x14ac:dyDescent="0.25">
      <c r="B6" s="189"/>
      <c r="C6" s="190"/>
      <c r="D6" s="190"/>
      <c r="E6" s="190"/>
      <c r="F6" s="526" t="s">
        <v>644</v>
      </c>
      <c r="G6" s="527"/>
      <c r="H6" s="527"/>
      <c r="I6" s="527"/>
      <c r="J6" s="527"/>
      <c r="K6" s="191"/>
    </row>
    <row r="7" spans="2:11" ht="37.5" customHeight="1" x14ac:dyDescent="0.25">
      <c r="B7" s="523" t="s">
        <v>645</v>
      </c>
      <c r="C7" s="524"/>
      <c r="D7" s="192" t="s">
        <v>646</v>
      </c>
      <c r="E7" s="192" t="s">
        <v>647</v>
      </c>
      <c r="F7" s="169">
        <v>1</v>
      </c>
      <c r="G7" s="169">
        <v>2</v>
      </c>
      <c r="H7" s="169">
        <v>3</v>
      </c>
      <c r="I7" s="169">
        <v>4</v>
      </c>
      <c r="J7" s="169">
        <v>5</v>
      </c>
      <c r="K7" s="193" t="s">
        <v>11</v>
      </c>
    </row>
    <row r="8" spans="2:11" x14ac:dyDescent="0.25">
      <c r="B8" s="58">
        <v>1</v>
      </c>
      <c r="C8" s="43" t="s">
        <v>10</v>
      </c>
      <c r="D8" s="44">
        <f>'ORÇAMENTO '!J11</f>
        <v>0</v>
      </c>
      <c r="E8" s="45" t="e">
        <f t="shared" ref="E8:E22" si="0">D8/$D$29</f>
        <v>#DIV/0!</v>
      </c>
      <c r="F8" s="45">
        <v>0.8</v>
      </c>
      <c r="G8" s="45">
        <v>0.2</v>
      </c>
      <c r="H8" s="45"/>
      <c r="I8" s="45"/>
      <c r="J8" s="45"/>
      <c r="K8" s="59">
        <f t="shared" ref="K8:K15" si="1">SUM(F8:J8)</f>
        <v>1</v>
      </c>
    </row>
    <row r="9" spans="2:11" x14ac:dyDescent="0.25">
      <c r="B9" s="58">
        <v>2</v>
      </c>
      <c r="C9" s="43" t="s">
        <v>214</v>
      </c>
      <c r="D9" s="44">
        <f>'ORÇAMENTO '!J29</f>
        <v>0</v>
      </c>
      <c r="E9" s="45" t="e">
        <f t="shared" si="0"/>
        <v>#DIV/0!</v>
      </c>
      <c r="F9" s="45">
        <v>0.8</v>
      </c>
      <c r="G9" s="45">
        <v>0.2</v>
      </c>
      <c r="H9" s="45"/>
      <c r="I9" s="45"/>
      <c r="J9" s="45"/>
      <c r="K9" s="59">
        <f t="shared" si="1"/>
        <v>1</v>
      </c>
    </row>
    <row r="10" spans="2:11" x14ac:dyDescent="0.25">
      <c r="B10" s="58">
        <v>3</v>
      </c>
      <c r="C10" s="43" t="s">
        <v>218</v>
      </c>
      <c r="D10" s="44">
        <f>'ORÇAMENTO '!J33</f>
        <v>0</v>
      </c>
      <c r="E10" s="45" t="e">
        <f t="shared" si="0"/>
        <v>#DIV/0!</v>
      </c>
      <c r="F10" s="45"/>
      <c r="G10" s="45">
        <v>1</v>
      </c>
      <c r="H10" s="45"/>
      <c r="I10" s="45"/>
      <c r="J10" s="45"/>
      <c r="K10" s="59">
        <f t="shared" si="1"/>
        <v>1</v>
      </c>
    </row>
    <row r="11" spans="2:11" x14ac:dyDescent="0.25">
      <c r="B11" s="58">
        <v>4</v>
      </c>
      <c r="C11" s="43" t="s">
        <v>225</v>
      </c>
      <c r="D11" s="44">
        <f>'ORÇAMENTO '!J38</f>
        <v>0</v>
      </c>
      <c r="E11" s="45" t="e">
        <f t="shared" si="0"/>
        <v>#DIV/0!</v>
      </c>
      <c r="F11" s="45"/>
      <c r="G11" s="45"/>
      <c r="H11" s="45">
        <v>0.5</v>
      </c>
      <c r="I11" s="45">
        <v>0.5</v>
      </c>
      <c r="J11" s="45"/>
      <c r="K11" s="59">
        <f t="shared" si="1"/>
        <v>1</v>
      </c>
    </row>
    <row r="12" spans="2:11" x14ac:dyDescent="0.25">
      <c r="B12" s="58">
        <v>5</v>
      </c>
      <c r="C12" s="43" t="s">
        <v>609</v>
      </c>
      <c r="D12" s="44">
        <f>'ORÇAMENTO '!J48</f>
        <v>0</v>
      </c>
      <c r="E12" s="45" t="e">
        <f t="shared" si="0"/>
        <v>#DIV/0!</v>
      </c>
      <c r="F12" s="45"/>
      <c r="G12" s="45"/>
      <c r="H12" s="45"/>
      <c r="I12" s="45">
        <v>0.5</v>
      </c>
      <c r="J12" s="45">
        <v>0.5</v>
      </c>
      <c r="K12" s="59">
        <f t="shared" si="1"/>
        <v>1</v>
      </c>
    </row>
    <row r="13" spans="2:11" ht="30" x14ac:dyDescent="0.25">
      <c r="B13" s="58">
        <v>6</v>
      </c>
      <c r="C13" s="46" t="s">
        <v>273</v>
      </c>
      <c r="D13" s="44">
        <f>'ORÇAMENTO '!J57</f>
        <v>0</v>
      </c>
      <c r="E13" s="45" t="e">
        <f t="shared" si="0"/>
        <v>#DIV/0!</v>
      </c>
      <c r="F13" s="45"/>
      <c r="G13" s="45"/>
      <c r="H13" s="45">
        <v>0.4</v>
      </c>
      <c r="I13" s="45">
        <v>0.3</v>
      </c>
      <c r="J13" s="45">
        <v>0.3</v>
      </c>
      <c r="K13" s="59">
        <f t="shared" si="1"/>
        <v>1</v>
      </c>
    </row>
    <row r="14" spans="2:11" x14ac:dyDescent="0.25">
      <c r="B14" s="58">
        <v>7</v>
      </c>
      <c r="C14" s="43" t="s">
        <v>614</v>
      </c>
      <c r="D14" s="44">
        <f>'ORÇAMENTO '!J68</f>
        <v>0</v>
      </c>
      <c r="E14" s="45" t="e">
        <f t="shared" si="0"/>
        <v>#DIV/0!</v>
      </c>
      <c r="F14" s="45">
        <v>0.15</v>
      </c>
      <c r="G14" s="45">
        <v>0.3</v>
      </c>
      <c r="H14" s="45">
        <v>0.2</v>
      </c>
      <c r="I14" s="45">
        <v>0.2</v>
      </c>
      <c r="J14" s="45">
        <v>0.15</v>
      </c>
      <c r="K14" s="59">
        <f t="shared" si="1"/>
        <v>0.99999999999999989</v>
      </c>
    </row>
    <row r="15" spans="2:11" x14ac:dyDescent="0.25">
      <c r="B15" s="58">
        <v>8</v>
      </c>
      <c r="C15" s="43" t="str">
        <f>'ORÇAMENTO '!C90:J90</f>
        <v>INSTALAÇÕES ESPECIAIS</v>
      </c>
      <c r="D15" s="44">
        <f>'ORÇAMENTO '!J89</f>
        <v>0</v>
      </c>
      <c r="E15" s="45" t="e">
        <f t="shared" si="0"/>
        <v>#DIV/0!</v>
      </c>
      <c r="F15" s="45"/>
      <c r="G15" s="45"/>
      <c r="H15" s="45"/>
      <c r="I15" s="45">
        <v>0.5</v>
      </c>
      <c r="J15" s="45">
        <v>0.5</v>
      </c>
      <c r="K15" s="59">
        <f t="shared" si="1"/>
        <v>1</v>
      </c>
    </row>
    <row r="16" spans="2:11" x14ac:dyDescent="0.25">
      <c r="B16" s="58">
        <v>9</v>
      </c>
      <c r="C16" s="43" t="s">
        <v>617</v>
      </c>
      <c r="D16" s="44">
        <f>'ORÇAMENTO '!J103</f>
        <v>0</v>
      </c>
      <c r="E16" s="45" t="e">
        <f t="shared" si="0"/>
        <v>#DIV/0!</v>
      </c>
      <c r="F16" s="45"/>
      <c r="G16" s="45"/>
      <c r="H16" s="45"/>
      <c r="I16" s="45">
        <v>0.5</v>
      </c>
      <c r="J16" s="45">
        <v>0.5</v>
      </c>
      <c r="K16" s="59">
        <f>SUM(F16:J16)</f>
        <v>1</v>
      </c>
    </row>
    <row r="17" spans="2:11" x14ac:dyDescent="0.25">
      <c r="B17" s="58">
        <v>10</v>
      </c>
      <c r="C17" s="43" t="s">
        <v>392</v>
      </c>
      <c r="D17" s="44">
        <f>'ORÇAMENTO '!J107</f>
        <v>0</v>
      </c>
      <c r="E17" s="45" t="e">
        <f t="shared" si="0"/>
        <v>#DIV/0!</v>
      </c>
      <c r="F17" s="45"/>
      <c r="G17" s="45"/>
      <c r="H17" s="45">
        <v>0.5</v>
      </c>
      <c r="I17" s="45">
        <v>0.5</v>
      </c>
      <c r="J17" s="45"/>
      <c r="K17" s="59">
        <f>SUM(F17:J17)</f>
        <v>1</v>
      </c>
    </row>
    <row r="18" spans="2:11" x14ac:dyDescent="0.25">
      <c r="B18" s="58">
        <v>11</v>
      </c>
      <c r="C18" s="43" t="str">
        <f>'ORÇAMENTO '!C114:J114</f>
        <v>ESTRUTURAS DE MADEIRA</v>
      </c>
      <c r="D18" s="44">
        <f>'ORÇAMENTO '!J113</f>
        <v>0</v>
      </c>
      <c r="E18" s="45" t="e">
        <f t="shared" si="0"/>
        <v>#DIV/0!</v>
      </c>
      <c r="F18" s="45"/>
      <c r="G18" s="45"/>
      <c r="H18" s="45">
        <v>1</v>
      </c>
      <c r="I18" s="45"/>
      <c r="J18" s="45"/>
      <c r="K18" s="59">
        <f>SUM(F18:J18)</f>
        <v>1</v>
      </c>
    </row>
    <row r="19" spans="2:11" x14ac:dyDescent="0.25">
      <c r="B19" s="58">
        <v>12</v>
      </c>
      <c r="C19" s="43" t="str">
        <f>'ORÇAMENTO '!C118:J118</f>
        <v>COBERTURAS</v>
      </c>
      <c r="D19" s="44">
        <f>'ORÇAMENTO '!J117</f>
        <v>0</v>
      </c>
      <c r="E19" s="45" t="e">
        <f t="shared" si="0"/>
        <v>#DIV/0!</v>
      </c>
      <c r="F19" s="45"/>
      <c r="G19" s="45"/>
      <c r="H19" s="45">
        <v>0.5</v>
      </c>
      <c r="I19" s="45">
        <v>0.5</v>
      </c>
      <c r="J19" s="45"/>
      <c r="K19" s="59">
        <f>SUM(F19:J19)</f>
        <v>1</v>
      </c>
    </row>
    <row r="20" spans="2:11" x14ac:dyDescent="0.25">
      <c r="B20" s="58">
        <v>13</v>
      </c>
      <c r="C20" s="43" t="str">
        <f>'ORÇAMENTO '!C123:J123</f>
        <v>ESQUADRIAS MADEIRA</v>
      </c>
      <c r="D20" s="44">
        <f>'ORÇAMENTO '!J122</f>
        <v>0</v>
      </c>
      <c r="E20" s="45" t="e">
        <f t="shared" si="0"/>
        <v>#DIV/0!</v>
      </c>
      <c r="F20" s="45"/>
      <c r="G20" s="45"/>
      <c r="H20" s="45">
        <v>0.5</v>
      </c>
      <c r="I20" s="45">
        <v>0.5</v>
      </c>
      <c r="J20" s="45"/>
      <c r="K20" s="59">
        <f t="shared" ref="K20:K28" si="2">SUM(F20:J20)</f>
        <v>1</v>
      </c>
    </row>
    <row r="21" spans="2:11" x14ac:dyDescent="0.25">
      <c r="B21" s="58">
        <v>14</v>
      </c>
      <c r="C21" s="43" t="str">
        <f>'ORÇAMENTO '!C127:J127</f>
        <v>ESQUADRIAS METÁLICAS</v>
      </c>
      <c r="D21" s="44">
        <f>'ORÇAMENTO '!J126</f>
        <v>0</v>
      </c>
      <c r="E21" s="45" t="e">
        <f t="shared" si="0"/>
        <v>#DIV/0!</v>
      </c>
      <c r="F21" s="45"/>
      <c r="G21" s="45"/>
      <c r="H21" s="45"/>
      <c r="I21" s="45"/>
      <c r="J21" s="45">
        <v>1</v>
      </c>
      <c r="K21" s="59">
        <f t="shared" si="2"/>
        <v>1</v>
      </c>
    </row>
    <row r="22" spans="2:11" x14ac:dyDescent="0.25">
      <c r="B22" s="58">
        <v>15</v>
      </c>
      <c r="C22" s="43" t="s">
        <v>453</v>
      </c>
      <c r="D22" s="44">
        <f>'ORÇAMENTO '!J134</f>
        <v>0</v>
      </c>
      <c r="E22" s="45" t="e">
        <f t="shared" si="0"/>
        <v>#DIV/0!</v>
      </c>
      <c r="F22" s="45"/>
      <c r="G22" s="45">
        <v>0.4</v>
      </c>
      <c r="H22" s="45">
        <v>0.25</v>
      </c>
      <c r="I22" s="45">
        <v>0.35</v>
      </c>
      <c r="J22" s="45"/>
      <c r="K22" s="59">
        <f t="shared" si="2"/>
        <v>1</v>
      </c>
    </row>
    <row r="23" spans="2:11" x14ac:dyDescent="0.25">
      <c r="B23" s="58">
        <v>16</v>
      </c>
      <c r="C23" s="43" t="s">
        <v>466</v>
      </c>
      <c r="D23" s="44">
        <f>'ORÇAMENTO '!J141</f>
        <v>0</v>
      </c>
      <c r="E23" s="45" t="e">
        <f t="shared" ref="E23:E28" si="3">D23/$D$29</f>
        <v>#DIV/0!</v>
      </c>
      <c r="F23" s="45"/>
      <c r="G23" s="45"/>
      <c r="H23" s="45">
        <v>0.5</v>
      </c>
      <c r="I23" s="45">
        <v>0.5</v>
      </c>
      <c r="J23" s="45"/>
      <c r="K23" s="59">
        <f t="shared" si="2"/>
        <v>1</v>
      </c>
    </row>
    <row r="24" spans="2:11" x14ac:dyDescent="0.25">
      <c r="B24" s="58">
        <v>17</v>
      </c>
      <c r="C24" s="43" t="s">
        <v>476</v>
      </c>
      <c r="D24" s="44">
        <f>'ORÇAMENTO '!J148</f>
        <v>0</v>
      </c>
      <c r="E24" s="45" t="e">
        <f t="shared" si="3"/>
        <v>#DIV/0!</v>
      </c>
      <c r="F24" s="45"/>
      <c r="G24" s="45"/>
      <c r="H24" s="45">
        <v>0.35</v>
      </c>
      <c r="I24" s="45">
        <v>0.4</v>
      </c>
      <c r="J24" s="45">
        <v>0.25</v>
      </c>
      <c r="K24" s="59">
        <f t="shared" si="2"/>
        <v>1</v>
      </c>
    </row>
    <row r="25" spans="2:11" x14ac:dyDescent="0.25">
      <c r="B25" s="58">
        <v>18</v>
      </c>
      <c r="C25" s="43" t="s">
        <v>488</v>
      </c>
      <c r="D25" s="44">
        <f>'ORÇAMENTO '!J154</f>
        <v>0</v>
      </c>
      <c r="E25" s="45" t="e">
        <f t="shared" si="3"/>
        <v>#DIV/0!</v>
      </c>
      <c r="F25" s="45"/>
      <c r="G25" s="45"/>
      <c r="H25" s="45"/>
      <c r="I25" s="45"/>
      <c r="J25" s="45">
        <v>1</v>
      </c>
      <c r="K25" s="59">
        <f t="shared" si="2"/>
        <v>1</v>
      </c>
    </row>
    <row r="26" spans="2:11" x14ac:dyDescent="0.25">
      <c r="B26" s="58">
        <v>19</v>
      </c>
      <c r="C26" s="43" t="s">
        <v>648</v>
      </c>
      <c r="D26" s="44">
        <f>'ORÇAMENTO '!J159</f>
        <v>0</v>
      </c>
      <c r="E26" s="45" t="e">
        <f t="shared" si="3"/>
        <v>#DIV/0!</v>
      </c>
      <c r="F26" s="204">
        <v>0.17280000000000001</v>
      </c>
      <c r="G26" s="45">
        <v>0.10249999999999999</v>
      </c>
      <c r="H26" s="45">
        <v>0.20369999999999999</v>
      </c>
      <c r="I26" s="45">
        <v>0.26800000000000002</v>
      </c>
      <c r="J26" s="45">
        <v>0.253</v>
      </c>
      <c r="K26" s="59">
        <f t="shared" si="2"/>
        <v>1</v>
      </c>
    </row>
    <row r="27" spans="2:11" x14ac:dyDescent="0.25">
      <c r="B27" s="58">
        <v>20</v>
      </c>
      <c r="C27" s="43" t="s">
        <v>507</v>
      </c>
      <c r="D27" s="44">
        <f>'ORÇAMENTO '!J164</f>
        <v>0</v>
      </c>
      <c r="E27" s="45" t="e">
        <f t="shared" si="3"/>
        <v>#DIV/0!</v>
      </c>
      <c r="F27" s="45"/>
      <c r="G27" s="45"/>
      <c r="H27" s="45"/>
      <c r="I27" s="45">
        <v>0.5</v>
      </c>
      <c r="J27" s="45">
        <v>0.5</v>
      </c>
      <c r="K27" s="59">
        <f t="shared" si="2"/>
        <v>1</v>
      </c>
    </row>
    <row r="28" spans="2:11" x14ac:dyDescent="0.25">
      <c r="B28" s="58">
        <v>21</v>
      </c>
      <c r="C28" s="43" t="s">
        <v>568</v>
      </c>
      <c r="D28" s="44">
        <f>'ORÇAMENTO '!J176</f>
        <v>0</v>
      </c>
      <c r="E28" s="45" t="e">
        <f t="shared" si="3"/>
        <v>#DIV/0!</v>
      </c>
      <c r="F28" s="45"/>
      <c r="G28" s="45"/>
      <c r="H28" s="45"/>
      <c r="I28" s="45">
        <v>0.75</v>
      </c>
      <c r="J28" s="45">
        <v>0.25</v>
      </c>
      <c r="K28" s="59">
        <f t="shared" si="2"/>
        <v>1</v>
      </c>
    </row>
    <row r="29" spans="2:11" x14ac:dyDescent="0.25">
      <c r="B29" s="531" t="s">
        <v>649</v>
      </c>
      <c r="C29" s="532"/>
      <c r="D29" s="47">
        <f>SUM(D8:D28)</f>
        <v>0</v>
      </c>
      <c r="E29" s="48" t="e">
        <f>SUM(E8:E28)</f>
        <v>#DIV/0!</v>
      </c>
      <c r="F29" s="49">
        <f t="array" ref="F29">SUM(F8:F28*$D$8:$D$28)</f>
        <v>0</v>
      </c>
      <c r="G29" s="49">
        <f t="array" ref="G29">SUM(G8:G28*$D$8:$D$28)</f>
        <v>0</v>
      </c>
      <c r="H29" s="49">
        <f t="array" ref="H29">SUM(H8:H28*$D$8:$D$28)</f>
        <v>0</v>
      </c>
      <c r="I29" s="49">
        <f t="array" ref="I29">SUM(I8:I28*$D$8:$D$28)</f>
        <v>0</v>
      </c>
      <c r="J29" s="49">
        <f t="array" ref="J29">SUM(J8:J28*$D$8:$D$28)</f>
        <v>0</v>
      </c>
      <c r="K29" s="528"/>
    </row>
    <row r="30" spans="2:11" x14ac:dyDescent="0.25">
      <c r="B30" s="531" t="s">
        <v>650</v>
      </c>
      <c r="C30" s="532" t="s">
        <v>650</v>
      </c>
      <c r="D30" s="50">
        <f>D29*(1+$K$1/100)</f>
        <v>0</v>
      </c>
      <c r="E30" s="51"/>
      <c r="F30" s="51">
        <f>F29*(1+$K$1/100)</f>
        <v>0</v>
      </c>
      <c r="G30" s="51">
        <f>G29*(1+$K$1/100)</f>
        <v>0</v>
      </c>
      <c r="H30" s="51">
        <f>H29*(1+$K$1/100)</f>
        <v>0</v>
      </c>
      <c r="I30" s="51">
        <f>I29*(1+$K$1/100)</f>
        <v>0</v>
      </c>
      <c r="J30" s="51">
        <f>J29*(1+$K$1/100)</f>
        <v>0</v>
      </c>
      <c r="K30" s="529"/>
    </row>
    <row r="31" spans="2:11" x14ac:dyDescent="0.25">
      <c r="B31" s="531" t="s">
        <v>651</v>
      </c>
      <c r="C31" s="533"/>
      <c r="D31" s="533"/>
      <c r="E31" s="532"/>
      <c r="F31" s="45" t="e">
        <f t="shared" ref="F31:J31" si="4">F30/$D$30</f>
        <v>#DIV/0!</v>
      </c>
      <c r="G31" s="45" t="e">
        <f t="shared" si="4"/>
        <v>#DIV/0!</v>
      </c>
      <c r="H31" s="45" t="e">
        <f t="shared" si="4"/>
        <v>#DIV/0!</v>
      </c>
      <c r="I31" s="45" t="e">
        <f t="shared" si="4"/>
        <v>#DIV/0!</v>
      </c>
      <c r="J31" s="45" t="e">
        <f t="shared" si="4"/>
        <v>#DIV/0!</v>
      </c>
      <c r="K31" s="529"/>
    </row>
    <row r="32" spans="2:11" x14ac:dyDescent="0.25">
      <c r="B32" s="531" t="s">
        <v>652</v>
      </c>
      <c r="C32" s="533"/>
      <c r="D32" s="533"/>
      <c r="E32" s="532"/>
      <c r="F32" s="52">
        <f>F30</f>
        <v>0</v>
      </c>
      <c r="G32" s="52">
        <f>G30+F32</f>
        <v>0</v>
      </c>
      <c r="H32" s="52">
        <f t="shared" ref="H32:J32" si="5">H30+G32</f>
        <v>0</v>
      </c>
      <c r="I32" s="52">
        <f t="shared" si="5"/>
        <v>0</v>
      </c>
      <c r="J32" s="52">
        <f t="shared" si="5"/>
        <v>0</v>
      </c>
      <c r="K32" s="529"/>
    </row>
    <row r="33" spans="2:11" ht="15.75" thickBot="1" x14ac:dyDescent="0.3">
      <c r="B33" s="517" t="s">
        <v>653</v>
      </c>
      <c r="C33" s="518"/>
      <c r="D33" s="518"/>
      <c r="E33" s="519"/>
      <c r="F33" s="53" t="e">
        <f>F31</f>
        <v>#DIV/0!</v>
      </c>
      <c r="G33" s="53" t="e">
        <f>F33+G31</f>
        <v>#DIV/0!</v>
      </c>
      <c r="H33" s="53" t="e">
        <f t="shared" ref="H33:J33" si="6">G33+H31</f>
        <v>#DIV/0!</v>
      </c>
      <c r="I33" s="53" t="e">
        <f t="shared" si="6"/>
        <v>#DIV/0!</v>
      </c>
      <c r="J33" s="53" t="e">
        <f t="shared" si="6"/>
        <v>#DIV/0!</v>
      </c>
      <c r="K33" s="530"/>
    </row>
    <row r="34" spans="2:11" x14ac:dyDescent="0.25">
      <c r="B34" s="329"/>
      <c r="C34" s="330"/>
      <c r="D34" s="331"/>
      <c r="E34" s="332"/>
      <c r="F34" s="332"/>
      <c r="G34" s="332"/>
      <c r="H34" s="332"/>
      <c r="I34" s="332"/>
      <c r="J34" s="332"/>
      <c r="K34" s="333"/>
    </row>
    <row r="35" spans="2:11" x14ac:dyDescent="0.25">
      <c r="B35" s="334"/>
      <c r="C35" s="520" t="s">
        <v>589</v>
      </c>
      <c r="D35" s="520"/>
      <c r="E35" s="520"/>
      <c r="F35" s="520"/>
      <c r="K35" s="335"/>
    </row>
    <row r="36" spans="2:11" x14ac:dyDescent="0.25">
      <c r="B36" s="334"/>
      <c r="C36" s="340"/>
      <c r="K36" s="335"/>
    </row>
    <row r="37" spans="2:11" ht="36" customHeight="1" x14ac:dyDescent="0.25">
      <c r="B37" s="334"/>
      <c r="C37" s="521" t="s">
        <v>590</v>
      </c>
      <c r="D37" s="521"/>
      <c r="E37" s="521"/>
      <c r="F37" s="521"/>
      <c r="K37" s="335"/>
    </row>
    <row r="38" spans="2:11" x14ac:dyDescent="0.25">
      <c r="B38" s="334"/>
      <c r="C38" s="521" t="s">
        <v>591</v>
      </c>
      <c r="D38" s="521"/>
      <c r="E38" s="521"/>
      <c r="F38" s="521"/>
      <c r="K38" s="335"/>
    </row>
    <row r="39" spans="2:11" ht="15.75" thickBot="1" x14ac:dyDescent="0.3">
      <c r="B39" s="337"/>
      <c r="C39" s="522" t="s">
        <v>592</v>
      </c>
      <c r="D39" s="522"/>
      <c r="E39" s="522"/>
      <c r="F39" s="522"/>
      <c r="G39" s="338"/>
      <c r="H39" s="338"/>
      <c r="I39" s="338"/>
      <c r="J39" s="338"/>
      <c r="K39" s="339"/>
    </row>
  </sheetData>
  <mergeCells count="17">
    <mergeCell ref="K29:K33"/>
    <mergeCell ref="B29:C29"/>
    <mergeCell ref="B30:C30"/>
    <mergeCell ref="B31:E31"/>
    <mergeCell ref="B32:E32"/>
    <mergeCell ref="C1:J1"/>
    <mergeCell ref="B7:C7"/>
    <mergeCell ref="B5:K5"/>
    <mergeCell ref="C4:J4"/>
    <mergeCell ref="C3:J3"/>
    <mergeCell ref="C2:J2"/>
    <mergeCell ref="F6:J6"/>
    <mergeCell ref="B33:E33"/>
    <mergeCell ref="C35:F35"/>
    <mergeCell ref="C37:F37"/>
    <mergeCell ref="C38:F38"/>
    <mergeCell ref="C39:F39"/>
  </mergeCells>
  <pageMargins left="0.511811024" right="0.511811024" top="0.78740157499999996" bottom="0.78740157499999996" header="0.31496062000000002" footer="0.31496062000000002"/>
  <pageSetup paperSize="9" scale="88" orientation="landscape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3</vt:i4>
      </vt:variant>
    </vt:vector>
  </HeadingPairs>
  <TitlesOfParts>
    <vt:vector size="6" baseType="lpstr">
      <vt:lpstr>MEMÓRIA DE CÁLCULO</vt:lpstr>
      <vt:lpstr>ORÇAMENTO </vt:lpstr>
      <vt:lpstr>CRONOGRAMA</vt:lpstr>
      <vt:lpstr>CRONOGRAMA!Area_de_impressao</vt:lpstr>
      <vt:lpstr>'MEMÓRIA DE CÁLCULO'!Area_de_impressao</vt:lpstr>
      <vt:lpstr>'ORÇAMENTO '!Area_de_impressao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Usuário do Windows</dc:creator>
  <cp:keywords/>
  <dc:description/>
  <cp:lastModifiedBy>Drielid Rocha</cp:lastModifiedBy>
  <cp:revision/>
  <cp:lastPrinted>2022-05-23T18:43:39Z</cp:lastPrinted>
  <dcterms:created xsi:type="dcterms:W3CDTF">2017-11-14T15:22:18Z</dcterms:created>
  <dcterms:modified xsi:type="dcterms:W3CDTF">2022-05-23T18:51:53Z</dcterms:modified>
  <cp:category/>
  <cp:contentStatus/>
</cp:coreProperties>
</file>