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Paulo Borges\Desktop\"/>
    </mc:Choice>
  </mc:AlternateContent>
  <xr:revisionPtr revIDLastSave="0" documentId="13_ncr:1_{51BC2949-5DE0-463F-92DB-200278F2CBA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lan1" sheetId="1" r:id="rId1"/>
    <sheet name="Plan2" sheetId="2" r:id="rId2"/>
    <sheet name="Plan3" sheetId="3" r:id="rId3"/>
    <sheet name="Plan4" sheetId="4" r:id="rId4"/>
  </sheets>
  <externalReferences>
    <externalReference r:id="rId5"/>
  </externalReferences>
  <definedNames>
    <definedName name="VALOR_TOTAL">[1]ORÇAMENTO!$I$273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40" i="1"/>
  <c r="E41" i="1"/>
  <c r="E42" i="1"/>
  <c r="E43" i="1"/>
  <c r="E44" i="1"/>
  <c r="I128" i="1" l="1"/>
  <c r="I129" i="1"/>
  <c r="I130" i="1"/>
  <c r="D221" i="2"/>
  <c r="D5" i="3" l="1"/>
  <c r="D5" i="4" s="1"/>
  <c r="D7" i="3"/>
  <c r="D7" i="4" s="1"/>
  <c r="B7" i="2"/>
  <c r="F18" i="4" l="1"/>
  <c r="F16" i="4"/>
  <c r="C8" i="4"/>
  <c r="C7" i="4"/>
  <c r="C6" i="4"/>
  <c r="C5" i="4"/>
  <c r="C4" i="4"/>
  <c r="D3" i="4"/>
  <c r="C3" i="4"/>
  <c r="C1" i="4"/>
  <c r="B63" i="3"/>
  <c r="B60" i="3"/>
  <c r="B57" i="3"/>
  <c r="B54" i="3"/>
  <c r="B51" i="3"/>
  <c r="B48" i="3"/>
  <c r="B45" i="3"/>
  <c r="B42" i="3"/>
  <c r="B39" i="3"/>
  <c r="B36" i="3"/>
  <c r="B33" i="3"/>
  <c r="B30" i="3"/>
  <c r="B27" i="3"/>
  <c r="B24" i="3"/>
  <c r="B21" i="3"/>
  <c r="B18" i="3"/>
  <c r="B15" i="3"/>
  <c r="A12" i="3"/>
  <c r="A15" i="3" s="1"/>
  <c r="A18" i="3" s="1"/>
  <c r="A21" i="3" s="1"/>
  <c r="A24" i="3" s="1"/>
  <c r="A27" i="3" s="1"/>
  <c r="A30" i="3" s="1"/>
  <c r="A33" i="3" s="1"/>
  <c r="A36" i="3" s="1"/>
  <c r="A39" i="3" s="1"/>
  <c r="A42" i="3" s="1"/>
  <c r="A45" i="3" s="1"/>
  <c r="A48" i="3" s="1"/>
  <c r="A51" i="3" s="1"/>
  <c r="A54" i="3" s="1"/>
  <c r="A57" i="3" s="1"/>
  <c r="A60" i="3" s="1"/>
  <c r="A63" i="3" s="1"/>
  <c r="C8" i="3"/>
  <c r="C7" i="3"/>
  <c r="C6" i="3"/>
  <c r="C5" i="3"/>
  <c r="C4" i="3"/>
  <c r="D3" i="3"/>
  <c r="C3" i="3"/>
  <c r="C1" i="3"/>
  <c r="D349" i="2"/>
  <c r="D350" i="2" s="1"/>
  <c r="E164" i="1" s="1"/>
  <c r="I164" i="1" s="1"/>
  <c r="C348" i="2"/>
  <c r="B348" i="2"/>
  <c r="A348" i="2"/>
  <c r="D347" i="2"/>
  <c r="E163" i="1" s="1"/>
  <c r="I163" i="1" s="1"/>
  <c r="D345" i="2"/>
  <c r="C345" i="2"/>
  <c r="B345" i="2"/>
  <c r="A345" i="2"/>
  <c r="D344" i="2"/>
  <c r="E162" i="1" s="1"/>
  <c r="C342" i="2"/>
  <c r="B342" i="2"/>
  <c r="A342" i="2"/>
  <c r="D341" i="2"/>
  <c r="E161" i="1" s="1"/>
  <c r="C339" i="2"/>
  <c r="B339" i="2"/>
  <c r="A339" i="2"/>
  <c r="D338" i="2"/>
  <c r="E160" i="1" s="1"/>
  <c r="C336" i="2"/>
  <c r="B336" i="2"/>
  <c r="A336" i="2"/>
  <c r="D335" i="2"/>
  <c r="E159" i="1" s="1"/>
  <c r="I159" i="1" s="1"/>
  <c r="C333" i="2"/>
  <c r="B333" i="2"/>
  <c r="A333" i="2"/>
  <c r="D332" i="2"/>
  <c r="C330" i="2"/>
  <c r="B330" i="2"/>
  <c r="A330" i="2"/>
  <c r="D329" i="2"/>
  <c r="E157" i="1" s="1"/>
  <c r="I157" i="1" s="1"/>
  <c r="C327" i="2"/>
  <c r="B327" i="2"/>
  <c r="A327" i="2"/>
  <c r="B326" i="2"/>
  <c r="A326" i="2"/>
  <c r="D325" i="2"/>
  <c r="D323" i="2"/>
  <c r="C323" i="2"/>
  <c r="B323" i="2"/>
  <c r="A323" i="2"/>
  <c r="D322" i="2"/>
  <c r="C320" i="2"/>
  <c r="B320" i="2"/>
  <c r="A320" i="2"/>
  <c r="D319" i="2"/>
  <c r="E151" i="1" s="1"/>
  <c r="I151" i="1" s="1"/>
  <c r="C317" i="2"/>
  <c r="B317" i="2"/>
  <c r="A317" i="2"/>
  <c r="D316" i="2"/>
  <c r="C314" i="2"/>
  <c r="B314" i="2"/>
  <c r="A314" i="2"/>
  <c r="D313" i="2"/>
  <c r="E149" i="1" s="1"/>
  <c r="I149" i="1" s="1"/>
  <c r="C311" i="2"/>
  <c r="B311" i="2"/>
  <c r="A311" i="2"/>
  <c r="D310" i="2"/>
  <c r="E148" i="1" s="1"/>
  <c r="I148" i="1" s="1"/>
  <c r="C308" i="2"/>
  <c r="B308" i="2"/>
  <c r="A308" i="2"/>
  <c r="D307" i="2"/>
  <c r="E147" i="1" s="1"/>
  <c r="I147" i="1" s="1"/>
  <c r="C305" i="2"/>
  <c r="B305" i="2"/>
  <c r="A305" i="2"/>
  <c r="D304" i="2"/>
  <c r="C302" i="2"/>
  <c r="B302" i="2"/>
  <c r="A302" i="2"/>
  <c r="D301" i="2"/>
  <c r="E145" i="1" s="1"/>
  <c r="I145" i="1" s="1"/>
  <c r="C299" i="2"/>
  <c r="B299" i="2"/>
  <c r="A299" i="2"/>
  <c r="D298" i="2"/>
  <c r="C296" i="2"/>
  <c r="B296" i="2"/>
  <c r="A296" i="2"/>
  <c r="D295" i="2"/>
  <c r="E143" i="1" s="1"/>
  <c r="I143" i="1" s="1"/>
  <c r="C293" i="2"/>
  <c r="B293" i="2"/>
  <c r="A293" i="2"/>
  <c r="D292" i="2"/>
  <c r="C290" i="2"/>
  <c r="B290" i="2"/>
  <c r="A290" i="2"/>
  <c r="D289" i="2"/>
  <c r="E141" i="1" s="1"/>
  <c r="I141" i="1" s="1"/>
  <c r="C287" i="2"/>
  <c r="B287" i="2"/>
  <c r="A287" i="2"/>
  <c r="D286" i="2"/>
  <c r="E140" i="1" s="1"/>
  <c r="I140" i="1" s="1"/>
  <c r="C284" i="2"/>
  <c r="B284" i="2"/>
  <c r="A284" i="2"/>
  <c r="D283" i="2"/>
  <c r="E139" i="1" s="1"/>
  <c r="I139" i="1" s="1"/>
  <c r="C281" i="2"/>
  <c r="B281" i="2"/>
  <c r="A281" i="2"/>
  <c r="D280" i="2"/>
  <c r="C278" i="2"/>
  <c r="B278" i="2"/>
  <c r="A278" i="2"/>
  <c r="D277" i="2"/>
  <c r="E137" i="1" s="1"/>
  <c r="I137" i="1" s="1"/>
  <c r="C275" i="2"/>
  <c r="B275" i="2"/>
  <c r="A275" i="2"/>
  <c r="D274" i="2"/>
  <c r="E136" i="1" s="1"/>
  <c r="C272" i="2"/>
  <c r="B272" i="2"/>
  <c r="A272" i="2"/>
  <c r="D270" i="2"/>
  <c r="D271" i="2" s="1"/>
  <c r="E135" i="1" s="1"/>
  <c r="I135" i="1" s="1"/>
  <c r="C269" i="2"/>
  <c r="B269" i="2"/>
  <c r="A269" i="2"/>
  <c r="B268" i="2"/>
  <c r="A268" i="2"/>
  <c r="D267" i="2"/>
  <c r="E131" i="1" s="1"/>
  <c r="I131" i="1" s="1"/>
  <c r="C265" i="2"/>
  <c r="B265" i="2"/>
  <c r="A265" i="2"/>
  <c r="D264" i="2"/>
  <c r="C262" i="2"/>
  <c r="B262" i="2"/>
  <c r="A262" i="2"/>
  <c r="D261" i="2"/>
  <c r="C259" i="2"/>
  <c r="B259" i="2"/>
  <c r="A259" i="2"/>
  <c r="D258" i="2"/>
  <c r="C256" i="2"/>
  <c r="B256" i="2"/>
  <c r="A256" i="2"/>
  <c r="D254" i="2"/>
  <c r="D255" i="2" s="1"/>
  <c r="E127" i="1" s="1"/>
  <c r="I127" i="1" s="1"/>
  <c r="C253" i="2"/>
  <c r="B253" i="2"/>
  <c r="A253" i="2"/>
  <c r="D252" i="2"/>
  <c r="E126" i="1" s="1"/>
  <c r="I126" i="1" s="1"/>
  <c r="C250" i="2"/>
  <c r="B250" i="2"/>
  <c r="A250" i="2"/>
  <c r="B249" i="2"/>
  <c r="A249" i="2"/>
  <c r="C246" i="2"/>
  <c r="B246" i="2"/>
  <c r="A246" i="2"/>
  <c r="D244" i="2"/>
  <c r="D245" i="2" s="1"/>
  <c r="E121" i="1" s="1"/>
  <c r="I121" i="1" s="1"/>
  <c r="C243" i="2"/>
  <c r="B243" i="2"/>
  <c r="A243" i="2"/>
  <c r="B241" i="2"/>
  <c r="C240" i="2"/>
  <c r="B240" i="2"/>
  <c r="A240" i="2"/>
  <c r="D238" i="2"/>
  <c r="D237" i="2"/>
  <c r="D236" i="2"/>
  <c r="D235" i="2"/>
  <c r="D234" i="2"/>
  <c r="D233" i="2"/>
  <c r="D232" i="2"/>
  <c r="C231" i="2"/>
  <c r="B231" i="2"/>
  <c r="A231" i="2"/>
  <c r="D229" i="2"/>
  <c r="D228" i="2"/>
  <c r="B228" i="2"/>
  <c r="C227" i="2"/>
  <c r="B227" i="2"/>
  <c r="A227" i="2"/>
  <c r="B226" i="2"/>
  <c r="D225" i="2"/>
  <c r="E114" i="1" s="1"/>
  <c r="I114" i="1" s="1"/>
  <c r="C222" i="2"/>
  <c r="B222" i="2"/>
  <c r="A222" i="2"/>
  <c r="E113" i="1"/>
  <c r="I113" i="1" s="1"/>
  <c r="C217" i="2"/>
  <c r="B217" i="2"/>
  <c r="A217" i="2"/>
  <c r="D216" i="2"/>
  <c r="C212" i="2"/>
  <c r="B212" i="2"/>
  <c r="A212" i="2"/>
  <c r="B211" i="2"/>
  <c r="D209" i="2"/>
  <c r="D210" i="2" s="1"/>
  <c r="E108" i="1" s="1"/>
  <c r="I108" i="1" s="1"/>
  <c r="C208" i="2"/>
  <c r="B208" i="2"/>
  <c r="A208" i="2"/>
  <c r="D207" i="2"/>
  <c r="E107" i="1" s="1"/>
  <c r="I107" i="1" s="1"/>
  <c r="C205" i="2"/>
  <c r="B205" i="2"/>
  <c r="A205" i="2"/>
  <c r="B204" i="2"/>
  <c r="A204" i="2"/>
  <c r="C201" i="2"/>
  <c r="B201" i="2"/>
  <c r="A201" i="2"/>
  <c r="C198" i="2"/>
  <c r="B198" i="2"/>
  <c r="A198" i="2"/>
  <c r="B197" i="2"/>
  <c r="A197" i="2"/>
  <c r="D196" i="2"/>
  <c r="C194" i="2"/>
  <c r="B194" i="2"/>
  <c r="A194" i="2"/>
  <c r="D191" i="2"/>
  <c r="D193" i="2" s="1"/>
  <c r="E97" i="1" s="1"/>
  <c r="I97" i="1" s="1"/>
  <c r="C190" i="2"/>
  <c r="B190" i="2"/>
  <c r="A190" i="2"/>
  <c r="B189" i="2"/>
  <c r="A189" i="2"/>
  <c r="D187" i="2"/>
  <c r="D188" i="2" s="1"/>
  <c r="E93" i="1" s="1"/>
  <c r="I93" i="1" s="1"/>
  <c r="C186" i="2"/>
  <c r="B186" i="2"/>
  <c r="A186" i="2"/>
  <c r="D184" i="2"/>
  <c r="D183" i="2"/>
  <c r="C182" i="2"/>
  <c r="B182" i="2"/>
  <c r="A182" i="2"/>
  <c r="D180" i="2"/>
  <c r="D179" i="2"/>
  <c r="C178" i="2"/>
  <c r="B178" i="2"/>
  <c r="A178" i="2"/>
  <c r="B177" i="2"/>
  <c r="D174" i="2"/>
  <c r="D176" i="2" s="1"/>
  <c r="E87" i="1" s="1"/>
  <c r="I87" i="1" s="1"/>
  <c r="C173" i="2"/>
  <c r="B173" i="2"/>
  <c r="B172" i="2"/>
  <c r="D169" i="2"/>
  <c r="D171" i="2" s="1"/>
  <c r="C168" i="2"/>
  <c r="B168" i="2"/>
  <c r="A168" i="2"/>
  <c r="B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B158" i="2"/>
  <c r="D157" i="2"/>
  <c r="C157" i="2"/>
  <c r="B157" i="2"/>
  <c r="A157" i="2"/>
  <c r="C156" i="2"/>
  <c r="B156" i="2"/>
  <c r="A156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B145" i="2"/>
  <c r="D143" i="2"/>
  <c r="D142" i="2"/>
  <c r="D141" i="2"/>
  <c r="C141" i="2"/>
  <c r="B141" i="2"/>
  <c r="A141" i="2"/>
  <c r="D139" i="2"/>
  <c r="D138" i="2"/>
  <c r="C137" i="2"/>
  <c r="B137" i="2"/>
  <c r="A137" i="2"/>
  <c r="D135" i="2"/>
  <c r="D134" i="2"/>
  <c r="D133" i="2"/>
  <c r="C132" i="2"/>
  <c r="B132" i="2"/>
  <c r="A132" i="2"/>
  <c r="D131" i="2"/>
  <c r="E50" i="1" s="1"/>
  <c r="I50" i="1" s="1"/>
  <c r="D129" i="2"/>
  <c r="C128" i="2"/>
  <c r="B128" i="2"/>
  <c r="A128" i="2"/>
  <c r="D125" i="2"/>
  <c r="D127" i="2" s="1"/>
  <c r="E49" i="1" s="1"/>
  <c r="I49" i="1" s="1"/>
  <c r="C124" i="2"/>
  <c r="B124" i="2"/>
  <c r="A124" i="2"/>
  <c r="D122" i="2"/>
  <c r="D121" i="2"/>
  <c r="C120" i="2"/>
  <c r="B120" i="2"/>
  <c r="A120" i="2"/>
  <c r="B119" i="2"/>
  <c r="D117" i="2"/>
  <c r="D116" i="2"/>
  <c r="D115" i="2"/>
  <c r="D114" i="2"/>
  <c r="C113" i="2"/>
  <c r="B113" i="2"/>
  <c r="A113" i="2"/>
  <c r="D111" i="2"/>
  <c r="D109" i="2"/>
  <c r="C108" i="2"/>
  <c r="B108" i="2"/>
  <c r="A108" i="2"/>
  <c r="D105" i="2"/>
  <c r="D107" i="2" s="1"/>
  <c r="I42" i="1" s="1"/>
  <c r="C104" i="2"/>
  <c r="B104" i="2"/>
  <c r="A104" i="2"/>
  <c r="D102" i="2"/>
  <c r="B101" i="2"/>
  <c r="D100" i="2"/>
  <c r="D99" i="2"/>
  <c r="C97" i="2"/>
  <c r="B97" i="2"/>
  <c r="A97" i="2"/>
  <c r="D95" i="2"/>
  <c r="D93" i="2"/>
  <c r="C91" i="2"/>
  <c r="B91" i="2"/>
  <c r="A91" i="2"/>
  <c r="D89" i="2"/>
  <c r="D87" i="2"/>
  <c r="C85" i="2"/>
  <c r="B85" i="2"/>
  <c r="A85" i="2"/>
  <c r="D82" i="2"/>
  <c r="D84" i="2" s="1"/>
  <c r="I38" i="1" s="1"/>
  <c r="C81" i="2"/>
  <c r="B81" i="2"/>
  <c r="A81" i="2"/>
  <c r="D79" i="2"/>
  <c r="D78" i="2"/>
  <c r="C77" i="2"/>
  <c r="B77" i="2"/>
  <c r="A77" i="2"/>
  <c r="D75" i="2"/>
  <c r="D74" i="2"/>
  <c r="C73" i="2"/>
  <c r="B73" i="2"/>
  <c r="A73" i="2"/>
  <c r="B72" i="2"/>
  <c r="D70" i="2"/>
  <c r="C68" i="2"/>
  <c r="B68" i="2"/>
  <c r="A68" i="2"/>
  <c r="D66" i="2"/>
  <c r="C64" i="2"/>
  <c r="B64" i="2"/>
  <c r="A64" i="2"/>
  <c r="D62" i="2"/>
  <c r="D61" i="2"/>
  <c r="C60" i="2"/>
  <c r="B60" i="2"/>
  <c r="A60" i="2"/>
  <c r="D58" i="2"/>
  <c r="D57" i="2"/>
  <c r="D56" i="2"/>
  <c r="D86" i="2" s="1"/>
  <c r="C55" i="2"/>
  <c r="B55" i="2"/>
  <c r="A55" i="2"/>
  <c r="B53" i="2"/>
  <c r="C48" i="2"/>
  <c r="B48" i="2"/>
  <c r="A48" i="2"/>
  <c r="C42" i="2"/>
  <c r="B42" i="2"/>
  <c r="A42" i="2"/>
  <c r="B40" i="2"/>
  <c r="D39" i="2"/>
  <c r="C37" i="2"/>
  <c r="B37" i="2"/>
  <c r="A37" i="2"/>
  <c r="C33" i="2"/>
  <c r="B33" i="2"/>
  <c r="A33" i="2"/>
  <c r="D32" i="2"/>
  <c r="E18" i="1" s="1"/>
  <c r="I18" i="1" s="1"/>
  <c r="C29" i="2"/>
  <c r="B29" i="2"/>
  <c r="A29" i="2"/>
  <c r="D28" i="2"/>
  <c r="D35" i="2" s="1"/>
  <c r="C26" i="2"/>
  <c r="B26" i="2"/>
  <c r="A26" i="2"/>
  <c r="C22" i="2"/>
  <c r="B22" i="2"/>
  <c r="A22" i="2"/>
  <c r="D20" i="2"/>
  <c r="D21" i="2" s="1"/>
  <c r="E15" i="1" s="1"/>
  <c r="I15" i="1" s="1"/>
  <c r="C19" i="2"/>
  <c r="B19" i="2"/>
  <c r="A19" i="2"/>
  <c r="D17" i="2"/>
  <c r="D16" i="2"/>
  <c r="D23" i="2" s="1"/>
  <c r="D25" i="2" s="1"/>
  <c r="E16" i="1" s="1"/>
  <c r="I16" i="1" s="1"/>
  <c r="C15" i="2"/>
  <c r="B15" i="2"/>
  <c r="A15" i="2"/>
  <c r="D14" i="2"/>
  <c r="E13" i="1" s="1"/>
  <c r="I13" i="1" s="1"/>
  <c r="C12" i="2"/>
  <c r="B12" i="2"/>
  <c r="B8" i="2"/>
  <c r="D8" i="3" s="1"/>
  <c r="D8" i="4" s="1"/>
  <c r="B6" i="2"/>
  <c r="D6" i="3" s="1"/>
  <c r="D6" i="4" s="1"/>
  <c r="B4" i="2"/>
  <c r="D4" i="3" s="1"/>
  <c r="D4" i="4" s="1"/>
  <c r="I158" i="1"/>
  <c r="I153" i="1"/>
  <c r="E152" i="1"/>
  <c r="I152" i="1" s="1"/>
  <c r="E150" i="1"/>
  <c r="I150" i="1" s="1"/>
  <c r="E146" i="1"/>
  <c r="I146" i="1" s="1"/>
  <c r="E144" i="1"/>
  <c r="I144" i="1" s="1"/>
  <c r="E142" i="1"/>
  <c r="I142" i="1" s="1"/>
  <c r="E138" i="1"/>
  <c r="I138" i="1" s="1"/>
  <c r="E112" i="1"/>
  <c r="I112" i="1" s="1"/>
  <c r="E98" i="1"/>
  <c r="I98" i="1" s="1"/>
  <c r="I79" i="1"/>
  <c r="I78" i="1"/>
  <c r="I77" i="1"/>
  <c r="I76" i="1"/>
  <c r="I75" i="1"/>
  <c r="I74" i="1"/>
  <c r="I73" i="1"/>
  <c r="I72" i="1"/>
  <c r="I68" i="1"/>
  <c r="E67" i="1"/>
  <c r="I67" i="1" s="1"/>
  <c r="E66" i="1"/>
  <c r="I66" i="1" s="1"/>
  <c r="I65" i="1"/>
  <c r="I64" i="1"/>
  <c r="I63" i="1"/>
  <c r="I62" i="1"/>
  <c r="E61" i="1"/>
  <c r="D150" i="2" s="1"/>
  <c r="I60" i="1"/>
  <c r="I59" i="1"/>
  <c r="I58" i="1"/>
  <c r="I57" i="1"/>
  <c r="E20" i="1"/>
  <c r="I20" i="1" s="1"/>
  <c r="D76" i="2" l="1"/>
  <c r="I162" i="1"/>
  <c r="I136" i="1"/>
  <c r="I61" i="1"/>
  <c r="E17" i="1"/>
  <c r="I17" i="1" s="1"/>
  <c r="D123" i="2"/>
  <c r="E48" i="1" s="1"/>
  <c r="I48" i="1" s="1"/>
  <c r="D144" i="2"/>
  <c r="E53" i="1" s="1"/>
  <c r="I53" i="1" s="1"/>
  <c r="D185" i="2"/>
  <c r="E92" i="1" s="1"/>
  <c r="I92" i="1" s="1"/>
  <c r="D230" i="2"/>
  <c r="E118" i="1" s="1"/>
  <c r="I118" i="1" s="1"/>
  <c r="I88" i="1"/>
  <c r="J88" i="1" s="1"/>
  <c r="C38" i="3" s="1"/>
  <c r="I99" i="1"/>
  <c r="J99" i="1" s="1"/>
  <c r="C44" i="3" s="1"/>
  <c r="D136" i="2"/>
  <c r="E51" i="1" s="1"/>
  <c r="I51" i="1" s="1"/>
  <c r="D43" i="2"/>
  <c r="I161" i="1"/>
  <c r="D155" i="2"/>
  <c r="D156" i="2"/>
  <c r="D199" i="2"/>
  <c r="D241" i="2" s="1"/>
  <c r="E83" i="1"/>
  <c r="I83" i="1" s="1"/>
  <c r="I84" i="1" s="1"/>
  <c r="J84" i="1" s="1"/>
  <c r="C35" i="3" s="1"/>
  <c r="E35" i="3" s="1"/>
  <c r="D50" i="2"/>
  <c r="D52" i="2" s="1"/>
  <c r="E25" i="1" s="1"/>
  <c r="I25" i="1" s="1"/>
  <c r="D69" i="2"/>
  <c r="D71" i="2" s="1"/>
  <c r="E32" i="1" s="1"/>
  <c r="I32" i="1" s="1"/>
  <c r="D80" i="2"/>
  <c r="I37" i="1" s="1"/>
  <c r="D118" i="2"/>
  <c r="I44" i="1" s="1"/>
  <c r="D239" i="2"/>
  <c r="E119" i="1" s="1"/>
  <c r="I119" i="1" s="1"/>
  <c r="D18" i="2"/>
  <c r="D44" i="2" s="1"/>
  <c r="D63" i="2"/>
  <c r="E30" i="1" s="1"/>
  <c r="I30" i="1" s="1"/>
  <c r="D140" i="2"/>
  <c r="E52" i="1" s="1"/>
  <c r="I52" i="1" s="1"/>
  <c r="D181" i="2"/>
  <c r="E91" i="1" s="1"/>
  <c r="I91" i="1" s="1"/>
  <c r="D247" i="2"/>
  <c r="D248" i="2" s="1"/>
  <c r="E122" i="1" s="1"/>
  <c r="I122" i="1" s="1"/>
  <c r="D65" i="2"/>
  <c r="D67" i="2" s="1"/>
  <c r="E31" i="1" s="1"/>
  <c r="I31" i="1" s="1"/>
  <c r="I69" i="1"/>
  <c r="J69" i="1" s="1"/>
  <c r="C29" i="3" s="1"/>
  <c r="H29" i="3" s="1"/>
  <c r="I80" i="1"/>
  <c r="J80" i="1" s="1"/>
  <c r="C32" i="3" s="1"/>
  <c r="I32" i="3" s="1"/>
  <c r="D92" i="2"/>
  <c r="D202" i="2"/>
  <c r="D203" i="2" s="1"/>
  <c r="E103" i="1" s="1"/>
  <c r="I103" i="1" s="1"/>
  <c r="I115" i="1"/>
  <c r="J115" i="1" s="1"/>
  <c r="C53" i="3" s="1"/>
  <c r="G53" i="3" s="1"/>
  <c r="D45" i="2"/>
  <c r="D88" i="2"/>
  <c r="D94" i="2" s="1"/>
  <c r="D101" i="2" s="1"/>
  <c r="I160" i="1"/>
  <c r="D59" i="2"/>
  <c r="E29" i="1" s="1"/>
  <c r="I29" i="1" s="1"/>
  <c r="I36" i="1"/>
  <c r="I154" i="1"/>
  <c r="J154" i="1" s="1"/>
  <c r="C62" i="3" s="1"/>
  <c r="I132" i="1"/>
  <c r="J132" i="1" s="1"/>
  <c r="C59" i="3" s="1"/>
  <c r="I109" i="1"/>
  <c r="J109" i="1" s="1"/>
  <c r="C50" i="3" s="1"/>
  <c r="E29" i="3" l="1"/>
  <c r="F29" i="3"/>
  <c r="D29" i="3"/>
  <c r="I29" i="3"/>
  <c r="G29" i="3"/>
  <c r="H32" i="3"/>
  <c r="I35" i="3"/>
  <c r="I165" i="1"/>
  <c r="J165" i="1" s="1"/>
  <c r="C65" i="3" s="1"/>
  <c r="D200" i="2"/>
  <c r="E102" i="1" s="1"/>
  <c r="I102" i="1" s="1"/>
  <c r="I104" i="1" s="1"/>
  <c r="J104" i="1" s="1"/>
  <c r="C47" i="3" s="1"/>
  <c r="H38" i="3"/>
  <c r="G38" i="3"/>
  <c r="F38" i="3"/>
  <c r="I38" i="3"/>
  <c r="D38" i="3"/>
  <c r="E38" i="3"/>
  <c r="I94" i="1"/>
  <c r="J94" i="1" s="1"/>
  <c r="C41" i="3" s="1"/>
  <c r="F32" i="3"/>
  <c r="I54" i="1"/>
  <c r="J54" i="1" s="1"/>
  <c r="C26" i="3" s="1"/>
  <c r="G26" i="3" s="1"/>
  <c r="H35" i="3"/>
  <c r="F35" i="3"/>
  <c r="D35" i="3"/>
  <c r="G35" i="3"/>
  <c r="I33" i="1"/>
  <c r="J33" i="1" s="1"/>
  <c r="C20" i="3" s="1"/>
  <c r="D20" i="3" s="1"/>
  <c r="E14" i="1"/>
  <c r="I14" i="1" s="1"/>
  <c r="G32" i="3"/>
  <c r="I53" i="3"/>
  <c r="D53" i="3"/>
  <c r="F53" i="3"/>
  <c r="E32" i="3"/>
  <c r="D32" i="3"/>
  <c r="H53" i="3"/>
  <c r="E53" i="3"/>
  <c r="D47" i="2"/>
  <c r="E24" i="1" s="1"/>
  <c r="I24" i="1" s="1"/>
  <c r="I26" i="1" s="1"/>
  <c r="J26" i="1" s="1"/>
  <c r="C17" i="3" s="1"/>
  <c r="D90" i="2"/>
  <c r="I39" i="1" s="1"/>
  <c r="D242" i="2"/>
  <c r="E120" i="1"/>
  <c r="I120" i="1" s="1"/>
  <c r="I123" i="1" s="1"/>
  <c r="J123" i="1" s="1"/>
  <c r="C56" i="3" s="1"/>
  <c r="D98" i="2"/>
  <c r="D96" i="2"/>
  <c r="I40" i="1" s="1"/>
  <c r="H44" i="3"/>
  <c r="D44" i="3"/>
  <c r="G44" i="3"/>
  <c r="F44" i="3"/>
  <c r="I44" i="3"/>
  <c r="E44" i="3"/>
  <c r="F50" i="3"/>
  <c r="I50" i="3"/>
  <c r="E50" i="3"/>
  <c r="H50" i="3"/>
  <c r="D50" i="3"/>
  <c r="G50" i="3"/>
  <c r="F62" i="3"/>
  <c r="I62" i="3"/>
  <c r="E62" i="3"/>
  <c r="H62" i="3"/>
  <c r="D62" i="3"/>
  <c r="G62" i="3"/>
  <c r="H59" i="3"/>
  <c r="D59" i="3"/>
  <c r="G59" i="3"/>
  <c r="F59" i="3"/>
  <c r="I59" i="3"/>
  <c r="E59" i="3"/>
  <c r="E26" i="3" l="1"/>
  <c r="I26" i="3"/>
  <c r="H20" i="3"/>
  <c r="D26" i="3"/>
  <c r="H26" i="3"/>
  <c r="F26" i="3"/>
  <c r="I41" i="3"/>
  <c r="F41" i="3"/>
  <c r="D41" i="3"/>
  <c r="E41" i="3"/>
  <c r="H41" i="3"/>
  <c r="G41" i="3"/>
  <c r="E20" i="3"/>
  <c r="F20" i="3"/>
  <c r="G20" i="3"/>
  <c r="I20" i="3"/>
  <c r="G47" i="3"/>
  <c r="E47" i="3"/>
  <c r="I47" i="3"/>
  <c r="H47" i="3"/>
  <c r="F47" i="3"/>
  <c r="D47" i="3"/>
  <c r="D110" i="2"/>
  <c r="D112" i="2" s="1"/>
  <c r="I43" i="1" s="1"/>
  <c r="D103" i="2"/>
  <c r="I41" i="1" s="1"/>
  <c r="E56" i="3"/>
  <c r="I56" i="3"/>
  <c r="F56" i="3"/>
  <c r="H56" i="3"/>
  <c r="D56" i="3"/>
  <c r="G56" i="3"/>
  <c r="I17" i="3"/>
  <c r="G17" i="3"/>
  <c r="E17" i="3"/>
  <c r="F17" i="3"/>
  <c r="H17" i="3"/>
  <c r="D17" i="3"/>
  <c r="H65" i="3"/>
  <c r="D65" i="3"/>
  <c r="G65" i="3"/>
  <c r="F65" i="3"/>
  <c r="I65" i="3"/>
  <c r="E65" i="3"/>
  <c r="I45" i="1" l="1"/>
  <c r="J45" i="1" s="1"/>
  <c r="C23" i="3" s="1"/>
  <c r="I23" i="3" l="1"/>
  <c r="G23" i="3"/>
  <c r="H23" i="3"/>
  <c r="F23" i="3"/>
  <c r="E23" i="3"/>
  <c r="D23" i="3"/>
  <c r="D36" i="2" l="1"/>
  <c r="E19" i="1" s="1"/>
  <c r="I19" i="1" s="1"/>
  <c r="I21" i="1" s="1"/>
  <c r="J21" i="1" l="1"/>
  <c r="C14" i="3" s="1"/>
  <c r="I167" i="1"/>
  <c r="H14" i="3" l="1"/>
  <c r="D14" i="3"/>
  <c r="D69" i="3" s="1"/>
  <c r="D70" i="3" s="1"/>
  <c r="E14" i="3"/>
  <c r="G14" i="3"/>
  <c r="F14" i="3"/>
  <c r="I14" i="3"/>
  <c r="I69" i="3" s="1"/>
  <c r="I168" i="1"/>
  <c r="I169" i="1" s="1"/>
  <c r="E69" i="3" l="1"/>
  <c r="E70" i="3" s="1"/>
  <c r="F69" i="3"/>
  <c r="H69" i="3"/>
  <c r="G69" i="3"/>
  <c r="F70" i="3" l="1"/>
  <c r="G70" i="3" s="1"/>
  <c r="H70" i="3" s="1"/>
  <c r="I70" i="3" s="1"/>
  <c r="E67" i="3" l="1"/>
  <c r="C48" i="3"/>
  <c r="G67" i="3"/>
  <c r="C36" i="3"/>
  <c r="D67" i="3"/>
  <c r="D68" i="3" s="1"/>
  <c r="I67" i="3"/>
  <c r="F67" i="3"/>
  <c r="H67" i="3"/>
  <c r="C15" i="3"/>
  <c r="C24" i="3"/>
  <c r="C63" i="3"/>
  <c r="C57" i="3"/>
  <c r="C54" i="3"/>
  <c r="C42" i="3"/>
  <c r="C21" i="3"/>
  <c r="C60" i="3"/>
  <c r="C33" i="3"/>
  <c r="C51" i="3"/>
  <c r="C39" i="3"/>
  <c r="C27" i="3"/>
  <c r="C12" i="3"/>
  <c r="C45" i="3"/>
  <c r="C18" i="3"/>
  <c r="C30" i="3"/>
  <c r="E68" i="3" l="1"/>
  <c r="F68" i="3" s="1"/>
  <c r="G68" i="3" s="1"/>
  <c r="H68" i="3" s="1"/>
  <c r="I68" i="3" s="1"/>
</calcChain>
</file>

<file path=xl/sharedStrings.xml><?xml version="1.0" encoding="utf-8"?>
<sst xmlns="http://schemas.openxmlformats.org/spreadsheetml/2006/main" count="1153" uniqueCount="441">
  <si>
    <t>PREFEITURA MUNICIPAL DE CATALÃO</t>
  </si>
  <si>
    <t xml:space="preserve">ORÇAMENTO SINTÉTICO </t>
  </si>
  <si>
    <t>SETOR</t>
  </si>
  <si>
    <t>SECRETARIA MUNICIPAL DE OBRAS</t>
  </si>
  <si>
    <t>OBJETO</t>
  </si>
  <si>
    <t>PROCESSO</t>
  </si>
  <si>
    <t>ENDEREÇO</t>
  </si>
  <si>
    <t>TABELAS</t>
  </si>
  <si>
    <t xml:space="preserve">DATA </t>
  </si>
  <si>
    <t>BDI</t>
  </si>
  <si>
    <t>ITEM</t>
  </si>
  <si>
    <t>TABELA</t>
  </si>
  <si>
    <t>CÓD.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</si>
  <si>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</si>
  <si>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</si>
  <si>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</si>
  <si>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</si>
  <si>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</si>
  <si>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</si>
  <si>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</si>
  <si>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</si>
  <si>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>1.1</t>
  </si>
  <si>
    <t xml:space="preserve">DEMOLIÇÃO MANUAL DE PISO CIMENT.SOBRE LASTRO CONC.C/TR.ATE CB. E CARGA </t>
  </si>
  <si>
    <t xml:space="preserve">m2 </t>
  </si>
  <si>
    <t>1.2</t>
  </si>
  <si>
    <t>m3</t>
  </si>
  <si>
    <t>1.3</t>
  </si>
  <si>
    <t>1.4</t>
  </si>
  <si>
    <t>1.5</t>
  </si>
  <si>
    <t>1.6</t>
  </si>
  <si>
    <t>1.7</t>
  </si>
  <si>
    <t>1.8</t>
  </si>
  <si>
    <t xml:space="preserve">DEMOLIÇÃO MANUAL MEIO FIO SEM REAPROV.C/TR.ATE CB. E CARGA </t>
  </si>
  <si>
    <t>m</t>
  </si>
  <si>
    <t xml:space="preserve">RASPAGEM E LIMPEZA MANUAL DO TERRENO </t>
  </si>
  <si>
    <t>m2</t>
  </si>
  <si>
    <t xml:space="preserve">CONSUMO DE ÁGUA </t>
  </si>
  <si>
    <t xml:space="preserve">m3 </t>
  </si>
  <si>
    <t xml:space="preserve"> MÊS</t>
  </si>
  <si>
    <t>Sinapi - I</t>
  </si>
  <si>
    <t>TOTAL DO GRUPO</t>
  </si>
  <si>
    <t>TRANSPORTES</t>
  </si>
  <si>
    <t xml:space="preserve">TRANSPORTE DE ENTULHO EM CAMINHÃO SEM CARGA </t>
  </si>
  <si>
    <t xml:space="preserve">TRANSPORTE DE ENTULHO CAÇAMBA ESTACIONÁRIA SEM CARGA </t>
  </si>
  <si>
    <t>2.1</t>
  </si>
  <si>
    <t>2.2</t>
  </si>
  <si>
    <t>MEMORIAL DE CÁLCULO</t>
  </si>
  <si>
    <t>DESCRIÇÃO</t>
  </si>
  <si>
    <t>UNID.</t>
  </si>
  <si>
    <t>MEMÓRIA CÁLCULO</t>
  </si>
  <si>
    <t>Área</t>
  </si>
  <si>
    <t xml:space="preserve">Meio fio externo </t>
  </si>
  <si>
    <t xml:space="preserve">Comprimento </t>
  </si>
  <si>
    <t xml:space="preserve">Meio fio interno- delimitação de canteiro </t>
  </si>
  <si>
    <t>TOTAL</t>
  </si>
  <si>
    <t xml:space="preserve">Canteiro </t>
  </si>
  <si>
    <t>TAPUME EM CHAPA COMPENSADA RESINADA 6MM COM PORTÕES E FERRAGENS - PADRÃO GOINFRA</t>
  </si>
  <si>
    <t xml:space="preserve">Altura </t>
  </si>
  <si>
    <t>A</t>
  </si>
  <si>
    <t>B</t>
  </si>
  <si>
    <t>TOTAL (A x B)</t>
  </si>
  <si>
    <t>TOTAL (A + B)</t>
  </si>
  <si>
    <t>LOCAÇÃO DE PRAÇA, QUADRA, IMPLANTAÇÃO UTILIZANDO CAVALETE, INCLUSO PIQUETE COM TESTEMUNHA</t>
  </si>
  <si>
    <t xml:space="preserve">Área da praça </t>
  </si>
  <si>
    <t>PLACA DE OBRA PLOTADA EM CHAPA METÁLICA 26 , AFIXADA EM CAVALETES DE MADEIRA DE LEI (VIGOTAS 6X12CM) - PADRÃO GOINFRA</t>
  </si>
  <si>
    <t xml:space="preserve">Área </t>
  </si>
  <si>
    <t xml:space="preserve">Largura </t>
  </si>
  <si>
    <t>m²</t>
  </si>
  <si>
    <t>Consumo</t>
  </si>
  <si>
    <t>m³/m²</t>
  </si>
  <si>
    <t xml:space="preserve">Consumo </t>
  </si>
  <si>
    <t xml:space="preserve">Área virtural </t>
  </si>
  <si>
    <t xml:space="preserve">Calçada </t>
  </si>
  <si>
    <t>Meses</t>
  </si>
  <si>
    <t xml:space="preserve">Tempo de obra </t>
  </si>
  <si>
    <t>LOCACAO DE CONTAINER 2,30 X 6,00 M, ALT. 2,50 M, COM 1 SANITARIO, PARA ESCRITORIO, COMPLETO, SEM DIVISORIAS INTERNAS</t>
  </si>
  <si>
    <t xml:space="preserve">Volume </t>
  </si>
  <si>
    <t xml:space="preserve">Demolição - calçamento </t>
  </si>
  <si>
    <t xml:space="preserve">Demolição - meio fio </t>
  </si>
  <si>
    <t>Raspagem do terreno</t>
  </si>
  <si>
    <t xml:space="preserve">Empolamento </t>
  </si>
  <si>
    <t xml:space="preserve">Coeficiente </t>
  </si>
  <si>
    <t>%</t>
  </si>
  <si>
    <t xml:space="preserve">Entulho gerado decorrer da obra </t>
  </si>
  <si>
    <t>C</t>
  </si>
  <si>
    <t>D</t>
  </si>
  <si>
    <t>TOTAL ( A + B + C) * D</t>
  </si>
  <si>
    <t>SERVIÇO EM TERRA</t>
  </si>
  <si>
    <t xml:space="preserve">ESCAVACAO MANUAL DE VALAS &lt; 1 MTS. (OBRAS CIVIS) </t>
  </si>
  <si>
    <t xml:space="preserve">APILOAMENTO MECÂNICO </t>
  </si>
  <si>
    <t xml:space="preserve">AREIA FINA </t>
  </si>
  <si>
    <t>GOINFRA - I</t>
  </si>
  <si>
    <t>3.1</t>
  </si>
  <si>
    <t>3.2</t>
  </si>
  <si>
    <t>3.3</t>
  </si>
  <si>
    <t>FUNDAÇÕES E SONDAGENS</t>
  </si>
  <si>
    <t xml:space="preserve">ESCAVACAO MANUAL DE VALAS (SAPATAS/BLOCOS) </t>
  </si>
  <si>
    <t>APILOAMENTO (BLOCOS/SAPATAS)</t>
  </si>
  <si>
    <t xml:space="preserve"> m2 </t>
  </si>
  <si>
    <t xml:space="preserve">LASTRO DE BRITA (OBRAS CIVIS) </t>
  </si>
  <si>
    <t xml:space="preserve">PREPARO COM BETONEIRA E TRANSPORTE MANUAL DE CONCRETO FCK=25 MPA </t>
  </si>
  <si>
    <t>4.1</t>
  </si>
  <si>
    <t>4.2</t>
  </si>
  <si>
    <t>4.3</t>
  </si>
  <si>
    <t>4.4</t>
  </si>
  <si>
    <t>4.5</t>
  </si>
  <si>
    <t xml:space="preserve">Baldrames - Comprimento </t>
  </si>
  <si>
    <t>Seção da Baldrame (15 x 20) + 15,00 cm para cada lado</t>
  </si>
  <si>
    <t>Blocos Pergolado - Quantidade x Comprimento</t>
  </si>
  <si>
    <t>REATERRO COM APILOAMENTO</t>
  </si>
  <si>
    <t xml:space="preserve"> m3 </t>
  </si>
  <si>
    <t>3.4</t>
  </si>
  <si>
    <t xml:space="preserve">Calçamento </t>
  </si>
  <si>
    <t xml:space="preserve">Quadra de areia </t>
  </si>
  <si>
    <t>Espessura</t>
  </si>
  <si>
    <t xml:space="preserve">Blocos Pergolado - Quantidade </t>
  </si>
  <si>
    <t>Blocos Pergolado - Área</t>
  </si>
  <si>
    <t>Quadra de areia - espessura</t>
  </si>
  <si>
    <t>TOTAL (A x B)+C</t>
  </si>
  <si>
    <t>Seção dos blocos (40 x 40) + 15,00 cm para cada lado</t>
  </si>
  <si>
    <t>Seção baldrames (0,15 x 0,20)</t>
  </si>
  <si>
    <t xml:space="preserve">Blocos Pergolados - Quantidade </t>
  </si>
  <si>
    <t xml:space="preserve">Blocos Pergolado - Volume </t>
  </si>
  <si>
    <t>LANÇAMENTO/APLICAÇÃO/ADENSAMENTO DE CONCRETO USINADO BOMBEADO EM FUNDAÇÃO</t>
  </si>
  <si>
    <t xml:space="preserve">Baldrames - Altura </t>
  </si>
  <si>
    <t xml:space="preserve">Baldrame - Quantidade </t>
  </si>
  <si>
    <t>Blocos Pergolados - Seção 0,40 x 0,40</t>
  </si>
  <si>
    <t>4.6</t>
  </si>
  <si>
    <t xml:space="preserve"> M </t>
  </si>
  <si>
    <t xml:space="preserve">FORMA TABUA PINHO P/FUNDACOES U=3V - (OBRAS CIVIS) </t>
  </si>
  <si>
    <t>ESTACA A TRADO DIAM.25 CM SEM FERRO</t>
  </si>
  <si>
    <t>4.7</t>
  </si>
  <si>
    <t xml:space="preserve">Mureta - quadra de areia </t>
  </si>
  <si>
    <t xml:space="preserve">Comprimento - quadra de areia </t>
  </si>
  <si>
    <t xml:space="preserve">Quantidade </t>
  </si>
  <si>
    <t>ACO CA 50-A - 8,0 MM (5/16") - (OBRAS CIVIS)</t>
  </si>
  <si>
    <t xml:space="preserve"> Kg </t>
  </si>
  <si>
    <t>Peso</t>
  </si>
  <si>
    <t xml:space="preserve">Estacas - mureta quadra de areia </t>
  </si>
  <si>
    <t>Massa linear</t>
  </si>
  <si>
    <t>Baldrames - mureta quadra de areia</t>
  </si>
  <si>
    <t xml:space="preserve">ACO CA-60 - 5,0 MM - (OBRAS CIVIS) </t>
  </si>
  <si>
    <t>Kg</t>
  </si>
  <si>
    <t xml:space="preserve">Peso </t>
  </si>
  <si>
    <t xml:space="preserve">Quantidade - mureta quadra de areia </t>
  </si>
  <si>
    <t>4.8</t>
  </si>
  <si>
    <t>4.9</t>
  </si>
  <si>
    <t>ESTRUTURA</t>
  </si>
  <si>
    <t xml:space="preserve"> FORMA CH.COMPENSADA 12MM-VIGA/PILAR U=4V - (OBRAS CIVIS </t>
  </si>
  <si>
    <t xml:space="preserve">Pilarete - quadra de areia </t>
  </si>
  <si>
    <t>Viga cinta- quadra de areia</t>
  </si>
  <si>
    <t xml:space="preserve"> ACO CA-50-A - 6,3 MM (1/4") - (OBRAS CIVIS)</t>
  </si>
  <si>
    <t xml:space="preserve">ACO CA-50 A - 8,0 MM (5/16") - (OBRAS CIVIS) </t>
  </si>
  <si>
    <t xml:space="preserve">Kg </t>
  </si>
  <si>
    <t>ACO CA - 60 - 5,0 MM - (OBRAS CIVIS)</t>
  </si>
  <si>
    <t xml:space="preserve"> Kg</t>
  </si>
  <si>
    <t>Viga cinta- quadra de areia - comprimento</t>
  </si>
  <si>
    <t xml:space="preserve">Massa linear </t>
  </si>
  <si>
    <t>PREPARO COM BETONEIRA E TRANSPORTE MANUAL DE CONCRETO FCK=25 MPA</t>
  </si>
  <si>
    <t xml:space="preserve"> m3</t>
  </si>
  <si>
    <t>LANÇAMENTO/APLICAÇÃO/ADENSAMENTO DE CONCRETO USINADO BOMBEADO EM
ESTRUTURA - (O.C.)</t>
  </si>
  <si>
    <t>5.1</t>
  </si>
  <si>
    <t>5.2</t>
  </si>
  <si>
    <t>5.3</t>
  </si>
  <si>
    <t>5.4</t>
  </si>
  <si>
    <t>5.5</t>
  </si>
  <si>
    <t>5.6</t>
  </si>
  <si>
    <t>INST. ELET./TELEFONICA/CABEAMENTO ESTRUTURADO</t>
  </si>
  <si>
    <t>INSTALAÇÕES HIDRO-SANITÁRIAS</t>
  </si>
  <si>
    <t>ALVENARIAS E DIVISORIAS</t>
  </si>
  <si>
    <t>ALVENARIA DE TIJOLO FURADO 1/2 VEZ 14X29X9 - 6 FUROS - ARG. (1CALH:4ARML+100KG
DE CI/M3)</t>
  </si>
  <si>
    <t xml:space="preserve">Comprimento - mureta quadra de areia </t>
  </si>
  <si>
    <t xml:space="preserve">Altura - mureta quadra de areia </t>
  </si>
  <si>
    <t>8.1</t>
  </si>
  <si>
    <t>IMPERMEABILIZACAO</t>
  </si>
  <si>
    <t>IMPERMEABILIZACAO VIGAS BALDRAMES E=2,0 CM</t>
  </si>
  <si>
    <t>9.1</t>
  </si>
  <si>
    <t>Comprimento - baldrames</t>
  </si>
  <si>
    <t xml:space="preserve">Altura - baldrames </t>
  </si>
  <si>
    <t>ESTRUTURA DE MADEIRA</t>
  </si>
  <si>
    <t xml:space="preserve">M </t>
  </si>
  <si>
    <t xml:space="preserve"> PILAR QUADRADO NAO APARELHADO *15 X 15* CM, EM MACARANDUBA, ANGELIM OU 
EQUIVALENTE DA REGIAO - BRUTA</t>
  </si>
  <si>
    <t>SINAPI - I</t>
  </si>
  <si>
    <t xml:space="preserve">Pilar - pergolado caminho </t>
  </si>
  <si>
    <t>Pilar - pergolados</t>
  </si>
  <si>
    <t xml:space="preserve">VIGOTA DE MADEIRA 6x16 </t>
  </si>
  <si>
    <t xml:space="preserve">m </t>
  </si>
  <si>
    <t xml:space="preserve">Pergolado caminho </t>
  </si>
  <si>
    <t xml:space="preserve">Pergolados </t>
  </si>
  <si>
    <t xml:space="preserve"> m </t>
  </si>
  <si>
    <t>ESQUADRIAS METÁLICAS</t>
  </si>
  <si>
    <t xml:space="preserve"> GRADE DE FRENTE/TUBO DE AÇO COM ESTACA D=25CM ARMADA - GF-2 </t>
  </si>
  <si>
    <t xml:space="preserve">Altura - Pet Place </t>
  </si>
  <si>
    <t>Comprimento - Pet Place</t>
  </si>
  <si>
    <t>REVESTIMENTO DE PAREDES</t>
  </si>
  <si>
    <t xml:space="preserve">REBOCO (1 CALH:4 ARFC+100kgCI/M3) </t>
  </si>
  <si>
    <t xml:space="preserve">CHAPISCO COMUM </t>
  </si>
  <si>
    <t>REVESTIMENTO DE PISO</t>
  </si>
  <si>
    <t>10.1</t>
  </si>
  <si>
    <t>10.2</t>
  </si>
  <si>
    <t>10.3</t>
  </si>
  <si>
    <t>11.1</t>
  </si>
  <si>
    <t>12.1</t>
  </si>
  <si>
    <t>12.2</t>
  </si>
  <si>
    <t>13.1</t>
  </si>
  <si>
    <t>13.2</t>
  </si>
  <si>
    <t>PISO DE LADRILHO HIDRÁULICO COLORIDO MODELO TÁTIL ( ALERTA OU DIRECIONAL) SEM LASTRO</t>
  </si>
  <si>
    <t xml:space="preserve">Rampa de acessibilidade </t>
  </si>
  <si>
    <t>ADMINISTRAÇÃO - MENSALISTAS</t>
  </si>
  <si>
    <t xml:space="preserve">H </t>
  </si>
  <si>
    <t xml:space="preserve">ENCARREGADO - (OBRAS CIVIS) </t>
  </si>
  <si>
    <t xml:space="preserve">Tempo </t>
  </si>
  <si>
    <t>Encarregado de obra - meses</t>
  </si>
  <si>
    <t>Encarregado de obra - dias</t>
  </si>
  <si>
    <t>Encarregado de obra -horas</t>
  </si>
  <si>
    <t>PINTURA</t>
  </si>
  <si>
    <t xml:space="preserve">PINTURA VERNIZ EM MADEIRA 2 DEMAOS </t>
  </si>
  <si>
    <t xml:space="preserve">PINTURA LATEX ACRILICA 2 DEMAOS C/SELADOR </t>
  </si>
  <si>
    <t xml:space="preserve">CAIAÇAO 2 DEMAOS EM POSTE/ VIGAS E MEIO FIO(OC) </t>
  </si>
  <si>
    <t xml:space="preserve">PINTURA ESMALTE ALQUIDICO ESTR.METALICA 2 DEMAOS </t>
  </si>
  <si>
    <t>DIVERSOS</t>
  </si>
  <si>
    <t>PLACA DE INAUGURACAO ACO ESCOVADO 80 X 60 CM</t>
  </si>
  <si>
    <t>OBELISCO PARA PLACA DE INAUGURAÇÃO - PADRÃO GOINFRA</t>
  </si>
  <si>
    <t>CONJUNTO PARA VOLEIBOL EM FERRO GALVANIZADO COM PINTURA (2 SUPORTES)</t>
  </si>
  <si>
    <t xml:space="preserve"> CJ </t>
  </si>
  <si>
    <t xml:space="preserve">Total </t>
  </si>
  <si>
    <t xml:space="preserve">PINT.POLIESPORTIVA - 2 DEM.(PISOS E CIMENTADOS) </t>
  </si>
  <si>
    <t>14.1</t>
  </si>
  <si>
    <t>14.2</t>
  </si>
  <si>
    <t>15.1</t>
  </si>
  <si>
    <t>15.2</t>
  </si>
  <si>
    <t>15.3</t>
  </si>
  <si>
    <t>15.4</t>
  </si>
  <si>
    <t>15.5</t>
  </si>
  <si>
    <t>Bdi (23,88%)</t>
  </si>
  <si>
    <t>Total com BDI</t>
  </si>
  <si>
    <t>16.1</t>
  </si>
  <si>
    <t>16.2</t>
  </si>
  <si>
    <t>16.3</t>
  </si>
  <si>
    <t>16.4</t>
  </si>
  <si>
    <t>16.5</t>
  </si>
  <si>
    <t xml:space="preserve">MEIO FIO COM SARJETA - MFU02 </t>
  </si>
  <si>
    <t>16.6</t>
  </si>
  <si>
    <t>PLANTIO GRAMA ESMERALDA PLACA C/ M.O. IRRIG., ADUBO,TERRA VEGETAL (O.C.) A&lt;11.000,00 M2</t>
  </si>
  <si>
    <t xml:space="preserve">Pilar de madeira </t>
  </si>
  <si>
    <t>Vigota 6x16 - caminho</t>
  </si>
  <si>
    <t>Vigota 6x16- caminho</t>
  </si>
  <si>
    <t>Vigota 6x16 - pergolado</t>
  </si>
  <si>
    <t xml:space="preserve">Vigota 6x16 - pergolado </t>
  </si>
  <si>
    <t>Vigota 6x12- pergolado</t>
  </si>
  <si>
    <t xml:space="preserve">Vigota 6x12- pergolado </t>
  </si>
  <si>
    <t>Placa para inauguração</t>
  </si>
  <si>
    <t>Quantidade</t>
  </si>
  <si>
    <t>Obelisco para placa</t>
  </si>
  <si>
    <t xml:space="preserve">Conjunto para quadra de areia </t>
  </si>
  <si>
    <t>ALAMBRADO EM TUBO INDUSTRIAL 2"#2,28 E TELA MALHA 4" FIO 12 (QUADRA ESPORTE EXISTENTE) SEM PINTURA</t>
  </si>
  <si>
    <t xml:space="preserve">Tubo - alambrado quadra de areia </t>
  </si>
  <si>
    <t>-</t>
  </si>
  <si>
    <t>MOBILIÁRIO URBANO</t>
  </si>
  <si>
    <t>LIXEIRA PARA PÁTIOS E PARQUES REDONDA SUSPENSA</t>
  </si>
  <si>
    <t xml:space="preserve">Banco de praça </t>
  </si>
  <si>
    <t>Lixeira</t>
  </si>
  <si>
    <t>CJ</t>
  </si>
  <si>
    <t>POSTES SLALOM - PET PLACE</t>
  </si>
  <si>
    <t>DOG AGILITY JUMP - PET PLACE</t>
  </si>
  <si>
    <t>und</t>
  </si>
  <si>
    <t>RAMPA SOBE E DESCE - PET PLACE</t>
  </si>
  <si>
    <t>GANGORRA PET PLAY - PET PLACE</t>
  </si>
  <si>
    <t>SALTO - PET PLACE</t>
  </si>
  <si>
    <t xml:space="preserve">Pet place </t>
  </si>
  <si>
    <t>Playground</t>
  </si>
  <si>
    <t>COTAÇÃO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</si>
  <si>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</si>
  <si>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</si>
  <si>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</si>
  <si>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</si>
  <si>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</si>
  <si>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</si>
  <si>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</si>
  <si>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</si>
  <si>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</si>
  <si>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</si>
  <si>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</si>
  <si>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</si>
  <si>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 xml:space="preserve">PAISAGISMO </t>
  </si>
  <si>
    <t>18.1</t>
  </si>
  <si>
    <t>18.2</t>
  </si>
  <si>
    <t>18.3</t>
  </si>
  <si>
    <t>18.4</t>
  </si>
  <si>
    <t>E</t>
  </si>
  <si>
    <t>TOTAL (AxB)+(CxD)</t>
  </si>
  <si>
    <t xml:space="preserve">TOTAL (AxB) </t>
  </si>
  <si>
    <t xml:space="preserve">TOTAL  (A+B) x C </t>
  </si>
  <si>
    <t>TOTAL( (A x B)+C)xD</t>
  </si>
  <si>
    <t xml:space="preserve">TOTAL  (A+B) </t>
  </si>
  <si>
    <t xml:space="preserve">TOTAL  (AxB) </t>
  </si>
  <si>
    <t>F</t>
  </si>
  <si>
    <t>G</t>
  </si>
  <si>
    <t>TORNEIRA DE JARDIM COM BICO PARA MANGUEIRA DIÂMETRO DE 1/2" E 3/4"</t>
  </si>
  <si>
    <t xml:space="preserve">Un </t>
  </si>
  <si>
    <t xml:space="preserve">REGISTRO DE GAVETA BRUTO DIAMETRO 3/4" </t>
  </si>
  <si>
    <t>TUBO SOLDAVEL PVC MARROM DIAMETRO 25 mm</t>
  </si>
  <si>
    <t xml:space="preserve"> M</t>
  </si>
  <si>
    <t>JOELHO 90 GRAUS SOLDAVEL DIAMETRO 25 MM</t>
  </si>
  <si>
    <t xml:space="preserve">LUVA SOLDAVEL DIAMETRO 25 mm </t>
  </si>
  <si>
    <t xml:space="preserve"> JOELHO RED.90 GRAUS SOLD.C/BUCHA LATAO 25X1/2" </t>
  </si>
  <si>
    <t xml:space="preserve">HIDROMETRO DIAM.RAMAL = 25 MM VAZAO =1,5 A 3 M3 </t>
  </si>
  <si>
    <t>7.1</t>
  </si>
  <si>
    <t>7.2</t>
  </si>
  <si>
    <t>7.3</t>
  </si>
  <si>
    <t>7.4</t>
  </si>
  <si>
    <t>7.5</t>
  </si>
  <si>
    <t>7.6</t>
  </si>
  <si>
    <t>7.7</t>
  </si>
  <si>
    <t>7.8</t>
  </si>
  <si>
    <t>VIGOTA DE MADEIRA 6x12</t>
  </si>
  <si>
    <t xml:space="preserve">KIT CAVALETE D=25MM P/HIDRÔMETRO 1,5-3,0-5,0 M3/MURETA/CAIXA </t>
  </si>
  <si>
    <t>14.3</t>
  </si>
  <si>
    <t>VIGIA DE OBRAS - (NOTURNO) - OBRAS CIVIS</t>
  </si>
  <si>
    <t xml:space="preserve"> H </t>
  </si>
  <si>
    <t>Horas</t>
  </si>
  <si>
    <t>18.5</t>
  </si>
  <si>
    <t>18.6</t>
  </si>
  <si>
    <t xml:space="preserve">JASMIM MANGA </t>
  </si>
  <si>
    <t>CICA</t>
  </si>
  <si>
    <t xml:space="preserve">PODOCARPO </t>
  </si>
  <si>
    <t xml:space="preserve">ED-50438  </t>
  </si>
  <si>
    <t xml:space="preserve">FORNECIMENTO DE ÁRVORE - SIBIPURUNA </t>
  </si>
  <si>
    <t>SETOP</t>
  </si>
  <si>
    <t>18.7</t>
  </si>
  <si>
    <t xml:space="preserve">PLAYGROUND BRINQUEDOS DE MADEIRA - CASA TARZAN COM RAMPA ESCALADA, ESCORREGADOR E ESCADA MARINHEIRO </t>
  </si>
  <si>
    <t>SIURB</t>
  </si>
  <si>
    <t xml:space="preserve">PLAYGROUND BRINQUEDOS DE MADEIRA - GANGORRA DUPLA </t>
  </si>
  <si>
    <t>PLAYGROUND BRINQUEDOS DE MADEIRA - BALANÇA DUPLA</t>
  </si>
  <si>
    <t>SURF DUPLO CONJUGADO (EXERCITADOR PARA IDOSOS)</t>
  </si>
  <si>
    <t>PRIMAVERA (BOUGAINVILLEA GLABRA)</t>
  </si>
  <si>
    <t>ROTAÇÃO DIAGONAL DUPLA - APARELHO DUPLO CONJUGADO</t>
  </si>
  <si>
    <t>SIMULADOR DE CAVALGADA TRIPLO</t>
  </si>
  <si>
    <t>ALONGADOR COM 3 ALTURAS CONJUGADO</t>
  </si>
  <si>
    <t>REMADA SENTADA</t>
  </si>
  <si>
    <t>ESQUI DUPLO CONJUGADO</t>
  </si>
  <si>
    <t>17.13</t>
  </si>
  <si>
    <t>17.14</t>
  </si>
  <si>
    <t>17.15</t>
  </si>
  <si>
    <t>17.16</t>
  </si>
  <si>
    <t>17.17</t>
  </si>
  <si>
    <t>PLACA ORIENTADORA VERTICAL</t>
  </si>
  <si>
    <t>TWIST TRIPLO</t>
  </si>
  <si>
    <t>17.18</t>
  </si>
  <si>
    <t xml:space="preserve">Academia ao ar livre </t>
  </si>
  <si>
    <t>MUDA DE ARVORE ORNAMENTAL, OITI/AROEIRA SALSA/ANGICO/IPE/JACARANDA OU EQUIVALENTE DA REGIAO, H= *1* M</t>
  </si>
  <si>
    <t xml:space="preserve">Ipê amarelo </t>
  </si>
  <si>
    <t>Jasmim manga - branco com rosa</t>
  </si>
  <si>
    <t xml:space="preserve">Cica </t>
  </si>
  <si>
    <t xml:space="preserve">Cerca viva </t>
  </si>
  <si>
    <t xml:space="preserve">Trepadeira para os pergolados </t>
  </si>
  <si>
    <t>JARDINEIRO</t>
  </si>
  <si>
    <t xml:space="preserve"> h  </t>
  </si>
  <si>
    <t>GOINFRA - MO</t>
  </si>
  <si>
    <t>Jardineiro - poda de árvores e plantio de mudas (dias)</t>
  </si>
  <si>
    <t>Jardineiro - poda de árvores e plantio de mudas (horas)</t>
  </si>
  <si>
    <t>18.8</t>
  </si>
  <si>
    <t xml:space="preserve">Quadra de areia + área de canteiro </t>
  </si>
  <si>
    <t>Quadra de areia - área de canteiro</t>
  </si>
  <si>
    <t>Quadra de areia + canteiro</t>
  </si>
  <si>
    <t xml:space="preserve">Quadra de areia + canteiro - área </t>
  </si>
  <si>
    <t>PISO CONCRETO DESEMPENADO ESPESSURA = 5 CM 1:2,5:3,5</t>
  </si>
  <si>
    <t xml:space="preserve">TERRA VEGETAL </t>
  </si>
  <si>
    <t xml:space="preserve">SUPORTE PARA 4 PÉTALAS PARA LUMINÁRIA DE ILUMINAÇÃO PÚBLICA </t>
  </si>
  <si>
    <t xml:space="preserve">UN </t>
  </si>
  <si>
    <t xml:space="preserve">LUMINARIA LED REFLETOR RETANGULAR BIVOLT, LUZ BRANCA, 10 W </t>
  </si>
  <si>
    <t xml:space="preserve">LUMINARIA LED REFLETOR RETANGULAR BIVOLT, LUZ BRANCA, 50 W </t>
  </si>
  <si>
    <t xml:space="preserve">Sinapi </t>
  </si>
  <si>
    <t>Sinapi</t>
  </si>
  <si>
    <t xml:space="preserve"> SUPORTE PARA 1 PÉTALA PARA LUMINÁRIA DE ILUMINAÇÃO PÚBLICA </t>
  </si>
  <si>
    <t>6.1</t>
  </si>
  <si>
    <t>6.2</t>
  </si>
  <si>
    <t>6.3</t>
  </si>
  <si>
    <t>6.4</t>
  </si>
  <si>
    <t>6.5</t>
  </si>
  <si>
    <t>6.6</t>
  </si>
  <si>
    <t>6.7</t>
  </si>
  <si>
    <t>POSTE SIMPLES CÔNICO CONTÍNUO, CIRCULAR, RETO, COM DIÂMETRO NOMINAL DE 60MM NA EXTREMIDADE, GALVANIZADO A FOGO, Hútil= 7 M - ENGASTADO EM CONCRETO COM
FCK = 13,5 MPA</t>
  </si>
  <si>
    <t>BRAÇO PARA ILUMINAÇÃO PÚBLICA, EM TUBO DE AÇO GALVANIZADO, COMPRIMENTO  DE 1,50 M, PARA FIXAÇÃO EM POSTE METÁLICO - FORNECIMENTO E INSTALAÇÃO . AF_08/2020</t>
  </si>
  <si>
    <t>LUMINÁRIA DE LED PARA ILUMINAÇÃO PÚBLICA, DE 98 W ATÉ 137 W - FORNECIMENTO E INSTALAÇÃO. AF_08/2020</t>
  </si>
  <si>
    <t xml:space="preserve">GUARDA BICICLETAS </t>
  </si>
  <si>
    <t>M</t>
  </si>
  <si>
    <t>11.2</t>
  </si>
  <si>
    <t>Guarda de bicicletas</t>
  </si>
  <si>
    <t xml:space="preserve"> ELETRODUTO PVC FLEXÍVEL - MANGUEIRA CORRUGADA LEVE - DIAM. 20MM</t>
  </si>
  <si>
    <t>ELETRODUTO PVC FLEXÍVEL - MANGUEIRA CORRUGADA LEVE - DIAM. 25MM</t>
  </si>
  <si>
    <t xml:space="preserve">CABO PVC (70ºC) 1 KV No. 4 MM2 </t>
  </si>
  <si>
    <t xml:space="preserve">CABO PVC (70ºC) 1 KV No. 6 MM2 </t>
  </si>
  <si>
    <t xml:space="preserve">RELE FOTO ELETRICO COM BASE </t>
  </si>
  <si>
    <t>6.8</t>
  </si>
  <si>
    <t>6.9</t>
  </si>
  <si>
    <t>6.10</t>
  </si>
  <si>
    <t>6.11</t>
  </si>
  <si>
    <t>6.12</t>
  </si>
  <si>
    <t>17.19</t>
  </si>
  <si>
    <t>AMARELINHA DEMARCAÇÃO DE PISO (RD-05)</t>
  </si>
  <si>
    <t>CRONOGRAMA FÍSICO-FINANCEIRO</t>
  </si>
  <si>
    <t>SERVIÇOS</t>
  </si>
  <si>
    <t>DURAÇÃO</t>
  </si>
  <si>
    <t>1º MÊS</t>
  </si>
  <si>
    <t>2º MÊS</t>
  </si>
  <si>
    <t>3º MÊS</t>
  </si>
  <si>
    <t>4º MÊS</t>
  </si>
  <si>
    <t>5º MÊS</t>
  </si>
  <si>
    <t>6º MÊS</t>
  </si>
  <si>
    <t>PERCENTUAL GLOBAL MENSAL</t>
  </si>
  <si>
    <t>PERCENTUAL GLOBAL ACUMULADO</t>
  </si>
  <si>
    <t>VALOR MENSAL</t>
  </si>
  <si>
    <t>VALOR ACUMULADO</t>
  </si>
  <si>
    <t>COMPOSIÇÃO BDI (BENEFÍCIOS E DISPESAS INDIRETAS)</t>
  </si>
  <si>
    <t>Administração Central (%)</t>
  </si>
  <si>
    <t>Lucro (%)</t>
  </si>
  <si>
    <t>Despesas financeiras (%)</t>
  </si>
  <si>
    <t>Seguros + garantias (%)</t>
  </si>
  <si>
    <t>Riscos (%)</t>
  </si>
  <si>
    <t>ISS (%)</t>
  </si>
  <si>
    <t>PIS (%)</t>
  </si>
  <si>
    <t>COFINS (%)</t>
  </si>
  <si>
    <t>CPRB (%)</t>
  </si>
  <si>
    <t>Resultado (%)</t>
  </si>
  <si>
    <t>* A fórmula para estipulação da taxa de BDI estimado adotado é a mesma que foi aplicada para a obtenção das tabelas contidas no Acórdão n. 2.622/2013 – TCUPlenário</t>
  </si>
  <si>
    <t>_________________________________________</t>
  </si>
  <si>
    <t xml:space="preserve">LEONARDO MARTINS DE CASTRO TEIXEIRA </t>
  </si>
  <si>
    <t>SECRETÁRIO MUNICIPAL DE OBRAS</t>
  </si>
  <si>
    <t>ENGENHEIRA CIVIL</t>
  </si>
  <si>
    <t>CREA 7455/D-GO</t>
  </si>
  <si>
    <t xml:space="preserve">MINI IXORIA </t>
  </si>
  <si>
    <t xml:space="preserve">PRAÇA IRCA VICTÓRIA DA FONSECA </t>
  </si>
  <si>
    <t xml:space="preserve">RUAL ALVINA C. NEVES, ESQUINA COM RUA SEIS </t>
  </si>
  <si>
    <t>BANCO DE CONCRETO POLIDO BASE EM ALVENARIA REBOCADA E PINTADA - PADRÃO
GOINFRA</t>
  </si>
  <si>
    <t>TABELA 148 - CUSTOS DE OBRAS CIVIS - JULHO/2021 - DESONERADA; PCI.817.01 - CUSTO DE COMPOSIÇÕES - SINTÉTICO (06-21);  SINAPI - PREÇO DE INSUMOS (06-21); SIURB -Comp Custos Unit INFRA COM Des Jan 2021, SETOP- planilha com desoneração.</t>
  </si>
  <si>
    <t>17 de agosto de 2021</t>
  </si>
  <si>
    <t>1 mês de vigia de obras</t>
  </si>
  <si>
    <t>Dias</t>
  </si>
  <si>
    <t>STÉPHANIE PRADO DE PAIVA</t>
  </si>
  <si>
    <t>CREA 1018824561/D-GO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</si>
</sst>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0"/>
    <numFmt numFmtId="168" formatCode="0.000"/>
    <numFmt numFmtId="169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44" fontId="0" fillId="0" borderId="0" xfId="1" applyNumberFormat="1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1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2" fontId="2" fillId="2" borderId="6" xfId="0" applyNumberFormat="1" applyFont="1" applyFill="1" applyBorder="1" applyAlignment="1" applyProtection="1">
      <alignment horizontal="center" vertical="center"/>
    </xf>
    <xf numFmtId="44" fontId="2" fillId="2" borderId="6" xfId="1" applyNumberFormat="1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left" vertical="center" wrapText="1"/>
    </xf>
    <xf numFmtId="44" fontId="0" fillId="0" borderId="20" xfId="1" applyFont="1" applyBorder="1" applyAlignment="1" applyProtection="1">
      <alignment horizontal="center" vertical="center"/>
      <protection locked="0"/>
    </xf>
    <xf numFmtId="44" fontId="0" fillId="0" borderId="21" xfId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/>
    </xf>
    <xf numFmtId="0" fontId="2" fillId="2" borderId="31" xfId="0" applyFont="1" applyFill="1" applyBorder="1" applyAlignment="1" applyProtection="1">
      <alignment horizontal="center" vertical="center"/>
    </xf>
    <xf numFmtId="0" fontId="0" fillId="0" borderId="0" xfId="0" applyFont="1"/>
    <xf numFmtId="0" fontId="2" fillId="2" borderId="2" xfId="0" applyFont="1" applyFill="1" applyBorder="1" applyAlignment="1" applyProtection="1"/>
    <xf numFmtId="0" fontId="0" fillId="0" borderId="0" xfId="0"/>
    <xf numFmtId="44" fontId="5" fillId="3" borderId="12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Protection="1"/>
    <xf numFmtId="0" fontId="0" fillId="0" borderId="26" xfId="0" applyFont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0" fillId="0" borderId="0" xfId="0"/>
    <xf numFmtId="0" fontId="2" fillId="0" borderId="14" xfId="0" applyFont="1" applyBorder="1" applyAlignment="1" applyProtection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/>
    <xf numFmtId="0" fontId="2" fillId="0" borderId="17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2" borderId="35" xfId="0" applyFont="1" applyFill="1" applyBorder="1" applyAlignment="1" applyProtection="1">
      <alignment wrapText="1"/>
    </xf>
    <xf numFmtId="167" fontId="0" fillId="0" borderId="2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wrapText="1"/>
    </xf>
    <xf numFmtId="0" fontId="0" fillId="0" borderId="14" xfId="0" applyFont="1" applyBorder="1" applyAlignment="1" applyProtection="1">
      <alignment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44" fontId="5" fillId="3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2" fontId="0" fillId="0" borderId="20" xfId="0" applyNumberFormat="1" applyFont="1" applyBorder="1" applyAlignment="1" applyProtection="1">
      <alignment horizontal="center" vertical="center"/>
    </xf>
    <xf numFmtId="2" fontId="2" fillId="4" borderId="22" xfId="0" applyNumberFormat="1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wrapText="1"/>
    </xf>
    <xf numFmtId="166" fontId="6" fillId="0" borderId="0" xfId="0" applyNumberFormat="1" applyFont="1" applyProtection="1"/>
    <xf numFmtId="0" fontId="0" fillId="0" borderId="20" xfId="0" applyFont="1" applyBorder="1" applyAlignment="1" applyProtection="1">
      <alignment horizontal="left" vertical="center" wrapText="1"/>
    </xf>
    <xf numFmtId="2" fontId="0" fillId="0" borderId="0" xfId="0" applyNumberFormat="1"/>
    <xf numFmtId="0" fontId="2" fillId="0" borderId="0" xfId="0" applyFont="1" applyBorder="1" applyAlignment="1" applyProtection="1">
      <alignment horizontal="center" vertical="center"/>
    </xf>
    <xf numFmtId="168" fontId="0" fillId="0" borderId="20" xfId="0" applyNumberFormat="1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left" vertical="center"/>
    </xf>
    <xf numFmtId="0" fontId="0" fillId="0" borderId="36" xfId="0" applyFont="1" applyBorder="1" applyAlignment="1" applyProtection="1">
      <alignment horizontal="left" vertical="center" wrapText="1"/>
    </xf>
    <xf numFmtId="0" fontId="0" fillId="0" borderId="37" xfId="0" applyFont="1" applyBorder="1" applyAlignment="1" applyProtection="1">
      <alignment horizontal="center" vertical="center"/>
    </xf>
    <xf numFmtId="168" fontId="0" fillId="0" borderId="38" xfId="0" applyNumberFormat="1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0" fillId="0" borderId="42" xfId="0" applyFont="1" applyBorder="1" applyAlignment="1" applyProtection="1">
      <alignment horizontal="left" vertical="center" wrapText="1"/>
    </xf>
    <xf numFmtId="0" fontId="0" fillId="0" borderId="42" xfId="0" applyFont="1" applyBorder="1" applyAlignment="1" applyProtection="1">
      <alignment horizontal="center" vertical="center"/>
    </xf>
    <xf numFmtId="2" fontId="0" fillId="0" borderId="43" xfId="0" applyNumberFormat="1" applyFont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right" vertical="center"/>
    </xf>
    <xf numFmtId="44" fontId="5" fillId="5" borderId="12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2" fontId="0" fillId="0" borderId="26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2" fontId="0" fillId="0" borderId="26" xfId="0" applyNumberFormat="1" applyFont="1" applyBorder="1" applyAlignment="1" applyProtection="1">
      <alignment horizontal="center" vertic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righ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3" xfId="0" applyBorder="1"/>
    <xf numFmtId="0" fontId="0" fillId="0" borderId="15" xfId="0" applyBorder="1"/>
    <xf numFmtId="0" fontId="2" fillId="0" borderId="14" xfId="0" applyFont="1" applyBorder="1"/>
    <xf numFmtId="0" fontId="0" fillId="0" borderId="14" xfId="0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0" fontId="0" fillId="0" borderId="47" xfId="13" applyNumberFormat="1" applyFont="1" applyBorder="1" applyAlignment="1">
      <alignment horizontal="center"/>
    </xf>
    <xf numFmtId="10" fontId="0" fillId="0" borderId="47" xfId="13" applyNumberFormat="1" applyFont="1" applyFill="1" applyBorder="1" applyAlignment="1">
      <alignment horizontal="center"/>
    </xf>
    <xf numFmtId="44" fontId="0" fillId="0" borderId="49" xfId="1" applyFont="1" applyFill="1" applyBorder="1"/>
    <xf numFmtId="0" fontId="0" fillId="5" borderId="49" xfId="0" applyFont="1" applyFill="1" applyBorder="1"/>
    <xf numFmtId="44" fontId="2" fillId="0" borderId="50" xfId="1" applyFont="1" applyBorder="1"/>
    <xf numFmtId="44" fontId="0" fillId="0" borderId="50" xfId="1" applyFont="1" applyFill="1" applyBorder="1"/>
    <xf numFmtId="44" fontId="0" fillId="0" borderId="49" xfId="1" applyFont="1" applyBorder="1"/>
    <xf numFmtId="10" fontId="0" fillId="0" borderId="47" xfId="13" applyNumberFormat="1" applyFont="1" applyFill="1" applyBorder="1" applyAlignment="1">
      <alignment horizontal="center" vertical="center"/>
    </xf>
    <xf numFmtId="169" fontId="0" fillId="0" borderId="47" xfId="13" applyNumberFormat="1" applyFont="1" applyFill="1" applyBorder="1" applyAlignment="1">
      <alignment horizontal="center"/>
    </xf>
    <xf numFmtId="0" fontId="0" fillId="0" borderId="49" xfId="0" applyFont="1" applyBorder="1"/>
    <xf numFmtId="9" fontId="0" fillId="0" borderId="47" xfId="13" applyFont="1" applyFill="1" applyBorder="1" applyAlignment="1">
      <alignment horizontal="center" vertical="center"/>
    </xf>
    <xf numFmtId="0" fontId="0" fillId="0" borderId="23" xfId="0" applyFont="1" applyBorder="1"/>
    <xf numFmtId="44" fontId="2" fillId="0" borderId="53" xfId="1" applyFont="1" applyBorder="1"/>
    <xf numFmtId="0" fontId="2" fillId="0" borderId="45" xfId="0" applyFont="1" applyBorder="1" applyAlignment="1">
      <alignment horizontal="center" vertical="center"/>
    </xf>
    <xf numFmtId="10" fontId="0" fillId="0" borderId="9" xfId="13" applyNumberFormat="1" applyFont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44" fontId="0" fillId="0" borderId="9" xfId="0" applyNumberFormat="1" applyFont="1" applyBorder="1"/>
    <xf numFmtId="0" fontId="2" fillId="0" borderId="5" xfId="0" applyFont="1" applyBorder="1" applyAlignment="1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2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0" borderId="5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4" fontId="10" fillId="0" borderId="59" xfId="12" applyNumberFormat="1" applyFont="1" applyBorder="1" applyAlignment="1">
      <alignment horizontal="center" vertical="center"/>
    </xf>
    <xf numFmtId="4" fontId="10" fillId="0" borderId="60" xfId="12" applyNumberFormat="1" applyFont="1" applyBorder="1" applyAlignment="1">
      <alignment horizontal="center" vertical="center"/>
    </xf>
    <xf numFmtId="4" fontId="9" fillId="0" borderId="61" xfId="12" applyNumberFormat="1" applyFont="1" applyBorder="1" applyAlignment="1">
      <alignment horizontal="center" vertical="center"/>
    </xf>
    <xf numFmtId="0" fontId="11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/>
    </xf>
    <xf numFmtId="0" fontId="12" fillId="0" borderId="4" xfId="0" applyFont="1" applyBorder="1" applyAlignment="1"/>
    <xf numFmtId="0" fontId="12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6" fontId="12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Font="1" applyBorder="1" applyAlignment="1"/>
    <xf numFmtId="166" fontId="12" fillId="0" borderId="14" xfId="0" applyNumberFormat="1" applyFont="1" applyBorder="1" applyAlignment="1">
      <alignment horizontal="center"/>
    </xf>
    <xf numFmtId="9" fontId="0" fillId="0" borderId="0" xfId="0" applyNumberFormat="1"/>
    <xf numFmtId="0" fontId="2" fillId="0" borderId="52" xfId="0" applyFont="1" applyBorder="1" applyAlignment="1"/>
    <xf numFmtId="0" fontId="2" fillId="0" borderId="62" xfId="0" applyFont="1" applyBorder="1" applyAlignment="1"/>
    <xf numFmtId="0" fontId="2" fillId="0" borderId="51" xfId="0" applyFont="1" applyBorder="1" applyAlignment="1"/>
    <xf numFmtId="0" fontId="2" fillId="0" borderId="23" xfId="0" applyFont="1" applyBorder="1" applyAlignment="1"/>
    <xf numFmtId="0" fontId="2" fillId="0" borderId="51" xfId="0" applyFont="1" applyFill="1" applyBorder="1" applyAlignment="1"/>
    <xf numFmtId="0" fontId="2" fillId="0" borderId="23" xfId="0" applyFont="1" applyFill="1" applyBorder="1" applyAlignment="1"/>
    <xf numFmtId="0" fontId="2" fillId="0" borderId="5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46" xfId="0" applyFont="1" applyBorder="1" applyAlignment="1"/>
    <xf numFmtId="0" fontId="0" fillId="0" borderId="46" xfId="0" applyFont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0" fillId="0" borderId="0" xfId="0" applyFont="1" applyBorder="1" applyAlignment="1" applyProtection="1">
      <alignment horizontal="left" vertical="center" wrapText="1"/>
    </xf>
    <xf numFmtId="2" fontId="0" fillId="0" borderId="0" xfId="0" applyNumberFormat="1" applyFont="1" applyBorder="1" applyAlignment="1" applyProtection="1">
      <alignment horizontal="center" vertical="center"/>
    </xf>
    <xf numFmtId="2" fontId="0" fillId="0" borderId="0" xfId="0" applyNumberFormat="1" applyProtection="1"/>
    <xf numFmtId="0" fontId="2" fillId="4" borderId="24" xfId="0" applyFont="1" applyFill="1" applyBorder="1" applyAlignment="1" applyProtection="1">
      <alignment horizontal="left" vertical="center"/>
    </xf>
    <xf numFmtId="0" fontId="2" fillId="4" borderId="28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 applyProtection="1">
      <alignment horizontal="right" vertical="center"/>
    </xf>
    <xf numFmtId="44" fontId="0" fillId="0" borderId="29" xfId="1" applyFont="1" applyBorder="1" applyAlignment="1" applyProtection="1">
      <alignment horizontal="center" vertical="center"/>
      <protection locked="0"/>
    </xf>
    <xf numFmtId="44" fontId="0" fillId="0" borderId="30" xfId="1" applyFont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</xf>
    <xf numFmtId="0" fontId="2" fillId="4" borderId="41" xfId="0" applyFont="1" applyFill="1" applyBorder="1" applyAlignment="1" applyProtection="1">
      <alignment horizontal="center" vertical="center"/>
    </xf>
    <xf numFmtId="44" fontId="0" fillId="0" borderId="33" xfId="1" applyFont="1" applyBorder="1" applyAlignment="1" applyProtection="1">
      <alignment horizontal="center" vertical="center"/>
      <protection locked="0"/>
    </xf>
    <xf numFmtId="44" fontId="0" fillId="0" borderId="34" xfId="1" applyFont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/>
    </xf>
    <xf numFmtId="0" fontId="0" fillId="0" borderId="3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horizontal="left" vertical="center" wrapText="1"/>
    </xf>
    <xf numFmtId="0" fontId="2" fillId="4" borderId="29" xfId="0" applyFont="1" applyFill="1" applyBorder="1" applyAlignment="1" applyProtection="1">
      <alignment horizontal="right" vertical="center"/>
    </xf>
    <xf numFmtId="0" fontId="2" fillId="4" borderId="19" xfId="0" applyFont="1" applyFill="1" applyBorder="1" applyAlignment="1" applyProtection="1">
      <alignment horizontal="right" vertical="center"/>
    </xf>
    <xf numFmtId="0" fontId="2" fillId="4" borderId="30" xfId="0" applyFont="1" applyFill="1" applyBorder="1" applyAlignment="1" applyProtection="1">
      <alignment horizontal="right" vertical="center"/>
    </xf>
    <xf numFmtId="0" fontId="2" fillId="2" borderId="40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55" xfId="0" applyFont="1" applyBorder="1"/>
    <xf numFmtId="0" fontId="0" fillId="0" borderId="46" xfId="0" applyFont="1" applyBorder="1"/>
    <xf numFmtId="0" fontId="0" fillId="0" borderId="56" xfId="0" applyFont="1" applyBorder="1"/>
    <xf numFmtId="0" fontId="0" fillId="0" borderId="0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</cellXfs>
  <cellStyles count="14">
    <cellStyle name="Moeda" xfId="1" builtinId="4"/>
    <cellStyle name="Moeda 2" xfId="3" xr:uid="{00000000-0005-0000-0000-000001000000}"/>
    <cellStyle name="Moeda 2 2" xfId="6" xr:uid="{00000000-0005-0000-0000-000002000000}"/>
    <cellStyle name="Moeda 3" xfId="7" xr:uid="{00000000-0005-0000-0000-000003000000}"/>
    <cellStyle name="Moeda 4" xfId="9" xr:uid="{00000000-0005-0000-0000-000004000000}"/>
    <cellStyle name="Normal" xfId="0" builtinId="0"/>
    <cellStyle name="Normal 2" xfId="10" xr:uid="{00000000-0005-0000-0000-000006000000}"/>
    <cellStyle name="Normal 3" xfId="2" xr:uid="{00000000-0005-0000-0000-000007000000}"/>
    <cellStyle name="Normal 4" xfId="4" xr:uid="{00000000-0005-0000-0000-000008000000}"/>
    <cellStyle name="Normal 5" xfId="8" xr:uid="{00000000-0005-0000-0000-000009000000}"/>
    <cellStyle name="Porcentagem" xfId="13" builtinId="5"/>
    <cellStyle name="Porcentagem 2" xfId="11" xr:uid="{00000000-0005-0000-0000-00000B000000}"/>
    <cellStyle name="Vírgula" xfId="12" builtinId="3"/>
    <cellStyle name="Vírgula 5" xfId="5" xr:uid="{00000000-0005-0000-0000-00000D000000}"/>
  </cellStyles>
  <dxfs count="19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8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3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178</xdr:row>
      <xdr:rowOff>0</xdr:rowOff>
    </xdr:from>
    <xdr:to>
      <xdr:col>5</xdr:col>
      <xdr:colOff>304800</xdr:colOff>
      <xdr:row>179</xdr:row>
      <xdr:rowOff>114300</xdr:rowOff>
    </xdr:to>
    <xdr:sp macro="" textlink="">
      <xdr:nvSpPr>
        <xdr:cNvPr id="3073" name="AutoShape 1" descr="Prefeitura Municipal de Catalão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8562975" y="3866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1</xdr:row>
      <xdr:rowOff>66675</xdr:rowOff>
    </xdr:from>
    <xdr:to>
      <xdr:col>1</xdr:col>
      <xdr:colOff>847725</xdr:colOff>
      <xdr:row>7</xdr:row>
      <xdr:rowOff>171450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175"/>
          <a:ext cx="13716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408214</xdr:colOff>
      <xdr:row>1</xdr:row>
      <xdr:rowOff>76542</xdr:rowOff>
    </xdr:from>
    <xdr:to>
      <xdr:col>3</xdr:col>
      <xdr:colOff>1811451</xdr:colOff>
      <xdr:row>6</xdr:row>
      <xdr:rowOff>722881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4531" y="263640"/>
          <a:ext cx="1403237" cy="158183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85725</xdr:rowOff>
    </xdr:from>
    <xdr:to>
      <xdr:col>1</xdr:col>
      <xdr:colOff>1446295</xdr:colOff>
      <xdr:row>6</xdr:row>
      <xdr:rowOff>457200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5725"/>
          <a:ext cx="1151020" cy="151447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727910</xdr:colOff>
      <xdr:row>6</xdr:row>
      <xdr:rowOff>504825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1166060" cy="1571625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s/PROCESSOS%20-%20EM%20AN&#193;LISE/PIRES%20BELO/PRA&#199;A/CD/OR&#199;AMENTO%20PRA&#199;A%20PIRES%20B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>
        <row r="1">
          <cell r="C1" t="str">
            <v>PREFEITURA MUNICIPAL DE CATALÃO</v>
          </cell>
        </row>
        <row r="3">
          <cell r="C3" t="str">
            <v>SETOR</v>
          </cell>
          <cell r="D3" t="str">
            <v>SECRETARIA MUNICIPAL DE OBRAS</v>
          </cell>
        </row>
        <row r="4">
          <cell r="C4" t="str">
            <v>OBJETO</v>
          </cell>
        </row>
        <row r="5">
          <cell r="C5" t="str">
            <v>PROCESSO</v>
          </cell>
        </row>
        <row r="6">
          <cell r="C6" t="str">
            <v>ENDEREÇO</v>
          </cell>
        </row>
        <row r="7">
          <cell r="C7" t="str">
            <v>TABELAS</v>
          </cell>
        </row>
        <row r="9">
          <cell r="C9" t="str">
            <v xml:space="preserve">DATA </v>
          </cell>
        </row>
        <row r="23">
          <cell r="D23" t="str">
            <v>TRANSPORTES</v>
          </cell>
        </row>
        <row r="30">
          <cell r="D30" t="str">
            <v>SERVICO EM TERRA</v>
          </cell>
        </row>
        <row r="39">
          <cell r="D39" t="str">
            <v>FUNDACOES E SONDAGENS</v>
          </cell>
        </row>
        <row r="51">
          <cell r="D51" t="str">
            <v>ESTRUTURA</v>
          </cell>
        </row>
        <row r="62">
          <cell r="D62" t="str">
            <v>INST. ELET./TELEFONICA/CABEAMENTO ESTRUTURADO</v>
          </cell>
        </row>
        <row r="106">
          <cell r="D106" t="str">
            <v>INSTALAÇÕES HIDROSSANITÁRIAS</v>
          </cell>
        </row>
        <row r="189">
          <cell r="D189" t="str">
            <v>ALVENARIAS E DIVISORIAS</v>
          </cell>
        </row>
        <row r="194">
          <cell r="D194" t="str">
            <v>IMPERMEABILIZACAO</v>
          </cell>
        </row>
        <row r="199">
          <cell r="D199" t="str">
            <v>ESTRUTURA DE MADEIRA</v>
          </cell>
        </row>
        <row r="273">
          <cell r="I273">
            <v>0</v>
          </cell>
        </row>
        <row r="281">
          <cell r="F281" t="str">
            <v>STEPHANIE PRADO DE PAIVA</v>
          </cell>
        </row>
        <row r="283">
          <cell r="F283" t="str">
            <v>CREA 1018824561/D-GO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9"/>
  <sheetViews>
    <sheetView tabSelected="1" workbookViewId="0">
      <selection activeCell="G78" sqref="G78"/>
    </sheetView>
  </sheetViews>
  <sheetFormatPr defaultRowHeight="15" x14ac:dyDescent="0.25"/>
  <cols>
    <col min="1" max="1" width="9.28515625" style="36" bestFit="1" customWidth="1"/>
    <col min="2" max="2" width="14" style="99" bestFit="1" customWidth="1"/>
    <col min="3" max="3" width="10.85546875" style="99" bestFit="1" customWidth="1"/>
    <col min="4" max="4" width="83.5703125" style="36" customWidth="1"/>
    <col min="5" max="5" width="10.7109375" style="99" bestFit="1" customWidth="1"/>
    <col min="6" max="6" width="6.42578125" style="36" bestFit="1" customWidth="1"/>
    <col min="7" max="7" width="13.28515625" style="36" bestFit="1" customWidth="1"/>
    <col min="8" max="8" width="16.85546875" bestFit="1" customWidth="1"/>
    <col min="9" max="9" width="15.85546875" bestFit="1" customWidth="1"/>
    <col min="10" max="10" width="11.7109375" bestFit="1" customWidth="1"/>
    <col min="12" max="12" width="13.28515625" bestFit="1" customWidth="1"/>
  </cols>
  <sheetData>
    <row r="1" spans="1:9" x14ac:dyDescent="0.25">
      <c r="A1" s="3"/>
      <c r="B1" s="92"/>
      <c r="C1" s="198" t="s">
        <v>0</v>
      </c>
      <c r="D1" s="198"/>
      <c r="E1" s="198"/>
      <c r="F1" s="198"/>
      <c r="G1" s="198"/>
      <c r="H1" s="198"/>
      <c r="I1" s="199"/>
    </row>
    <row r="2" spans="1:9" x14ac:dyDescent="0.25">
      <c r="A2" s="4"/>
      <c r="B2" s="93"/>
      <c r="C2" s="200" t="s">
        <v>1</v>
      </c>
      <c r="D2" s="200"/>
      <c r="E2" s="200"/>
      <c r="F2" s="200"/>
      <c r="G2" s="200"/>
      <c r="H2" s="200"/>
      <c r="I2" s="201"/>
    </row>
    <row r="3" spans="1:9" x14ac:dyDescent="0.25">
      <c r="A3" s="4"/>
      <c r="B3" s="93"/>
      <c r="C3" s="70" t="s">
        <v>2</v>
      </c>
      <c r="D3" s="5" t="s">
        <v>3</v>
      </c>
      <c r="E3" s="70"/>
      <c r="F3" s="70"/>
      <c r="G3" s="70"/>
      <c r="H3" s="2"/>
      <c r="I3" s="6"/>
    </row>
    <row r="4" spans="1:9" x14ac:dyDescent="0.25">
      <c r="A4" s="4"/>
      <c r="B4" s="93"/>
      <c r="C4" s="70" t="s">
        <v>4</v>
      </c>
      <c r="D4" s="5" t="s">
        <v>432</v>
      </c>
      <c r="E4" s="70"/>
      <c r="F4" s="70"/>
      <c r="G4" s="70"/>
      <c r="H4" s="61"/>
      <c r="I4" s="6"/>
    </row>
    <row r="5" spans="1:9" x14ac:dyDescent="0.25">
      <c r="A5" s="4"/>
      <c r="B5" s="93"/>
      <c r="C5" s="70" t="s">
        <v>5</v>
      </c>
      <c r="D5" s="5">
        <v>2021024996</v>
      </c>
      <c r="E5" s="7"/>
      <c r="F5" s="7"/>
      <c r="G5" s="9"/>
      <c r="H5" s="8"/>
      <c r="I5" s="6"/>
    </row>
    <row r="6" spans="1:9" x14ac:dyDescent="0.25">
      <c r="A6" s="4"/>
      <c r="B6" s="93"/>
      <c r="C6" s="70" t="s">
        <v>6</v>
      </c>
      <c r="D6" s="10" t="s">
        <v>433</v>
      </c>
      <c r="E6" s="7"/>
      <c r="F6" s="7"/>
      <c r="G6" s="8"/>
      <c r="H6" s="8"/>
      <c r="I6" s="6"/>
    </row>
    <row r="7" spans="1:9" ht="27" customHeight="1" x14ac:dyDescent="0.25">
      <c r="A7" s="4"/>
      <c r="B7" s="93"/>
      <c r="C7" s="70" t="s">
        <v>7</v>
      </c>
      <c r="D7" s="202" t="s">
        <v>435</v>
      </c>
      <c r="E7" s="202"/>
      <c r="F7" s="202"/>
      <c r="G7" s="202"/>
      <c r="H7" s="202"/>
      <c r="I7" s="203"/>
    </row>
    <row r="8" spans="1:9" x14ac:dyDescent="0.25">
      <c r="A8" s="4"/>
      <c r="B8" s="93"/>
      <c r="C8" s="70" t="s">
        <v>8</v>
      </c>
      <c r="D8" s="5" t="s">
        <v>436</v>
      </c>
      <c r="E8" s="70"/>
      <c r="F8" s="7"/>
      <c r="G8" s="8"/>
      <c r="H8" s="8"/>
      <c r="I8" s="6"/>
    </row>
    <row r="9" spans="1:9" ht="15.75" thickBot="1" x14ac:dyDescent="0.3">
      <c r="A9" s="11"/>
      <c r="B9" s="94"/>
      <c r="C9" s="70" t="s">
        <v>9</v>
      </c>
      <c r="D9" s="5">
        <v>0.23880000000000001</v>
      </c>
      <c r="E9" s="12"/>
      <c r="F9" s="12"/>
      <c r="G9" s="13"/>
      <c r="H9" s="14"/>
      <c r="I9" s="15"/>
    </row>
    <row r="10" spans="1:9" ht="15.75" thickBot="1" x14ac:dyDescent="0.3">
      <c r="A10" s="16"/>
      <c r="B10" s="20"/>
      <c r="C10" s="20"/>
      <c r="D10" s="18"/>
      <c r="E10" s="16"/>
      <c r="F10" s="16"/>
      <c r="G10" s="19"/>
      <c r="H10" s="17"/>
      <c r="I10" s="20"/>
    </row>
    <row r="11" spans="1:9" ht="15.75" thickBot="1" x14ac:dyDescent="0.3">
      <c r="A11" s="21" t="s">
        <v>10</v>
      </c>
      <c r="B11" s="22" t="s">
        <v>11</v>
      </c>
      <c r="C11" s="23" t="s">
        <v>12</v>
      </c>
      <c r="D11" s="24" t="s">
        <v>13</v>
      </c>
      <c r="E11" s="25" t="s">
        <v>14</v>
      </c>
      <c r="F11" s="21" t="s">
        <v>15</v>
      </c>
      <c r="G11" s="26" t="s">
        <v>16</v>
      </c>
      <c r="H11" s="26" t="s">
        <v>17</v>
      </c>
      <c r="I11" s="26" t="s">
        <v>18</v>
      </c>
    </row>
    <row r="12" spans="1:9" x14ac:dyDescent="0.25">
      <c r="A12" s="27">
        <v>1</v>
      </c>
      <c r="B12" s="28" t="s">
        <v>19</v>
      </c>
      <c r="C12" s="28">
        <v>20000</v>
      </c>
      <c r="D12" s="186" t="s">
        <v>20</v>
      </c>
      <c r="E12" s="186"/>
      <c r="F12" s="186"/>
      <c r="G12" s="186"/>
      <c r="H12" s="186"/>
      <c r="I12" s="187"/>
    </row>
    <row r="13" spans="1:9" x14ac:dyDescent="0.25">
      <c r="A13" s="29" t="s">
        <v>21</v>
      </c>
      <c r="B13" s="30" t="s">
        <v>19</v>
      </c>
      <c r="C13" s="30">
        <v>20109</v>
      </c>
      <c r="D13" s="31" t="s">
        <v>22</v>
      </c>
      <c r="E13" s="63">
        <f>Plan2!D14</f>
        <v>1113.54</v>
      </c>
      <c r="F13" s="30" t="s">
        <v>23</v>
      </c>
      <c r="G13" s="32"/>
      <c r="H13" s="32"/>
      <c r="I13" s="33">
        <f>(H13+G13)*E13</f>
        <v>0</v>
      </c>
    </row>
    <row r="14" spans="1:9" x14ac:dyDescent="0.25">
      <c r="A14" s="29" t="s">
        <v>24</v>
      </c>
      <c r="B14" s="30" t="s">
        <v>19</v>
      </c>
      <c r="C14" s="30">
        <v>20143</v>
      </c>
      <c r="D14" s="31" t="s">
        <v>32</v>
      </c>
      <c r="E14" s="63">
        <f>Plan2!D18</f>
        <v>721.01</v>
      </c>
      <c r="F14" s="30" t="s">
        <v>33</v>
      </c>
      <c r="G14" s="32"/>
      <c r="H14" s="32"/>
      <c r="I14" s="33">
        <f t="shared" ref="I14:I20" si="0">(H14+G14)*E14</f>
        <v>0</v>
      </c>
    </row>
    <row r="15" spans="1:9" x14ac:dyDescent="0.25">
      <c r="A15" s="29" t="s">
        <v>26</v>
      </c>
      <c r="B15" s="30" t="s">
        <v>19</v>
      </c>
      <c r="C15" s="30">
        <v>20202</v>
      </c>
      <c r="D15" s="31" t="s">
        <v>34</v>
      </c>
      <c r="E15" s="63">
        <f>Plan2!D21</f>
        <v>2137.14</v>
      </c>
      <c r="F15" s="30" t="s">
        <v>23</v>
      </c>
      <c r="G15" s="32"/>
      <c r="H15" s="32"/>
      <c r="I15" s="33">
        <f t="shared" si="0"/>
        <v>0</v>
      </c>
    </row>
    <row r="16" spans="1:9" ht="30" x14ac:dyDescent="0.25">
      <c r="A16" s="29" t="s">
        <v>27</v>
      </c>
      <c r="B16" s="30" t="s">
        <v>19</v>
      </c>
      <c r="C16" s="30">
        <v>20600</v>
      </c>
      <c r="D16" s="31" t="s">
        <v>56</v>
      </c>
      <c r="E16" s="63">
        <f>Plan2!D25</f>
        <v>387.04600000000005</v>
      </c>
      <c r="F16" s="30" t="s">
        <v>35</v>
      </c>
      <c r="G16" s="32"/>
      <c r="H16" s="32"/>
      <c r="I16" s="33">
        <f t="shared" si="0"/>
        <v>0</v>
      </c>
    </row>
    <row r="17" spans="1:13" ht="30" x14ac:dyDescent="0.25">
      <c r="A17" s="29" t="s">
        <v>28</v>
      </c>
      <c r="B17" s="30" t="s">
        <v>19</v>
      </c>
      <c r="C17" s="30">
        <v>20703</v>
      </c>
      <c r="D17" s="31" t="s">
        <v>62</v>
      </c>
      <c r="E17" s="63">
        <f>Plan2!D28</f>
        <v>3322.78</v>
      </c>
      <c r="F17" s="30" t="s">
        <v>23</v>
      </c>
      <c r="G17" s="32"/>
      <c r="H17" s="32"/>
      <c r="I17" s="33">
        <f t="shared" si="0"/>
        <v>0</v>
      </c>
    </row>
    <row r="18" spans="1:13" ht="30" x14ac:dyDescent="0.25">
      <c r="A18" s="29" t="s">
        <v>29</v>
      </c>
      <c r="B18" s="30" t="s">
        <v>19</v>
      </c>
      <c r="C18" s="30">
        <v>21301</v>
      </c>
      <c r="D18" s="31" t="s">
        <v>64</v>
      </c>
      <c r="E18" s="63">
        <f>Plan2!D32</f>
        <v>3</v>
      </c>
      <c r="F18" s="30" t="s">
        <v>35</v>
      </c>
      <c r="G18" s="32"/>
      <c r="H18" s="32"/>
      <c r="I18" s="33">
        <f t="shared" si="0"/>
        <v>0</v>
      </c>
      <c r="L18" s="84"/>
    </row>
    <row r="19" spans="1:13" x14ac:dyDescent="0.25">
      <c r="A19" s="29" t="s">
        <v>30</v>
      </c>
      <c r="B19" s="30" t="s">
        <v>19</v>
      </c>
      <c r="C19" s="30">
        <v>21400</v>
      </c>
      <c r="D19" s="31" t="s">
        <v>36</v>
      </c>
      <c r="E19" s="63">
        <f>Plan2!D36</f>
        <v>60.640769880642111</v>
      </c>
      <c r="F19" s="30" t="s">
        <v>37</v>
      </c>
      <c r="G19" s="32"/>
      <c r="H19" s="32"/>
      <c r="I19" s="33">
        <f t="shared" si="0"/>
        <v>0</v>
      </c>
    </row>
    <row r="20" spans="1:13" ht="30.75" thickBot="1" x14ac:dyDescent="0.3">
      <c r="A20" s="29" t="s">
        <v>31</v>
      </c>
      <c r="B20" s="30" t="s">
        <v>39</v>
      </c>
      <c r="C20" s="30">
        <v>10775</v>
      </c>
      <c r="D20" s="31" t="s">
        <v>75</v>
      </c>
      <c r="E20" s="63">
        <f>Plan2!D38</f>
        <v>6</v>
      </c>
      <c r="F20" s="30" t="s">
        <v>38</v>
      </c>
      <c r="G20" s="194"/>
      <c r="H20" s="195"/>
      <c r="I20" s="33">
        <f t="shared" si="0"/>
        <v>0</v>
      </c>
    </row>
    <row r="21" spans="1:13" ht="16.5" thickBot="1" x14ac:dyDescent="0.3">
      <c r="A21" s="188" t="s">
        <v>40</v>
      </c>
      <c r="B21" s="189"/>
      <c r="C21" s="189"/>
      <c r="D21" s="189"/>
      <c r="E21" s="189"/>
      <c r="F21" s="189"/>
      <c r="G21" s="189"/>
      <c r="H21" s="189"/>
      <c r="I21" s="39">
        <f>SUM(I13:I20)</f>
        <v>0</v>
      </c>
      <c r="J21" s="40">
        <f>I21*1.2388</f>
        <v>0</v>
      </c>
      <c r="K21" s="40">
        <v>0</v>
      </c>
      <c r="L21" s="40">
        <v>0</v>
      </c>
      <c r="M21" s="1"/>
    </row>
    <row r="22" spans="1:13" s="38" customFormat="1" ht="15.75" thickBot="1" x14ac:dyDescent="0.3">
      <c r="A22" s="21" t="s">
        <v>10</v>
      </c>
      <c r="B22" s="22" t="s">
        <v>11</v>
      </c>
      <c r="C22" s="23" t="s">
        <v>12</v>
      </c>
      <c r="D22" s="24" t="s">
        <v>13</v>
      </c>
      <c r="E22" s="25" t="s">
        <v>14</v>
      </c>
      <c r="F22" s="21" t="s">
        <v>15</v>
      </c>
      <c r="G22" s="26" t="s">
        <v>16</v>
      </c>
      <c r="H22" s="26" t="s">
        <v>17</v>
      </c>
      <c r="I22" s="26" t="s">
        <v>18</v>
      </c>
    </row>
    <row r="23" spans="1:13" x14ac:dyDescent="0.25">
      <c r="A23" s="27">
        <v>2</v>
      </c>
      <c r="B23" s="28" t="s">
        <v>19</v>
      </c>
      <c r="C23" s="28">
        <v>30000</v>
      </c>
      <c r="D23" s="186" t="s">
        <v>41</v>
      </c>
      <c r="E23" s="186"/>
      <c r="F23" s="186"/>
      <c r="G23" s="186"/>
      <c r="H23" s="186"/>
      <c r="I23" s="187"/>
    </row>
    <row r="24" spans="1:13" x14ac:dyDescent="0.25">
      <c r="A24" s="29" t="s">
        <v>44</v>
      </c>
      <c r="B24" s="30" t="s">
        <v>19</v>
      </c>
      <c r="C24" s="30">
        <v>30106</v>
      </c>
      <c r="D24" s="31" t="s">
        <v>42</v>
      </c>
      <c r="E24" s="63">
        <f>Plan2!D47</f>
        <v>77.920244999999994</v>
      </c>
      <c r="F24" s="30" t="s">
        <v>37</v>
      </c>
      <c r="G24" s="32"/>
      <c r="H24" s="32"/>
      <c r="I24" s="33">
        <f>(H24+G24)*E24</f>
        <v>0</v>
      </c>
    </row>
    <row r="25" spans="1:13" ht="15.75" thickBot="1" x14ac:dyDescent="0.3">
      <c r="A25" s="29" t="s">
        <v>45</v>
      </c>
      <c r="B25" s="30" t="s">
        <v>19</v>
      </c>
      <c r="C25" s="30">
        <v>30104</v>
      </c>
      <c r="D25" s="31" t="s">
        <v>43</v>
      </c>
      <c r="E25" s="63">
        <f>Plan2!D52</f>
        <v>166.13900000000001</v>
      </c>
      <c r="F25" s="30" t="s">
        <v>25</v>
      </c>
      <c r="G25" s="32"/>
      <c r="H25" s="32"/>
      <c r="I25" s="33">
        <f>(H25+G25)*E25</f>
        <v>0</v>
      </c>
    </row>
    <row r="26" spans="1:13" s="38" customFormat="1" ht="16.5" thickBot="1" x14ac:dyDescent="0.3">
      <c r="A26" s="188" t="s">
        <v>40</v>
      </c>
      <c r="B26" s="189"/>
      <c r="C26" s="189"/>
      <c r="D26" s="189"/>
      <c r="E26" s="189"/>
      <c r="F26" s="189"/>
      <c r="G26" s="189"/>
      <c r="H26" s="189"/>
      <c r="I26" s="39">
        <f>SUM(I24:I25)</f>
        <v>0</v>
      </c>
      <c r="J26" s="40">
        <f>I26*1.2388</f>
        <v>0</v>
      </c>
      <c r="K26" s="40">
        <v>0</v>
      </c>
      <c r="L26" s="40">
        <v>0</v>
      </c>
    </row>
    <row r="27" spans="1:13" s="58" customFormat="1" ht="15.75" thickBot="1" x14ac:dyDescent="0.3">
      <c r="A27" s="21" t="s">
        <v>10</v>
      </c>
      <c r="B27" s="22" t="s">
        <v>11</v>
      </c>
      <c r="C27" s="23" t="s">
        <v>12</v>
      </c>
      <c r="D27" s="24" t="s">
        <v>13</v>
      </c>
      <c r="E27" s="25" t="s">
        <v>14</v>
      </c>
      <c r="F27" s="21" t="s">
        <v>15</v>
      </c>
      <c r="G27" s="26" t="s">
        <v>16</v>
      </c>
      <c r="H27" s="26" t="s">
        <v>17</v>
      </c>
      <c r="I27" s="26" t="s">
        <v>18</v>
      </c>
    </row>
    <row r="28" spans="1:13" s="58" customFormat="1" x14ac:dyDescent="0.25">
      <c r="A28" s="27">
        <v>3</v>
      </c>
      <c r="B28" s="28" t="s">
        <v>19</v>
      </c>
      <c r="C28" s="28">
        <v>40000</v>
      </c>
      <c r="D28" s="186" t="s">
        <v>87</v>
      </c>
      <c r="E28" s="186"/>
      <c r="F28" s="186"/>
      <c r="G28" s="186"/>
      <c r="H28" s="186"/>
      <c r="I28" s="187"/>
    </row>
    <row r="29" spans="1:13" x14ac:dyDescent="0.25">
      <c r="A29" s="29" t="s">
        <v>92</v>
      </c>
      <c r="B29" s="30" t="s">
        <v>19</v>
      </c>
      <c r="C29" s="30">
        <v>40101</v>
      </c>
      <c r="D29" s="31" t="s">
        <v>88</v>
      </c>
      <c r="E29" s="63">
        <f>Plan2!D59</f>
        <v>63.464999999999996</v>
      </c>
      <c r="F29" s="30" t="s">
        <v>37</v>
      </c>
      <c r="G29" s="32"/>
      <c r="H29" s="32"/>
      <c r="I29" s="33">
        <f>SUM(H29+G29)*E29</f>
        <v>0</v>
      </c>
    </row>
    <row r="30" spans="1:13" s="58" customFormat="1" x14ac:dyDescent="0.25">
      <c r="A30" s="29" t="s">
        <v>93</v>
      </c>
      <c r="B30" s="30" t="s">
        <v>19</v>
      </c>
      <c r="C30" s="30">
        <v>40902</v>
      </c>
      <c r="D30" s="31" t="s">
        <v>109</v>
      </c>
      <c r="E30" s="63">
        <f>Plan2!D63</f>
        <v>3.3959999999999995</v>
      </c>
      <c r="F30" s="30" t="s">
        <v>110</v>
      </c>
      <c r="G30" s="32"/>
      <c r="H30" s="32"/>
      <c r="I30" s="33">
        <f>SUM(H30+G30)*E30</f>
        <v>0</v>
      </c>
    </row>
    <row r="31" spans="1:13" x14ac:dyDescent="0.25">
      <c r="A31" s="29" t="s">
        <v>94</v>
      </c>
      <c r="B31" s="30" t="s">
        <v>19</v>
      </c>
      <c r="C31" s="30">
        <v>40905</v>
      </c>
      <c r="D31" s="31" t="s">
        <v>89</v>
      </c>
      <c r="E31" s="63">
        <f>Plan2!D67</f>
        <v>2368.5500000000002</v>
      </c>
      <c r="F31" s="30" t="s">
        <v>35</v>
      </c>
      <c r="G31" s="32"/>
      <c r="H31" s="32"/>
      <c r="I31" s="33">
        <f>SUM(H31+G31)*E31</f>
        <v>0</v>
      </c>
    </row>
    <row r="32" spans="1:13" ht="15.75" thickBot="1" x14ac:dyDescent="0.3">
      <c r="A32" s="29" t="s">
        <v>111</v>
      </c>
      <c r="B32" s="30" t="s">
        <v>91</v>
      </c>
      <c r="C32" s="30">
        <v>2502</v>
      </c>
      <c r="D32" s="31" t="s">
        <v>90</v>
      </c>
      <c r="E32" s="63">
        <f>Plan2!D71</f>
        <v>28.760999999999999</v>
      </c>
      <c r="F32" s="30" t="s">
        <v>25</v>
      </c>
      <c r="G32" s="194"/>
      <c r="H32" s="195"/>
      <c r="I32" s="33">
        <f>SUM(H32+G32)*E32</f>
        <v>0</v>
      </c>
    </row>
    <row r="33" spans="1:12" s="58" customFormat="1" ht="16.5" thickBot="1" x14ac:dyDescent="0.3">
      <c r="A33" s="188" t="s">
        <v>40</v>
      </c>
      <c r="B33" s="189"/>
      <c r="C33" s="189"/>
      <c r="D33" s="189"/>
      <c r="E33" s="189"/>
      <c r="F33" s="189"/>
      <c r="G33" s="189"/>
      <c r="H33" s="189"/>
      <c r="I33" s="60">
        <f>SUM(I29:I32)</f>
        <v>0</v>
      </c>
      <c r="J33" s="67">
        <f>I33*1.2388</f>
        <v>0</v>
      </c>
      <c r="K33" s="67">
        <v>0</v>
      </c>
      <c r="L33" s="67">
        <v>0</v>
      </c>
    </row>
    <row r="34" spans="1:12" ht="15.75" thickBot="1" x14ac:dyDescent="0.3">
      <c r="A34" s="21" t="s">
        <v>10</v>
      </c>
      <c r="B34" s="22" t="s">
        <v>11</v>
      </c>
      <c r="C34" s="23" t="s">
        <v>12</v>
      </c>
      <c r="D34" s="24" t="s">
        <v>13</v>
      </c>
      <c r="E34" s="25" t="s">
        <v>14</v>
      </c>
      <c r="F34" s="21" t="s">
        <v>15</v>
      </c>
      <c r="G34" s="26" t="s">
        <v>16</v>
      </c>
      <c r="H34" s="26" t="s">
        <v>17</v>
      </c>
      <c r="I34" s="26" t="s">
        <v>18</v>
      </c>
    </row>
    <row r="35" spans="1:12" x14ac:dyDescent="0.25">
      <c r="A35" s="27">
        <v>4</v>
      </c>
      <c r="B35" s="28" t="s">
        <v>19</v>
      </c>
      <c r="C35" s="28">
        <v>50000</v>
      </c>
      <c r="D35" s="186" t="s">
        <v>95</v>
      </c>
      <c r="E35" s="186"/>
      <c r="F35" s="186"/>
      <c r="G35" s="186"/>
      <c r="H35" s="186"/>
      <c r="I35" s="187"/>
    </row>
    <row r="36" spans="1:12" x14ac:dyDescent="0.25">
      <c r="A36" s="29" t="s">
        <v>101</v>
      </c>
      <c r="B36" s="30" t="s">
        <v>19</v>
      </c>
      <c r="C36" s="30">
        <v>50901</v>
      </c>
      <c r="D36" s="31" t="s">
        <v>96</v>
      </c>
      <c r="E36" s="63">
        <f>Plan2!D76</f>
        <v>7.381000000000002</v>
      </c>
      <c r="F36" s="30" t="s">
        <v>25</v>
      </c>
      <c r="G36" s="32"/>
      <c r="H36" s="32"/>
      <c r="I36" s="33">
        <f>(G36+H36)*E36</f>
        <v>0</v>
      </c>
    </row>
    <row r="37" spans="1:12" x14ac:dyDescent="0.25">
      <c r="A37" s="29" t="s">
        <v>102</v>
      </c>
      <c r="B37" s="30" t="s">
        <v>19</v>
      </c>
      <c r="C37" s="30">
        <v>50902</v>
      </c>
      <c r="D37" s="31" t="s">
        <v>97</v>
      </c>
      <c r="E37" s="63">
        <f>Plan2!D80</f>
        <v>9.7600000000000016</v>
      </c>
      <c r="F37" s="30" t="s">
        <v>98</v>
      </c>
      <c r="G37" s="32"/>
      <c r="H37" s="32"/>
      <c r="I37" s="33">
        <f t="shared" ref="I37:I44" si="1">(G37+H37)*E37</f>
        <v>0</v>
      </c>
    </row>
    <row r="38" spans="1:12" x14ac:dyDescent="0.25">
      <c r="A38" s="29" t="s">
        <v>103</v>
      </c>
      <c r="B38" s="30" t="s">
        <v>19</v>
      </c>
      <c r="C38" s="30">
        <v>51027</v>
      </c>
      <c r="D38" s="31" t="s">
        <v>99</v>
      </c>
      <c r="E38" s="63">
        <f>Plan2!D84</f>
        <v>28.760999999999999</v>
      </c>
      <c r="F38" s="30" t="s">
        <v>37</v>
      </c>
      <c r="G38" s="32"/>
      <c r="H38" s="32"/>
      <c r="I38" s="33">
        <f t="shared" si="1"/>
        <v>0</v>
      </c>
    </row>
    <row r="39" spans="1:12" x14ac:dyDescent="0.25">
      <c r="A39" s="29" t="s">
        <v>104</v>
      </c>
      <c r="B39" s="30" t="s">
        <v>19</v>
      </c>
      <c r="C39" s="30">
        <v>51030</v>
      </c>
      <c r="D39" s="31" t="s">
        <v>100</v>
      </c>
      <c r="E39" s="63">
        <f>Plan2!D90</f>
        <v>5.6020000000000003</v>
      </c>
      <c r="F39" s="30" t="s">
        <v>37</v>
      </c>
      <c r="G39" s="32"/>
      <c r="H39" s="32"/>
      <c r="I39" s="33">
        <f t="shared" si="1"/>
        <v>0</v>
      </c>
    </row>
    <row r="40" spans="1:12" ht="30" x14ac:dyDescent="0.25">
      <c r="A40" s="29" t="s">
        <v>105</v>
      </c>
      <c r="B40" s="30" t="s">
        <v>19</v>
      </c>
      <c r="C40" s="30">
        <v>51060</v>
      </c>
      <c r="D40" s="31" t="s">
        <v>123</v>
      </c>
      <c r="E40" s="63">
        <f>Plan2!D96</f>
        <v>5.6020000000000003</v>
      </c>
      <c r="F40" s="30" t="s">
        <v>25</v>
      </c>
      <c r="G40" s="32"/>
      <c r="H40" s="32"/>
      <c r="I40" s="33">
        <f t="shared" si="1"/>
        <v>0</v>
      </c>
    </row>
    <row r="41" spans="1:12" x14ac:dyDescent="0.25">
      <c r="A41" s="29" t="s">
        <v>127</v>
      </c>
      <c r="B41" s="30" t="s">
        <v>19</v>
      </c>
      <c r="C41" s="30">
        <v>51009</v>
      </c>
      <c r="D41" s="31" t="s">
        <v>129</v>
      </c>
      <c r="E41" s="63">
        <f>Plan2!D103</f>
        <v>61.680000000000007</v>
      </c>
      <c r="F41" s="30" t="s">
        <v>23</v>
      </c>
      <c r="G41" s="32"/>
      <c r="H41" s="32"/>
      <c r="I41" s="33">
        <f t="shared" si="1"/>
        <v>0</v>
      </c>
    </row>
    <row r="42" spans="1:12" x14ac:dyDescent="0.25">
      <c r="A42" s="29" t="s">
        <v>131</v>
      </c>
      <c r="B42" s="30" t="s">
        <v>19</v>
      </c>
      <c r="C42" s="30">
        <v>50301</v>
      </c>
      <c r="D42" s="31" t="s">
        <v>130</v>
      </c>
      <c r="E42" s="63">
        <f>Plan2!D107</f>
        <v>27</v>
      </c>
      <c r="F42" s="30" t="s">
        <v>128</v>
      </c>
      <c r="G42" s="32"/>
      <c r="H42" s="32"/>
      <c r="I42" s="33">
        <f t="shared" si="1"/>
        <v>0</v>
      </c>
    </row>
    <row r="43" spans="1:12" s="58" customFormat="1" x14ac:dyDescent="0.25">
      <c r="A43" s="29" t="s">
        <v>145</v>
      </c>
      <c r="B43" s="30" t="s">
        <v>19</v>
      </c>
      <c r="C43" s="30">
        <v>52004</v>
      </c>
      <c r="D43" s="31" t="s">
        <v>135</v>
      </c>
      <c r="E43" s="63">
        <f>Plan2!D112</f>
        <v>84.174499999999995</v>
      </c>
      <c r="F43" s="30" t="s">
        <v>136</v>
      </c>
      <c r="G43" s="32"/>
      <c r="H43" s="32"/>
      <c r="I43" s="33">
        <f t="shared" si="1"/>
        <v>0</v>
      </c>
    </row>
    <row r="44" spans="1:12" s="58" customFormat="1" ht="15.75" thickBot="1" x14ac:dyDescent="0.3">
      <c r="A44" s="29" t="s">
        <v>146</v>
      </c>
      <c r="B44" s="30" t="s">
        <v>19</v>
      </c>
      <c r="C44" s="30">
        <v>52014</v>
      </c>
      <c r="D44" s="31" t="s">
        <v>141</v>
      </c>
      <c r="E44" s="63">
        <f>Plan2!D118</f>
        <v>125.17941333333333</v>
      </c>
      <c r="F44" s="30" t="s">
        <v>142</v>
      </c>
      <c r="G44" s="32"/>
      <c r="H44" s="32"/>
      <c r="I44" s="33">
        <f t="shared" si="1"/>
        <v>0</v>
      </c>
    </row>
    <row r="45" spans="1:12" s="58" customFormat="1" ht="16.5" thickBot="1" x14ac:dyDescent="0.3">
      <c r="A45" s="188" t="s">
        <v>40</v>
      </c>
      <c r="B45" s="189"/>
      <c r="C45" s="189"/>
      <c r="D45" s="189"/>
      <c r="E45" s="189"/>
      <c r="F45" s="189"/>
      <c r="G45" s="189"/>
      <c r="H45" s="189"/>
      <c r="I45" s="60">
        <f>SUM(I36:I44)</f>
        <v>0</v>
      </c>
      <c r="J45" s="67">
        <f>I45*1.2388</f>
        <v>0</v>
      </c>
      <c r="K45" s="67">
        <v>0</v>
      </c>
      <c r="L45" s="67">
        <v>0</v>
      </c>
    </row>
    <row r="46" spans="1:12" s="58" customFormat="1" ht="15.75" thickBot="1" x14ac:dyDescent="0.3">
      <c r="A46" s="21" t="s">
        <v>10</v>
      </c>
      <c r="B46" s="22" t="s">
        <v>11</v>
      </c>
      <c r="C46" s="23" t="s">
        <v>12</v>
      </c>
      <c r="D46" s="24" t="s">
        <v>13</v>
      </c>
      <c r="E46" s="25" t="s">
        <v>14</v>
      </c>
      <c r="F46" s="21" t="s">
        <v>15</v>
      </c>
      <c r="G46" s="26" t="s">
        <v>16</v>
      </c>
      <c r="H46" s="26" t="s">
        <v>17</v>
      </c>
      <c r="I46" s="26" t="s">
        <v>18</v>
      </c>
    </row>
    <row r="47" spans="1:12" s="58" customFormat="1" x14ac:dyDescent="0.25">
      <c r="A47" s="27">
        <v>5</v>
      </c>
      <c r="B47" s="28" t="s">
        <v>19</v>
      </c>
      <c r="C47" s="28">
        <v>60000</v>
      </c>
      <c r="D47" s="186" t="s">
        <v>147</v>
      </c>
      <c r="E47" s="186"/>
      <c r="F47" s="186"/>
      <c r="G47" s="186"/>
      <c r="H47" s="186"/>
      <c r="I47" s="187"/>
    </row>
    <row r="48" spans="1:12" x14ac:dyDescent="0.25">
      <c r="A48" s="29" t="s">
        <v>161</v>
      </c>
      <c r="B48" s="30" t="s">
        <v>19</v>
      </c>
      <c r="C48" s="30">
        <v>60209</v>
      </c>
      <c r="D48" s="31" t="s">
        <v>148</v>
      </c>
      <c r="E48" s="63">
        <f>Plan2!D123</f>
        <v>27.131999999999998</v>
      </c>
      <c r="F48" s="30" t="s">
        <v>23</v>
      </c>
      <c r="G48" s="32"/>
      <c r="H48" s="32"/>
      <c r="I48" s="33">
        <f t="shared" ref="I48:I53" si="2">(G48+H48)*E48</f>
        <v>0</v>
      </c>
    </row>
    <row r="49" spans="1:12" x14ac:dyDescent="0.25">
      <c r="A49" s="29" t="s">
        <v>162</v>
      </c>
      <c r="B49" s="30" t="s">
        <v>19</v>
      </c>
      <c r="C49" s="30">
        <v>60303</v>
      </c>
      <c r="D49" s="31" t="s">
        <v>151</v>
      </c>
      <c r="E49" s="63">
        <f>Plan2!D127</f>
        <v>52.179199999999994</v>
      </c>
      <c r="F49" s="30" t="s">
        <v>136</v>
      </c>
      <c r="G49" s="32"/>
      <c r="H49" s="32"/>
      <c r="I49" s="33">
        <f t="shared" si="2"/>
        <v>0</v>
      </c>
    </row>
    <row r="50" spans="1:12" x14ac:dyDescent="0.25">
      <c r="A50" s="29" t="s">
        <v>163</v>
      </c>
      <c r="B50" s="30" t="s">
        <v>19</v>
      </c>
      <c r="C50" s="30">
        <v>60304</v>
      </c>
      <c r="D50" s="31" t="s">
        <v>152</v>
      </c>
      <c r="E50" s="98">
        <f>Plan2!D131</f>
        <v>28.44</v>
      </c>
      <c r="F50" s="63" t="s">
        <v>153</v>
      </c>
      <c r="G50" s="32"/>
      <c r="H50" s="32"/>
      <c r="I50" s="33">
        <f t="shared" si="2"/>
        <v>0</v>
      </c>
    </row>
    <row r="51" spans="1:12" x14ac:dyDescent="0.25">
      <c r="A51" s="29" t="s">
        <v>164</v>
      </c>
      <c r="B51" s="30" t="s">
        <v>19</v>
      </c>
      <c r="C51" s="30">
        <v>60314</v>
      </c>
      <c r="D51" s="31" t="s">
        <v>154</v>
      </c>
      <c r="E51" s="63">
        <f>Plan2!D136</f>
        <v>31.46569066666666</v>
      </c>
      <c r="F51" s="30" t="s">
        <v>155</v>
      </c>
      <c r="G51" s="32"/>
      <c r="H51" s="32"/>
      <c r="I51" s="33">
        <f t="shared" si="2"/>
        <v>0</v>
      </c>
    </row>
    <row r="52" spans="1:12" x14ac:dyDescent="0.25">
      <c r="A52" s="29" t="s">
        <v>165</v>
      </c>
      <c r="B52" s="30" t="s">
        <v>19</v>
      </c>
      <c r="C52" s="30">
        <v>60517</v>
      </c>
      <c r="D52" s="31" t="s">
        <v>158</v>
      </c>
      <c r="E52" s="63">
        <f>Plan2!D140</f>
        <v>1.9307999999999998</v>
      </c>
      <c r="F52" s="30" t="s">
        <v>159</v>
      </c>
      <c r="G52" s="32"/>
      <c r="H52" s="32"/>
      <c r="I52" s="33">
        <f t="shared" si="2"/>
        <v>0</v>
      </c>
    </row>
    <row r="53" spans="1:12" ht="30.75" thickBot="1" x14ac:dyDescent="0.3">
      <c r="A53" s="29" t="s">
        <v>166</v>
      </c>
      <c r="B53" s="30" t="s">
        <v>19</v>
      </c>
      <c r="C53" s="83">
        <v>60800</v>
      </c>
      <c r="D53" s="31" t="s">
        <v>160</v>
      </c>
      <c r="E53" s="63">
        <f>Plan2!D144</f>
        <v>1.9307999999999998</v>
      </c>
      <c r="F53" s="30" t="s">
        <v>37</v>
      </c>
      <c r="G53" s="32"/>
      <c r="H53" s="32"/>
      <c r="I53" s="33">
        <f t="shared" si="2"/>
        <v>0</v>
      </c>
    </row>
    <row r="54" spans="1:12" s="58" customFormat="1" ht="16.5" thickBot="1" x14ac:dyDescent="0.3">
      <c r="A54" s="188" t="s">
        <v>40</v>
      </c>
      <c r="B54" s="189"/>
      <c r="C54" s="189"/>
      <c r="D54" s="189"/>
      <c r="E54" s="189"/>
      <c r="F54" s="189"/>
      <c r="G54" s="189"/>
      <c r="H54" s="189"/>
      <c r="I54" s="60">
        <f>SUM(I48:I53)</f>
        <v>0</v>
      </c>
      <c r="J54" s="67">
        <f>I54*1.2388</f>
        <v>0</v>
      </c>
      <c r="K54" s="67">
        <v>0</v>
      </c>
      <c r="L54" s="67">
        <v>0</v>
      </c>
    </row>
    <row r="55" spans="1:12" ht="15.75" thickBot="1" x14ac:dyDescent="0.3">
      <c r="A55" s="21" t="s">
        <v>10</v>
      </c>
      <c r="B55" s="22" t="s">
        <v>11</v>
      </c>
      <c r="C55" s="23" t="s">
        <v>12</v>
      </c>
      <c r="D55" s="24" t="s">
        <v>13</v>
      </c>
      <c r="E55" s="25" t="s">
        <v>14</v>
      </c>
      <c r="F55" s="21" t="s">
        <v>15</v>
      </c>
      <c r="G55" s="26" t="s">
        <v>16</v>
      </c>
      <c r="H55" s="26" t="s">
        <v>17</v>
      </c>
      <c r="I55" s="26" t="s">
        <v>18</v>
      </c>
    </row>
    <row r="56" spans="1:12" x14ac:dyDescent="0.25">
      <c r="A56" s="27">
        <v>6</v>
      </c>
      <c r="B56" s="28" t="s">
        <v>19</v>
      </c>
      <c r="C56" s="28">
        <v>70000</v>
      </c>
      <c r="D56" s="186" t="s">
        <v>167</v>
      </c>
      <c r="E56" s="186"/>
      <c r="F56" s="186"/>
      <c r="G56" s="186"/>
      <c r="H56" s="186"/>
      <c r="I56" s="187"/>
    </row>
    <row r="57" spans="1:12" ht="45" x14ac:dyDescent="0.25">
      <c r="A57" s="29" t="s">
        <v>375</v>
      </c>
      <c r="B57" s="30" t="s">
        <v>19</v>
      </c>
      <c r="C57" s="30">
        <v>71991</v>
      </c>
      <c r="D57" s="31" t="s">
        <v>382</v>
      </c>
      <c r="E57" s="63">
        <v>12</v>
      </c>
      <c r="F57" s="30" t="s">
        <v>299</v>
      </c>
      <c r="G57" s="32"/>
      <c r="H57" s="32"/>
      <c r="I57" s="33">
        <f>(H57+G57)*E57</f>
        <v>0</v>
      </c>
    </row>
    <row r="58" spans="1:12" s="58" customFormat="1" x14ac:dyDescent="0.25">
      <c r="A58" s="29" t="s">
        <v>376</v>
      </c>
      <c r="B58" s="30" t="s">
        <v>19</v>
      </c>
      <c r="C58" s="30">
        <v>72366</v>
      </c>
      <c r="D58" s="31" t="s">
        <v>374</v>
      </c>
      <c r="E58" s="63">
        <v>2</v>
      </c>
      <c r="F58" s="30" t="s">
        <v>299</v>
      </c>
      <c r="G58" s="32"/>
      <c r="H58" s="32"/>
      <c r="I58" s="33">
        <f>(H58+G58)*E58</f>
        <v>0</v>
      </c>
    </row>
    <row r="59" spans="1:12" s="58" customFormat="1" x14ac:dyDescent="0.25">
      <c r="A59" s="29" t="s">
        <v>377</v>
      </c>
      <c r="B59" s="30" t="s">
        <v>19</v>
      </c>
      <c r="C59" s="30">
        <v>72369</v>
      </c>
      <c r="D59" s="31" t="s">
        <v>368</v>
      </c>
      <c r="E59" s="63">
        <v>10</v>
      </c>
      <c r="F59" s="30" t="s">
        <v>299</v>
      </c>
      <c r="G59" s="32"/>
      <c r="H59" s="32"/>
      <c r="I59" s="33">
        <f t="shared" ref="I59:I68" si="3">(H59+G59)*E59</f>
        <v>0</v>
      </c>
    </row>
    <row r="60" spans="1:12" s="58" customFormat="1" ht="30" x14ac:dyDescent="0.25">
      <c r="A60" s="29" t="s">
        <v>378</v>
      </c>
      <c r="B60" s="30" t="s">
        <v>372</v>
      </c>
      <c r="C60" s="30">
        <v>101637</v>
      </c>
      <c r="D60" s="31" t="s">
        <v>383</v>
      </c>
      <c r="E60" s="63">
        <v>2</v>
      </c>
      <c r="F60" s="30" t="s">
        <v>369</v>
      </c>
      <c r="G60" s="194"/>
      <c r="H60" s="195"/>
      <c r="I60" s="33">
        <f t="shared" si="3"/>
        <v>0</v>
      </c>
    </row>
    <row r="61" spans="1:12" s="58" customFormat="1" ht="30" x14ac:dyDescent="0.25">
      <c r="A61" s="29" t="s">
        <v>379</v>
      </c>
      <c r="B61" s="30" t="s">
        <v>373</v>
      </c>
      <c r="C61" s="30">
        <v>101657</v>
      </c>
      <c r="D61" s="31" t="s">
        <v>384</v>
      </c>
      <c r="E61" s="63">
        <f>44</f>
        <v>44</v>
      </c>
      <c r="F61" s="30" t="s">
        <v>369</v>
      </c>
      <c r="G61" s="194"/>
      <c r="H61" s="195"/>
      <c r="I61" s="33">
        <f t="shared" si="3"/>
        <v>0</v>
      </c>
    </row>
    <row r="62" spans="1:12" x14ac:dyDescent="0.25">
      <c r="A62" s="29" t="s">
        <v>380</v>
      </c>
      <c r="B62" s="30" t="s">
        <v>39</v>
      </c>
      <c r="C62" s="30">
        <v>39389</v>
      </c>
      <c r="D62" s="31" t="s">
        <v>370</v>
      </c>
      <c r="E62" s="63">
        <v>41</v>
      </c>
      <c r="F62" s="30" t="s">
        <v>369</v>
      </c>
      <c r="G62" s="194"/>
      <c r="H62" s="195"/>
      <c r="I62" s="33">
        <f t="shared" si="3"/>
        <v>0</v>
      </c>
    </row>
    <row r="63" spans="1:12" x14ac:dyDescent="0.25">
      <c r="A63" s="29" t="s">
        <v>381</v>
      </c>
      <c r="B63" s="30" t="s">
        <v>39</v>
      </c>
      <c r="C63" s="30">
        <v>39391</v>
      </c>
      <c r="D63" s="31" t="s">
        <v>371</v>
      </c>
      <c r="E63" s="63">
        <v>1</v>
      </c>
      <c r="F63" s="30" t="s">
        <v>369</v>
      </c>
      <c r="G63" s="194"/>
      <c r="H63" s="195"/>
      <c r="I63" s="33">
        <f t="shared" si="3"/>
        <v>0</v>
      </c>
    </row>
    <row r="64" spans="1:12" s="58" customFormat="1" x14ac:dyDescent="0.25">
      <c r="A64" s="29" t="s">
        <v>394</v>
      </c>
      <c r="B64" s="30" t="s">
        <v>19</v>
      </c>
      <c r="C64" s="30">
        <v>71193</v>
      </c>
      <c r="D64" s="31" t="s">
        <v>389</v>
      </c>
      <c r="E64" s="63">
        <v>151.18</v>
      </c>
      <c r="F64" s="30" t="s">
        <v>128</v>
      </c>
      <c r="G64" s="32"/>
      <c r="H64" s="32"/>
      <c r="I64" s="33">
        <f t="shared" si="3"/>
        <v>0</v>
      </c>
    </row>
    <row r="65" spans="1:12" s="58" customFormat="1" x14ac:dyDescent="0.25">
      <c r="A65" s="29" t="s">
        <v>395</v>
      </c>
      <c r="B65" s="30" t="s">
        <v>19</v>
      </c>
      <c r="C65" s="30">
        <v>71194</v>
      </c>
      <c r="D65" s="31" t="s">
        <v>390</v>
      </c>
      <c r="E65" s="63">
        <v>318.77</v>
      </c>
      <c r="F65" s="30" t="s">
        <v>302</v>
      </c>
      <c r="G65" s="32"/>
      <c r="H65" s="32"/>
      <c r="I65" s="33">
        <f t="shared" si="3"/>
        <v>0</v>
      </c>
    </row>
    <row r="66" spans="1:12" s="58" customFormat="1" x14ac:dyDescent="0.25">
      <c r="A66" s="29" t="s">
        <v>396</v>
      </c>
      <c r="B66" s="30" t="s">
        <v>19</v>
      </c>
      <c r="C66" s="30">
        <v>70582</v>
      </c>
      <c r="D66" s="31" t="s">
        <v>391</v>
      </c>
      <c r="E66" s="63">
        <f>151.18*2</f>
        <v>302.36</v>
      </c>
      <c r="F66" s="63" t="s">
        <v>180</v>
      </c>
      <c r="G66" s="32"/>
      <c r="H66" s="32"/>
      <c r="I66" s="33">
        <f t="shared" si="3"/>
        <v>0</v>
      </c>
    </row>
    <row r="67" spans="1:12" s="58" customFormat="1" x14ac:dyDescent="0.25">
      <c r="A67" s="29" t="s">
        <v>397</v>
      </c>
      <c r="B67" s="30" t="s">
        <v>19</v>
      </c>
      <c r="C67" s="30">
        <v>70583</v>
      </c>
      <c r="D67" s="31" t="s">
        <v>392</v>
      </c>
      <c r="E67" s="63">
        <f>318.77*4</f>
        <v>1275.08</v>
      </c>
      <c r="F67" s="97" t="s">
        <v>386</v>
      </c>
      <c r="G67" s="32"/>
      <c r="H67" s="32"/>
      <c r="I67" s="33">
        <f t="shared" si="3"/>
        <v>0</v>
      </c>
    </row>
    <row r="68" spans="1:12" s="58" customFormat="1" ht="15.75" thickBot="1" x14ac:dyDescent="0.3">
      <c r="A68" s="29" t="s">
        <v>398</v>
      </c>
      <c r="B68" s="30" t="s">
        <v>19</v>
      </c>
      <c r="C68" s="30">
        <v>72320</v>
      </c>
      <c r="D68" s="31" t="s">
        <v>393</v>
      </c>
      <c r="E68" s="63">
        <v>1</v>
      </c>
      <c r="F68" s="30" t="s">
        <v>299</v>
      </c>
      <c r="G68" s="32"/>
      <c r="H68" s="32"/>
      <c r="I68" s="33">
        <f t="shared" si="3"/>
        <v>0</v>
      </c>
    </row>
    <row r="69" spans="1:12" s="58" customFormat="1" ht="16.5" thickBot="1" x14ac:dyDescent="0.3">
      <c r="A69" s="188" t="s">
        <v>40</v>
      </c>
      <c r="B69" s="189"/>
      <c r="C69" s="189"/>
      <c r="D69" s="189"/>
      <c r="E69" s="189"/>
      <c r="F69" s="189"/>
      <c r="G69" s="189"/>
      <c r="H69" s="189"/>
      <c r="I69" s="60">
        <f>SUM(I57:I68)</f>
        <v>0</v>
      </c>
      <c r="J69" s="67">
        <f>I69*1.2388</f>
        <v>0</v>
      </c>
      <c r="K69" s="67">
        <v>0</v>
      </c>
      <c r="L69" s="67">
        <v>0</v>
      </c>
    </row>
    <row r="70" spans="1:12" ht="15.75" thickBot="1" x14ac:dyDescent="0.3">
      <c r="A70" s="21" t="s">
        <v>10</v>
      </c>
      <c r="B70" s="22" t="s">
        <v>11</v>
      </c>
      <c r="C70" s="23" t="s">
        <v>12</v>
      </c>
      <c r="D70" s="24" t="s">
        <v>13</v>
      </c>
      <c r="E70" s="25" t="s">
        <v>14</v>
      </c>
      <c r="F70" s="21" t="s">
        <v>15</v>
      </c>
      <c r="G70" s="26" t="s">
        <v>16</v>
      </c>
      <c r="H70" s="26" t="s">
        <v>17</v>
      </c>
      <c r="I70" s="26" t="s">
        <v>18</v>
      </c>
    </row>
    <row r="71" spans="1:12" x14ac:dyDescent="0.25">
      <c r="A71" s="27">
        <v>7</v>
      </c>
      <c r="B71" s="28" t="s">
        <v>19</v>
      </c>
      <c r="C71" s="28">
        <v>80000</v>
      </c>
      <c r="D71" s="186" t="s">
        <v>168</v>
      </c>
      <c r="E71" s="186"/>
      <c r="F71" s="186"/>
      <c r="G71" s="186"/>
      <c r="H71" s="186"/>
      <c r="I71" s="187"/>
    </row>
    <row r="72" spans="1:12" x14ac:dyDescent="0.25">
      <c r="A72" s="29" t="s">
        <v>307</v>
      </c>
      <c r="B72" s="30" t="s">
        <v>19</v>
      </c>
      <c r="C72" s="30">
        <v>80811</v>
      </c>
      <c r="D72" s="31" t="s">
        <v>298</v>
      </c>
      <c r="E72" s="63">
        <v>1</v>
      </c>
      <c r="F72" s="30" t="s">
        <v>265</v>
      </c>
      <c r="G72" s="32"/>
      <c r="H72" s="32"/>
      <c r="I72" s="33">
        <f>(H72+G72)*E72</f>
        <v>0</v>
      </c>
    </row>
    <row r="73" spans="1:12" s="58" customFormat="1" x14ac:dyDescent="0.25">
      <c r="A73" s="29" t="s">
        <v>308</v>
      </c>
      <c r="B73" s="30" t="s">
        <v>19</v>
      </c>
      <c r="C73" s="30">
        <v>80902</v>
      </c>
      <c r="D73" s="31" t="s">
        <v>300</v>
      </c>
      <c r="E73" s="63">
        <v>1</v>
      </c>
      <c r="F73" s="30" t="s">
        <v>265</v>
      </c>
      <c r="G73" s="32"/>
      <c r="H73" s="32"/>
      <c r="I73" s="33">
        <f t="shared" ref="I73:I79" si="4">(H73+G73)*E73</f>
        <v>0</v>
      </c>
    </row>
    <row r="74" spans="1:12" s="58" customFormat="1" x14ac:dyDescent="0.25">
      <c r="A74" s="29" t="s">
        <v>309</v>
      </c>
      <c r="B74" s="30" t="s">
        <v>19</v>
      </c>
      <c r="C74" s="30">
        <v>81003</v>
      </c>
      <c r="D74" s="31" t="s">
        <v>301</v>
      </c>
      <c r="E74" s="63">
        <v>10</v>
      </c>
      <c r="F74" s="30" t="s">
        <v>302</v>
      </c>
      <c r="G74" s="32"/>
      <c r="H74" s="32"/>
      <c r="I74" s="33">
        <f t="shared" si="4"/>
        <v>0</v>
      </c>
    </row>
    <row r="75" spans="1:12" s="58" customFormat="1" x14ac:dyDescent="0.25">
      <c r="A75" s="29" t="s">
        <v>310</v>
      </c>
      <c r="B75" s="30" t="s">
        <v>19</v>
      </c>
      <c r="C75" s="30">
        <v>81321</v>
      </c>
      <c r="D75" s="31" t="s">
        <v>303</v>
      </c>
      <c r="E75" s="63">
        <v>4</v>
      </c>
      <c r="F75" s="30" t="s">
        <v>265</v>
      </c>
      <c r="G75" s="32"/>
      <c r="H75" s="32"/>
      <c r="I75" s="33">
        <f t="shared" si="4"/>
        <v>0</v>
      </c>
    </row>
    <row r="76" spans="1:12" s="58" customFormat="1" x14ac:dyDescent="0.25">
      <c r="A76" s="29" t="s">
        <v>311</v>
      </c>
      <c r="B76" s="30" t="s">
        <v>19</v>
      </c>
      <c r="C76" s="30">
        <v>81102</v>
      </c>
      <c r="D76" s="31" t="s">
        <v>304</v>
      </c>
      <c r="E76" s="63">
        <v>1</v>
      </c>
      <c r="F76" s="30" t="s">
        <v>265</v>
      </c>
      <c r="G76" s="32"/>
      <c r="H76" s="32"/>
      <c r="I76" s="33">
        <f t="shared" si="4"/>
        <v>0</v>
      </c>
    </row>
    <row r="77" spans="1:12" x14ac:dyDescent="0.25">
      <c r="A77" s="29" t="s">
        <v>312</v>
      </c>
      <c r="B77" s="30" t="s">
        <v>19</v>
      </c>
      <c r="C77" s="30">
        <v>81360</v>
      </c>
      <c r="D77" s="31" t="s">
        <v>305</v>
      </c>
      <c r="E77" s="63">
        <v>1</v>
      </c>
      <c r="F77" s="30" t="s">
        <v>265</v>
      </c>
      <c r="G77" s="32"/>
      <c r="H77" s="32"/>
      <c r="I77" s="33">
        <f t="shared" si="4"/>
        <v>0</v>
      </c>
    </row>
    <row r="78" spans="1:12" s="58" customFormat="1" x14ac:dyDescent="0.25">
      <c r="A78" s="29" t="s">
        <v>313</v>
      </c>
      <c r="B78" s="30" t="s">
        <v>19</v>
      </c>
      <c r="C78" s="30">
        <v>81811</v>
      </c>
      <c r="D78" s="31" t="s">
        <v>306</v>
      </c>
      <c r="E78" s="63">
        <v>1</v>
      </c>
      <c r="F78" s="30" t="s">
        <v>265</v>
      </c>
      <c r="G78" s="32"/>
      <c r="H78" s="32"/>
      <c r="I78" s="33">
        <f t="shared" si="4"/>
        <v>0</v>
      </c>
    </row>
    <row r="79" spans="1:12" ht="15.75" thickBot="1" x14ac:dyDescent="0.3">
      <c r="A79" s="29" t="s">
        <v>314</v>
      </c>
      <c r="B79" s="30" t="s">
        <v>19</v>
      </c>
      <c r="C79" s="30">
        <v>81815</v>
      </c>
      <c r="D79" s="31" t="s">
        <v>316</v>
      </c>
      <c r="E79" s="63">
        <v>1</v>
      </c>
      <c r="F79" s="30" t="s">
        <v>265</v>
      </c>
      <c r="G79" s="32"/>
      <c r="H79" s="32"/>
      <c r="I79" s="33">
        <f t="shared" si="4"/>
        <v>0</v>
      </c>
    </row>
    <row r="80" spans="1:12" s="58" customFormat="1" ht="16.5" thickBot="1" x14ac:dyDescent="0.3">
      <c r="A80" s="188" t="s">
        <v>40</v>
      </c>
      <c r="B80" s="189"/>
      <c r="C80" s="189"/>
      <c r="D80" s="189"/>
      <c r="E80" s="189"/>
      <c r="F80" s="189"/>
      <c r="G80" s="189"/>
      <c r="H80" s="189"/>
      <c r="I80" s="60">
        <f>SUM(I72:I79)</f>
        <v>0</v>
      </c>
      <c r="J80" s="67">
        <f>I80*1.2388</f>
        <v>0</v>
      </c>
      <c r="K80" s="67">
        <v>0</v>
      </c>
      <c r="L80" s="67">
        <v>0</v>
      </c>
    </row>
    <row r="81" spans="1:12" ht="15.75" thickBot="1" x14ac:dyDescent="0.3">
      <c r="A81" s="21" t="s">
        <v>10</v>
      </c>
      <c r="B81" s="22" t="s">
        <v>11</v>
      </c>
      <c r="C81" s="23" t="s">
        <v>12</v>
      </c>
      <c r="D81" s="24" t="s">
        <v>13</v>
      </c>
      <c r="E81" s="25" t="s">
        <v>14</v>
      </c>
      <c r="F81" s="21" t="s">
        <v>15</v>
      </c>
      <c r="G81" s="26" t="s">
        <v>16</v>
      </c>
      <c r="H81" s="26" t="s">
        <v>17</v>
      </c>
      <c r="I81" s="26" t="s">
        <v>18</v>
      </c>
    </row>
    <row r="82" spans="1:12" x14ac:dyDescent="0.25">
      <c r="A82" s="27">
        <v>8</v>
      </c>
      <c r="B82" s="28" t="s">
        <v>19</v>
      </c>
      <c r="C82" s="28">
        <v>100000</v>
      </c>
      <c r="D82" s="186" t="s">
        <v>169</v>
      </c>
      <c r="E82" s="186"/>
      <c r="F82" s="186"/>
      <c r="G82" s="186"/>
      <c r="H82" s="186"/>
      <c r="I82" s="187"/>
    </row>
    <row r="83" spans="1:12" ht="30.75" thickBot="1" x14ac:dyDescent="0.3">
      <c r="A83" s="29" t="s">
        <v>173</v>
      </c>
      <c r="B83" s="30" t="s">
        <v>19</v>
      </c>
      <c r="C83" s="30">
        <v>100160</v>
      </c>
      <c r="D83" s="31" t="s">
        <v>170</v>
      </c>
      <c r="E83" s="63">
        <f>Plan2!D171</f>
        <v>52.599999999999994</v>
      </c>
      <c r="F83" s="30" t="s">
        <v>23</v>
      </c>
      <c r="G83" s="32"/>
      <c r="H83" s="32"/>
      <c r="I83" s="33">
        <f>(G83+H83)*E83</f>
        <v>0</v>
      </c>
    </row>
    <row r="84" spans="1:12" s="58" customFormat="1" ht="16.5" thickBot="1" x14ac:dyDescent="0.3">
      <c r="A84" s="188" t="s">
        <v>40</v>
      </c>
      <c r="B84" s="189"/>
      <c r="C84" s="189"/>
      <c r="D84" s="189"/>
      <c r="E84" s="189"/>
      <c r="F84" s="189"/>
      <c r="G84" s="189"/>
      <c r="H84" s="189"/>
      <c r="I84" s="60">
        <f>SUM(I83)</f>
        <v>0</v>
      </c>
      <c r="J84" s="67">
        <f>I84*1.2388</f>
        <v>0</v>
      </c>
      <c r="K84" s="67">
        <v>0</v>
      </c>
      <c r="L84" s="67">
        <v>0</v>
      </c>
    </row>
    <row r="85" spans="1:12" ht="15.75" thickBot="1" x14ac:dyDescent="0.3">
      <c r="A85" s="21" t="s">
        <v>10</v>
      </c>
      <c r="B85" s="22" t="s">
        <v>11</v>
      </c>
      <c r="C85" s="23" t="s">
        <v>12</v>
      </c>
      <c r="D85" s="24" t="s">
        <v>13</v>
      </c>
      <c r="E85" s="25" t="s">
        <v>14</v>
      </c>
      <c r="F85" s="21" t="s">
        <v>15</v>
      </c>
      <c r="G85" s="26" t="s">
        <v>16</v>
      </c>
      <c r="H85" s="26" t="s">
        <v>17</v>
      </c>
      <c r="I85" s="26" t="s">
        <v>18</v>
      </c>
    </row>
    <row r="86" spans="1:12" x14ac:dyDescent="0.25">
      <c r="A86" s="27">
        <v>9</v>
      </c>
      <c r="B86" s="28" t="s">
        <v>19</v>
      </c>
      <c r="C86" s="28">
        <v>120000</v>
      </c>
      <c r="D86" s="186" t="s">
        <v>174</v>
      </c>
      <c r="E86" s="186"/>
      <c r="F86" s="186"/>
      <c r="G86" s="186"/>
      <c r="H86" s="186"/>
      <c r="I86" s="187"/>
    </row>
    <row r="87" spans="1:12" ht="15.75" thickBot="1" x14ac:dyDescent="0.3">
      <c r="A87" s="29" t="s">
        <v>176</v>
      </c>
      <c r="B87" s="30" t="s">
        <v>19</v>
      </c>
      <c r="C87" s="30">
        <v>120902</v>
      </c>
      <c r="D87" s="31" t="s">
        <v>175</v>
      </c>
      <c r="E87" s="63">
        <f>Plan2!D176</f>
        <v>22.64</v>
      </c>
      <c r="F87" s="30" t="s">
        <v>98</v>
      </c>
      <c r="G87" s="32"/>
      <c r="H87" s="32"/>
      <c r="I87" s="33">
        <f>(H87+G87)*E87</f>
        <v>0</v>
      </c>
    </row>
    <row r="88" spans="1:12" s="58" customFormat="1" ht="16.5" thickBot="1" x14ac:dyDescent="0.3">
      <c r="A88" s="188" t="s">
        <v>40</v>
      </c>
      <c r="B88" s="189"/>
      <c r="C88" s="189"/>
      <c r="D88" s="189"/>
      <c r="E88" s="189"/>
      <c r="F88" s="189"/>
      <c r="G88" s="189"/>
      <c r="H88" s="189"/>
      <c r="I88" s="60">
        <f>SUM(I87)</f>
        <v>0</v>
      </c>
      <c r="J88" s="67">
        <f>I88*1.2388</f>
        <v>0</v>
      </c>
      <c r="K88" s="67">
        <v>0</v>
      </c>
      <c r="L88" s="67">
        <v>0</v>
      </c>
    </row>
    <row r="89" spans="1:12" ht="15.75" thickBot="1" x14ac:dyDescent="0.3">
      <c r="A89" s="21" t="s">
        <v>10</v>
      </c>
      <c r="B89" s="22" t="s">
        <v>11</v>
      </c>
      <c r="C89" s="23" t="s">
        <v>12</v>
      </c>
      <c r="D89" s="24" t="s">
        <v>13</v>
      </c>
      <c r="E89" s="25" t="s">
        <v>14</v>
      </c>
      <c r="F89" s="21" t="s">
        <v>15</v>
      </c>
      <c r="G89" s="26" t="s">
        <v>16</v>
      </c>
      <c r="H89" s="26" t="s">
        <v>17</v>
      </c>
      <c r="I89" s="26" t="s">
        <v>18</v>
      </c>
    </row>
    <row r="90" spans="1:12" x14ac:dyDescent="0.25">
      <c r="A90" s="27">
        <v>10</v>
      </c>
      <c r="B90" s="28" t="s">
        <v>19</v>
      </c>
      <c r="C90" s="28">
        <v>140000</v>
      </c>
      <c r="D90" s="186" t="s">
        <v>179</v>
      </c>
      <c r="E90" s="186"/>
      <c r="F90" s="186"/>
      <c r="G90" s="186"/>
      <c r="H90" s="186"/>
      <c r="I90" s="187"/>
    </row>
    <row r="91" spans="1:12" ht="30" x14ac:dyDescent="0.25">
      <c r="A91" s="29" t="s">
        <v>198</v>
      </c>
      <c r="B91" s="30" t="s">
        <v>182</v>
      </c>
      <c r="C91" s="30">
        <v>35275</v>
      </c>
      <c r="D91" s="31" t="s">
        <v>181</v>
      </c>
      <c r="E91" s="63">
        <f>Plan2!D181</f>
        <v>188</v>
      </c>
      <c r="F91" s="30" t="s">
        <v>180</v>
      </c>
      <c r="G91" s="194"/>
      <c r="H91" s="195"/>
      <c r="I91" s="33">
        <f>(G91)*E91</f>
        <v>0</v>
      </c>
    </row>
    <row r="92" spans="1:12" x14ac:dyDescent="0.25">
      <c r="A92" s="29" t="s">
        <v>199</v>
      </c>
      <c r="B92" s="30" t="s">
        <v>91</v>
      </c>
      <c r="C92" s="30">
        <v>2132</v>
      </c>
      <c r="D92" s="31" t="s">
        <v>185</v>
      </c>
      <c r="E92" s="63">
        <f>Plan2!D185</f>
        <v>118.19999999999999</v>
      </c>
      <c r="F92" s="30" t="s">
        <v>186</v>
      </c>
      <c r="G92" s="194"/>
      <c r="H92" s="195"/>
      <c r="I92" s="33">
        <f>(G92)*E92</f>
        <v>0</v>
      </c>
    </row>
    <row r="93" spans="1:12" ht="15.75" thickBot="1" x14ac:dyDescent="0.3">
      <c r="A93" s="29" t="s">
        <v>200</v>
      </c>
      <c r="B93" s="30" t="s">
        <v>91</v>
      </c>
      <c r="C93" s="30">
        <v>2133</v>
      </c>
      <c r="D93" s="31" t="s">
        <v>315</v>
      </c>
      <c r="E93" s="63">
        <f>Plan2!D188</f>
        <v>30</v>
      </c>
      <c r="F93" s="30" t="s">
        <v>189</v>
      </c>
      <c r="G93" s="194"/>
      <c r="H93" s="195"/>
      <c r="I93" s="33">
        <f>(G93)*E93</f>
        <v>0</v>
      </c>
    </row>
    <row r="94" spans="1:12" s="58" customFormat="1" ht="16.5" thickBot="1" x14ac:dyDescent="0.3">
      <c r="A94" s="188" t="s">
        <v>40</v>
      </c>
      <c r="B94" s="189"/>
      <c r="C94" s="189"/>
      <c r="D94" s="189"/>
      <c r="E94" s="189"/>
      <c r="F94" s="189"/>
      <c r="G94" s="189"/>
      <c r="H94" s="189"/>
      <c r="I94" s="60">
        <f>SUM(I91:I93)</f>
        <v>0</v>
      </c>
      <c r="J94" s="67">
        <f>I94*1.2388</f>
        <v>0</v>
      </c>
      <c r="K94" s="67">
        <v>0</v>
      </c>
      <c r="L94" s="67">
        <v>0</v>
      </c>
    </row>
    <row r="95" spans="1:12" s="58" customFormat="1" ht="15.75" thickBot="1" x14ac:dyDescent="0.3">
      <c r="A95" s="21" t="s">
        <v>10</v>
      </c>
      <c r="B95" s="22" t="s">
        <v>11</v>
      </c>
      <c r="C95" s="23" t="s">
        <v>12</v>
      </c>
      <c r="D95" s="24" t="s">
        <v>13</v>
      </c>
      <c r="E95" s="25" t="s">
        <v>14</v>
      </c>
      <c r="F95" s="21" t="s">
        <v>15</v>
      </c>
      <c r="G95" s="26" t="s">
        <v>16</v>
      </c>
      <c r="H95" s="26" t="s">
        <v>17</v>
      </c>
      <c r="I95" s="26" t="s">
        <v>18</v>
      </c>
    </row>
    <row r="96" spans="1:12" s="58" customFormat="1" x14ac:dyDescent="0.25">
      <c r="A96" s="27">
        <v>11</v>
      </c>
      <c r="B96" s="28" t="s">
        <v>19</v>
      </c>
      <c r="C96" s="28">
        <v>180000</v>
      </c>
      <c r="D96" s="186" t="s">
        <v>190</v>
      </c>
      <c r="E96" s="186"/>
      <c r="F96" s="186"/>
      <c r="G96" s="186"/>
      <c r="H96" s="186"/>
      <c r="I96" s="187"/>
    </row>
    <row r="97" spans="1:12" x14ac:dyDescent="0.25">
      <c r="A97" s="29" t="s">
        <v>201</v>
      </c>
      <c r="B97" s="30" t="s">
        <v>19</v>
      </c>
      <c r="C97" s="30">
        <v>180313</v>
      </c>
      <c r="D97" s="31" t="s">
        <v>191</v>
      </c>
      <c r="E97" s="63">
        <f>Plan2!D193</f>
        <v>32.870000000000005</v>
      </c>
      <c r="F97" s="30" t="s">
        <v>23</v>
      </c>
      <c r="G97" s="32"/>
      <c r="H97" s="32"/>
      <c r="I97" s="33">
        <f>(G97+H97)*E97</f>
        <v>0</v>
      </c>
    </row>
    <row r="98" spans="1:12" s="58" customFormat="1" ht="15.75" thickBot="1" x14ac:dyDescent="0.3">
      <c r="A98" s="29" t="s">
        <v>387</v>
      </c>
      <c r="B98" s="30" t="s">
        <v>19</v>
      </c>
      <c r="C98" s="30">
        <v>180318</v>
      </c>
      <c r="D98" s="31" t="s">
        <v>385</v>
      </c>
      <c r="E98" s="63">
        <f>Plan2!D196</f>
        <v>5</v>
      </c>
      <c r="F98" s="30" t="s">
        <v>386</v>
      </c>
      <c r="G98" s="32"/>
      <c r="H98" s="32"/>
      <c r="I98" s="33">
        <f>(G98+H98)*E98</f>
        <v>0</v>
      </c>
    </row>
    <row r="99" spans="1:12" s="58" customFormat="1" ht="16.5" thickBot="1" x14ac:dyDescent="0.3">
      <c r="A99" s="188" t="s">
        <v>40</v>
      </c>
      <c r="B99" s="189"/>
      <c r="C99" s="189"/>
      <c r="D99" s="189"/>
      <c r="E99" s="189"/>
      <c r="F99" s="189"/>
      <c r="G99" s="189"/>
      <c r="H99" s="189"/>
      <c r="I99" s="60">
        <f>SUM(I97:I98)</f>
        <v>0</v>
      </c>
      <c r="J99" s="67">
        <f>I99*1.2388</f>
        <v>0</v>
      </c>
      <c r="K99" s="67">
        <v>0</v>
      </c>
      <c r="L99" s="67">
        <v>0</v>
      </c>
    </row>
    <row r="100" spans="1:12" ht="15.75" thickBot="1" x14ac:dyDescent="0.3">
      <c r="A100" s="21" t="s">
        <v>10</v>
      </c>
      <c r="B100" s="22" t="s">
        <v>11</v>
      </c>
      <c r="C100" s="23" t="s">
        <v>12</v>
      </c>
      <c r="D100" s="24" t="s">
        <v>13</v>
      </c>
      <c r="E100" s="25" t="s">
        <v>14</v>
      </c>
      <c r="F100" s="21" t="s">
        <v>15</v>
      </c>
      <c r="G100" s="26" t="s">
        <v>16</v>
      </c>
      <c r="H100" s="26" t="s">
        <v>17</v>
      </c>
      <c r="I100" s="26" t="s">
        <v>18</v>
      </c>
    </row>
    <row r="101" spans="1:12" x14ac:dyDescent="0.25">
      <c r="A101" s="27">
        <v>12</v>
      </c>
      <c r="B101" s="28" t="s">
        <v>19</v>
      </c>
      <c r="C101" s="28">
        <v>200000</v>
      </c>
      <c r="D101" s="186" t="s">
        <v>194</v>
      </c>
      <c r="E101" s="186"/>
      <c r="F101" s="186"/>
      <c r="G101" s="186"/>
      <c r="H101" s="186"/>
      <c r="I101" s="187"/>
    </row>
    <row r="102" spans="1:12" x14ac:dyDescent="0.25">
      <c r="A102" s="29" t="s">
        <v>202</v>
      </c>
      <c r="B102" s="30" t="s">
        <v>19</v>
      </c>
      <c r="C102" s="30">
        <v>200101</v>
      </c>
      <c r="D102" s="31" t="s">
        <v>196</v>
      </c>
      <c r="E102" s="63">
        <f>Plan2!D200</f>
        <v>105.19999999999999</v>
      </c>
      <c r="F102" s="30" t="s">
        <v>35</v>
      </c>
      <c r="G102" s="32"/>
      <c r="H102" s="32"/>
      <c r="I102" s="33">
        <f>(G102+H102)*E102</f>
        <v>0</v>
      </c>
    </row>
    <row r="103" spans="1:12" ht="15.75" thickBot="1" x14ac:dyDescent="0.3">
      <c r="A103" s="29" t="s">
        <v>203</v>
      </c>
      <c r="B103" s="30" t="s">
        <v>19</v>
      </c>
      <c r="C103" s="30">
        <v>200403</v>
      </c>
      <c r="D103" s="31" t="s">
        <v>195</v>
      </c>
      <c r="E103" s="63">
        <f>Plan2!D203</f>
        <v>105.19999999999999</v>
      </c>
      <c r="F103" s="30" t="s">
        <v>23</v>
      </c>
      <c r="G103" s="32"/>
      <c r="H103" s="32"/>
      <c r="I103" s="33">
        <f>(G103+H103)*E103</f>
        <v>0</v>
      </c>
    </row>
    <row r="104" spans="1:12" s="58" customFormat="1" ht="16.5" thickBot="1" x14ac:dyDescent="0.3">
      <c r="A104" s="188" t="s">
        <v>40</v>
      </c>
      <c r="B104" s="189"/>
      <c r="C104" s="189"/>
      <c r="D104" s="189"/>
      <c r="E104" s="189"/>
      <c r="F104" s="189"/>
      <c r="G104" s="189"/>
      <c r="H104" s="189"/>
      <c r="I104" s="60">
        <f>SUM(I102:I103)</f>
        <v>0</v>
      </c>
      <c r="J104" s="67">
        <f>I104*1.2388</f>
        <v>0</v>
      </c>
      <c r="K104" s="67">
        <v>0</v>
      </c>
      <c r="L104" s="67">
        <v>0</v>
      </c>
    </row>
    <row r="105" spans="1:12" ht="15.75" thickBot="1" x14ac:dyDescent="0.3">
      <c r="A105" s="21" t="s">
        <v>10</v>
      </c>
      <c r="B105" s="22" t="s">
        <v>11</v>
      </c>
      <c r="C105" s="23" t="s">
        <v>12</v>
      </c>
      <c r="D105" s="24" t="s">
        <v>13</v>
      </c>
      <c r="E105" s="25" t="s">
        <v>14</v>
      </c>
      <c r="F105" s="21" t="s">
        <v>15</v>
      </c>
      <c r="G105" s="26" t="s">
        <v>16</v>
      </c>
      <c r="H105" s="26" t="s">
        <v>17</v>
      </c>
      <c r="I105" s="26" t="s">
        <v>18</v>
      </c>
    </row>
    <row r="106" spans="1:12" x14ac:dyDescent="0.25">
      <c r="A106" s="27">
        <v>13</v>
      </c>
      <c r="B106" s="28" t="s">
        <v>19</v>
      </c>
      <c r="C106" s="28">
        <v>220000</v>
      </c>
      <c r="D106" s="186" t="s">
        <v>197</v>
      </c>
      <c r="E106" s="186"/>
      <c r="F106" s="186"/>
      <c r="G106" s="186"/>
      <c r="H106" s="186"/>
      <c r="I106" s="187"/>
    </row>
    <row r="107" spans="1:12" x14ac:dyDescent="0.25">
      <c r="A107" s="29" t="s">
        <v>204</v>
      </c>
      <c r="B107" s="30" t="s">
        <v>19</v>
      </c>
      <c r="C107" s="30">
        <v>220102</v>
      </c>
      <c r="D107" s="31" t="s">
        <v>366</v>
      </c>
      <c r="E107" s="63">
        <f>Plan2!D207</f>
        <v>2180.06</v>
      </c>
      <c r="F107" s="30" t="s">
        <v>98</v>
      </c>
      <c r="G107" s="32"/>
      <c r="H107" s="32"/>
      <c r="I107" s="33">
        <f>(H107+G107)*E107</f>
        <v>0</v>
      </c>
    </row>
    <row r="108" spans="1:12" ht="30.75" thickBot="1" x14ac:dyDescent="0.3">
      <c r="A108" s="29" t="s">
        <v>205</v>
      </c>
      <c r="B108" s="30" t="s">
        <v>19</v>
      </c>
      <c r="C108" s="30">
        <v>221126</v>
      </c>
      <c r="D108" s="31" t="s">
        <v>206</v>
      </c>
      <c r="E108" s="63">
        <f>Plan2!D210</f>
        <v>7.1999999999999993</v>
      </c>
      <c r="F108" s="30" t="s">
        <v>23</v>
      </c>
      <c r="G108" s="32"/>
      <c r="H108" s="32"/>
      <c r="I108" s="33">
        <f>(H108+G108)*E108</f>
        <v>0</v>
      </c>
    </row>
    <row r="109" spans="1:12" s="58" customFormat="1" ht="16.5" thickBot="1" x14ac:dyDescent="0.3">
      <c r="A109" s="188" t="s">
        <v>40</v>
      </c>
      <c r="B109" s="189"/>
      <c r="C109" s="189"/>
      <c r="D109" s="189"/>
      <c r="E109" s="189"/>
      <c r="F109" s="189"/>
      <c r="G109" s="189"/>
      <c r="H109" s="189"/>
      <c r="I109" s="60">
        <f>SUM(I107:I108)</f>
        <v>0</v>
      </c>
      <c r="J109" s="67">
        <f>I109*1.2388</f>
        <v>0</v>
      </c>
      <c r="K109" s="67">
        <v>0</v>
      </c>
      <c r="L109" s="67">
        <v>0</v>
      </c>
    </row>
    <row r="110" spans="1:12" s="58" customFormat="1" ht="15.75" thickBot="1" x14ac:dyDescent="0.3">
      <c r="A110" s="21" t="s">
        <v>10</v>
      </c>
      <c r="B110" s="22" t="s">
        <v>11</v>
      </c>
      <c r="C110" s="23" t="s">
        <v>12</v>
      </c>
      <c r="D110" s="24" t="s">
        <v>13</v>
      </c>
      <c r="E110" s="25" t="s">
        <v>14</v>
      </c>
      <c r="F110" s="21" t="s">
        <v>15</v>
      </c>
      <c r="G110" s="26" t="s">
        <v>16</v>
      </c>
      <c r="H110" s="26" t="s">
        <v>17</v>
      </c>
      <c r="I110" s="26" t="s">
        <v>18</v>
      </c>
    </row>
    <row r="111" spans="1:12" s="58" customFormat="1" x14ac:dyDescent="0.25">
      <c r="A111" s="27">
        <v>14</v>
      </c>
      <c r="B111" s="28" t="s">
        <v>19</v>
      </c>
      <c r="C111" s="28">
        <v>250000</v>
      </c>
      <c r="D111" s="186" t="s">
        <v>208</v>
      </c>
      <c r="E111" s="186"/>
      <c r="F111" s="186"/>
      <c r="G111" s="186"/>
      <c r="H111" s="186"/>
      <c r="I111" s="187"/>
    </row>
    <row r="112" spans="1:12" x14ac:dyDescent="0.25">
      <c r="A112" s="29" t="s">
        <v>227</v>
      </c>
      <c r="B112" s="30" t="s">
        <v>19</v>
      </c>
      <c r="C112" s="30">
        <v>250103</v>
      </c>
      <c r="D112" s="31" t="s">
        <v>210</v>
      </c>
      <c r="E112" s="63">
        <f>Plan2!D216</f>
        <v>792</v>
      </c>
      <c r="F112" s="30" t="s">
        <v>209</v>
      </c>
      <c r="G112" s="32"/>
      <c r="H112" s="32"/>
      <c r="I112" s="33">
        <f>(G112+H112)*E112</f>
        <v>0</v>
      </c>
    </row>
    <row r="113" spans="1:12" s="58" customFormat="1" x14ac:dyDescent="0.25">
      <c r="A113" s="29" t="s">
        <v>228</v>
      </c>
      <c r="B113" s="30" t="s">
        <v>19</v>
      </c>
      <c r="C113" s="30">
        <v>250111</v>
      </c>
      <c r="D113" s="31" t="s">
        <v>318</v>
      </c>
      <c r="E113" s="63">
        <f>Plan2!D221</f>
        <v>480</v>
      </c>
      <c r="F113" s="30" t="s">
        <v>319</v>
      </c>
      <c r="G113" s="32"/>
      <c r="H113" s="32"/>
      <c r="I113" s="33">
        <f>(G113+H113)*E113</f>
        <v>0</v>
      </c>
    </row>
    <row r="114" spans="1:12" s="58" customFormat="1" ht="15.75" thickBot="1" x14ac:dyDescent="0.3">
      <c r="A114" s="29" t="s">
        <v>317</v>
      </c>
      <c r="B114" s="30" t="s">
        <v>358</v>
      </c>
      <c r="C114" s="30">
        <v>19</v>
      </c>
      <c r="D114" s="31" t="s">
        <v>356</v>
      </c>
      <c r="E114" s="63">
        <f>Plan2!D225</f>
        <v>96</v>
      </c>
      <c r="F114" s="30" t="s">
        <v>357</v>
      </c>
      <c r="G114" s="190"/>
      <c r="H114" s="191"/>
      <c r="I114" s="33">
        <f>(G114+H114)*E114</f>
        <v>0</v>
      </c>
    </row>
    <row r="115" spans="1:12" s="58" customFormat="1" ht="16.5" thickBot="1" x14ac:dyDescent="0.3">
      <c r="A115" s="188" t="s">
        <v>40</v>
      </c>
      <c r="B115" s="189"/>
      <c r="C115" s="189"/>
      <c r="D115" s="189"/>
      <c r="E115" s="189"/>
      <c r="F115" s="189"/>
      <c r="G115" s="189"/>
      <c r="H115" s="189"/>
      <c r="I115" s="60">
        <f>SUM(I112:I114)</f>
        <v>0</v>
      </c>
      <c r="J115" s="67">
        <f>I115*1.2388</f>
        <v>0</v>
      </c>
      <c r="K115" s="67">
        <v>0</v>
      </c>
      <c r="L115" s="67">
        <v>0</v>
      </c>
    </row>
    <row r="116" spans="1:12" ht="15.75" thickBot="1" x14ac:dyDescent="0.3">
      <c r="A116" s="21" t="s">
        <v>10</v>
      </c>
      <c r="B116" s="22" t="s">
        <v>11</v>
      </c>
      <c r="C116" s="23" t="s">
        <v>12</v>
      </c>
      <c r="D116" s="24" t="s">
        <v>13</v>
      </c>
      <c r="E116" s="25" t="s">
        <v>14</v>
      </c>
      <c r="F116" s="21" t="s">
        <v>15</v>
      </c>
      <c r="G116" s="26" t="s">
        <v>16</v>
      </c>
      <c r="H116" s="26" t="s">
        <v>17</v>
      </c>
      <c r="I116" s="26" t="s">
        <v>18</v>
      </c>
    </row>
    <row r="117" spans="1:12" x14ac:dyDescent="0.25">
      <c r="A117" s="27">
        <v>15</v>
      </c>
      <c r="B117" s="28" t="s">
        <v>19</v>
      </c>
      <c r="C117" s="28">
        <v>260000</v>
      </c>
      <c r="D117" s="186" t="s">
        <v>215</v>
      </c>
      <c r="E117" s="186"/>
      <c r="F117" s="186"/>
      <c r="G117" s="186"/>
      <c r="H117" s="186"/>
      <c r="I117" s="187"/>
    </row>
    <row r="118" spans="1:12" x14ac:dyDescent="0.25">
      <c r="A118" s="29" t="s">
        <v>229</v>
      </c>
      <c r="B118" s="30" t="s">
        <v>19</v>
      </c>
      <c r="C118" s="30">
        <v>260204</v>
      </c>
      <c r="D118" s="31" t="s">
        <v>218</v>
      </c>
      <c r="E118" s="63">
        <f>Plan2!D230</f>
        <v>39.5</v>
      </c>
      <c r="F118" s="30" t="s">
        <v>35</v>
      </c>
      <c r="G118" s="32"/>
      <c r="H118" s="32"/>
      <c r="I118" s="33">
        <f>(H118+G118)*E118</f>
        <v>0</v>
      </c>
    </row>
    <row r="119" spans="1:12" x14ac:dyDescent="0.25">
      <c r="A119" s="29" t="s">
        <v>230</v>
      </c>
      <c r="B119" s="30" t="s">
        <v>19</v>
      </c>
      <c r="C119" s="30">
        <v>260901</v>
      </c>
      <c r="D119" s="31" t="s">
        <v>216</v>
      </c>
      <c r="E119" s="63">
        <f>Plan2!D239</f>
        <v>172.60799999999998</v>
      </c>
      <c r="F119" s="30" t="s">
        <v>23</v>
      </c>
      <c r="G119" s="32"/>
      <c r="H119" s="32"/>
      <c r="I119" s="33">
        <f>(H119+G119)*E119</f>
        <v>0</v>
      </c>
    </row>
    <row r="120" spans="1:12" x14ac:dyDescent="0.25">
      <c r="A120" s="29" t="s">
        <v>231</v>
      </c>
      <c r="B120" s="30" t="s">
        <v>19</v>
      </c>
      <c r="C120" s="30">
        <v>261000</v>
      </c>
      <c r="D120" s="31" t="s">
        <v>217</v>
      </c>
      <c r="E120" s="63">
        <f>Plan2!D241</f>
        <v>105.19999999999999</v>
      </c>
      <c r="F120" s="30" t="s">
        <v>23</v>
      </c>
      <c r="G120" s="32"/>
      <c r="H120" s="32"/>
      <c r="I120" s="33">
        <f>(H120+G120)*E120</f>
        <v>0</v>
      </c>
    </row>
    <row r="121" spans="1:12" x14ac:dyDescent="0.25">
      <c r="A121" s="29" t="s">
        <v>232</v>
      </c>
      <c r="B121" s="30" t="s">
        <v>19</v>
      </c>
      <c r="C121" s="82">
        <v>261609</v>
      </c>
      <c r="D121" s="31" t="s">
        <v>219</v>
      </c>
      <c r="E121" s="63">
        <f>Plan2!D245</f>
        <v>4.2</v>
      </c>
      <c r="F121" s="30" t="s">
        <v>35</v>
      </c>
      <c r="G121" s="32"/>
      <c r="H121" s="32"/>
      <c r="I121" s="33">
        <f>(H121+G121)*E121</f>
        <v>0</v>
      </c>
    </row>
    <row r="122" spans="1:12" ht="15.75" thickBot="1" x14ac:dyDescent="0.3">
      <c r="A122" s="29" t="s">
        <v>233</v>
      </c>
      <c r="B122" s="30" t="s">
        <v>19</v>
      </c>
      <c r="C122" s="30">
        <v>261703</v>
      </c>
      <c r="D122" s="31" t="s">
        <v>226</v>
      </c>
      <c r="E122" s="63">
        <f>Plan2!D248</f>
        <v>2180.06</v>
      </c>
      <c r="F122" s="30" t="s">
        <v>35</v>
      </c>
      <c r="G122" s="32"/>
      <c r="H122" s="32"/>
      <c r="I122" s="33">
        <f>(H122+G122)*E122</f>
        <v>0</v>
      </c>
    </row>
    <row r="123" spans="1:12" s="58" customFormat="1" ht="16.5" thickBot="1" x14ac:dyDescent="0.3">
      <c r="A123" s="188" t="s">
        <v>40</v>
      </c>
      <c r="B123" s="189"/>
      <c r="C123" s="189"/>
      <c r="D123" s="189"/>
      <c r="E123" s="189"/>
      <c r="F123" s="189"/>
      <c r="G123" s="189"/>
      <c r="H123" s="189"/>
      <c r="I123" s="60">
        <f>SUM(I118:I122)</f>
        <v>0</v>
      </c>
      <c r="J123" s="67">
        <f>I123*1.2388</f>
        <v>0</v>
      </c>
      <c r="K123" s="67">
        <v>0</v>
      </c>
      <c r="L123" s="67">
        <v>0</v>
      </c>
    </row>
    <row r="124" spans="1:12" ht="15.75" thickBot="1" x14ac:dyDescent="0.3">
      <c r="A124" s="21" t="s">
        <v>10</v>
      </c>
      <c r="B124" s="22" t="s">
        <v>11</v>
      </c>
      <c r="C124" s="23" t="s">
        <v>12</v>
      </c>
      <c r="D124" s="24" t="s">
        <v>13</v>
      </c>
      <c r="E124" s="25" t="s">
        <v>14</v>
      </c>
      <c r="F124" s="21" t="s">
        <v>15</v>
      </c>
      <c r="G124" s="26" t="s">
        <v>16</v>
      </c>
      <c r="H124" s="26" t="s">
        <v>17</v>
      </c>
      <c r="I124" s="26" t="s">
        <v>18</v>
      </c>
    </row>
    <row r="125" spans="1:12" x14ac:dyDescent="0.25">
      <c r="A125" s="27">
        <v>16</v>
      </c>
      <c r="B125" s="28" t="s">
        <v>19</v>
      </c>
      <c r="C125" s="28">
        <v>270000</v>
      </c>
      <c r="D125" s="186" t="s">
        <v>220</v>
      </c>
      <c r="E125" s="186"/>
      <c r="F125" s="186"/>
      <c r="G125" s="186"/>
      <c r="H125" s="186"/>
      <c r="I125" s="187"/>
    </row>
    <row r="126" spans="1:12" ht="30" x14ac:dyDescent="0.25">
      <c r="A126" s="29" t="s">
        <v>236</v>
      </c>
      <c r="B126" s="30" t="s">
        <v>19</v>
      </c>
      <c r="C126" s="30">
        <v>270210</v>
      </c>
      <c r="D126" s="31" t="s">
        <v>243</v>
      </c>
      <c r="E126" s="63">
        <f>Plan2!D252</f>
        <v>921.08</v>
      </c>
      <c r="F126" s="30" t="s">
        <v>35</v>
      </c>
      <c r="G126" s="32"/>
      <c r="H126" s="32"/>
      <c r="I126" s="33">
        <f>(G126+H126)*E126</f>
        <v>0</v>
      </c>
    </row>
    <row r="127" spans="1:12" ht="30" x14ac:dyDescent="0.25">
      <c r="A127" s="29" t="s">
        <v>237</v>
      </c>
      <c r="B127" s="30" t="s">
        <v>19</v>
      </c>
      <c r="C127" s="30">
        <v>270621</v>
      </c>
      <c r="D127" s="31" t="s">
        <v>255</v>
      </c>
      <c r="E127" s="63">
        <f>Plan2!D255</f>
        <v>105.19999999999999</v>
      </c>
      <c r="F127" s="30" t="s">
        <v>35</v>
      </c>
      <c r="G127" s="32"/>
      <c r="H127" s="32"/>
      <c r="I127" s="33">
        <f t="shared" ref="I127:I131" si="5">(G127+H127)*E127</f>
        <v>0</v>
      </c>
    </row>
    <row r="128" spans="1:12" x14ac:dyDescent="0.25">
      <c r="A128" s="29" t="s">
        <v>238</v>
      </c>
      <c r="B128" s="30" t="s">
        <v>19</v>
      </c>
      <c r="C128" s="30">
        <v>270810</v>
      </c>
      <c r="D128" s="31" t="s">
        <v>221</v>
      </c>
      <c r="E128" s="63">
        <v>1</v>
      </c>
      <c r="F128" s="30" t="s">
        <v>265</v>
      </c>
      <c r="G128" s="32"/>
      <c r="H128" s="32"/>
      <c r="I128" s="33">
        <f t="shared" si="5"/>
        <v>0</v>
      </c>
    </row>
    <row r="129" spans="1:12" x14ac:dyDescent="0.25">
      <c r="A129" s="29" t="s">
        <v>239</v>
      </c>
      <c r="B129" s="30" t="s">
        <v>19</v>
      </c>
      <c r="C129" s="82">
        <v>270811</v>
      </c>
      <c r="D129" s="31" t="s">
        <v>222</v>
      </c>
      <c r="E129" s="63">
        <v>1</v>
      </c>
      <c r="F129" s="30" t="s">
        <v>265</v>
      </c>
      <c r="G129" s="32"/>
      <c r="H129" s="32"/>
      <c r="I129" s="33">
        <f t="shared" si="5"/>
        <v>0</v>
      </c>
    </row>
    <row r="130" spans="1:12" x14ac:dyDescent="0.25">
      <c r="A130" s="29" t="s">
        <v>240</v>
      </c>
      <c r="B130" s="30" t="s">
        <v>19</v>
      </c>
      <c r="C130" s="30">
        <v>271103</v>
      </c>
      <c r="D130" s="31" t="s">
        <v>223</v>
      </c>
      <c r="E130" s="63">
        <v>1</v>
      </c>
      <c r="F130" s="30" t="s">
        <v>224</v>
      </c>
      <c r="G130" s="32"/>
      <c r="H130" s="32"/>
      <c r="I130" s="33">
        <f t="shared" si="5"/>
        <v>0</v>
      </c>
    </row>
    <row r="131" spans="1:12" s="58" customFormat="1" ht="15.75" thickBot="1" x14ac:dyDescent="0.3">
      <c r="A131" s="29" t="s">
        <v>242</v>
      </c>
      <c r="B131" s="30" t="s">
        <v>19</v>
      </c>
      <c r="C131" s="30">
        <v>44455</v>
      </c>
      <c r="D131" s="31" t="s">
        <v>241</v>
      </c>
      <c r="E131" s="63">
        <f>Plan2!D267</f>
        <v>158</v>
      </c>
      <c r="F131" s="30" t="s">
        <v>186</v>
      </c>
      <c r="G131" s="190"/>
      <c r="H131" s="191"/>
      <c r="I131" s="33">
        <f t="shared" si="5"/>
        <v>0</v>
      </c>
    </row>
    <row r="132" spans="1:12" s="58" customFormat="1" ht="16.5" thickBot="1" x14ac:dyDescent="0.3">
      <c r="A132" s="188" t="s">
        <v>40</v>
      </c>
      <c r="B132" s="189"/>
      <c r="C132" s="189"/>
      <c r="D132" s="189"/>
      <c r="E132" s="189"/>
      <c r="F132" s="189"/>
      <c r="G132" s="189"/>
      <c r="H132" s="189"/>
      <c r="I132" s="60">
        <f>SUM(I126:I131)</f>
        <v>0</v>
      </c>
      <c r="J132" s="67">
        <f>I132*1.2388</f>
        <v>0</v>
      </c>
      <c r="K132" s="67">
        <v>0</v>
      </c>
      <c r="L132" s="67">
        <v>0</v>
      </c>
    </row>
    <row r="133" spans="1:12" s="58" customFormat="1" ht="15.75" thickBot="1" x14ac:dyDescent="0.3">
      <c r="A133" s="21" t="s">
        <v>10</v>
      </c>
      <c r="B133" s="22" t="s">
        <v>11</v>
      </c>
      <c r="C133" s="23" t="s">
        <v>12</v>
      </c>
      <c r="D133" s="24" t="s">
        <v>13</v>
      </c>
      <c r="E133" s="25" t="s">
        <v>14</v>
      </c>
      <c r="F133" s="21" t="s">
        <v>15</v>
      </c>
      <c r="G133" s="26" t="s">
        <v>16</v>
      </c>
      <c r="H133" s="26" t="s">
        <v>17</v>
      </c>
      <c r="I133" s="26" t="s">
        <v>18</v>
      </c>
    </row>
    <row r="134" spans="1:12" s="58" customFormat="1" x14ac:dyDescent="0.25">
      <c r="A134" s="27">
        <v>17</v>
      </c>
      <c r="B134" s="192" t="s">
        <v>257</v>
      </c>
      <c r="C134" s="193"/>
      <c r="D134" s="186" t="s">
        <v>258</v>
      </c>
      <c r="E134" s="186"/>
      <c r="F134" s="186"/>
      <c r="G134" s="186"/>
      <c r="H134" s="186"/>
      <c r="I134" s="187"/>
    </row>
    <row r="135" spans="1:12" s="58" customFormat="1" ht="30" x14ac:dyDescent="0.25">
      <c r="A135" s="29" t="s">
        <v>272</v>
      </c>
      <c r="B135" s="196">
        <v>271303</v>
      </c>
      <c r="C135" s="197"/>
      <c r="D135" s="31" t="s">
        <v>434</v>
      </c>
      <c r="E135" s="63">
        <f>Plan2!D271</f>
        <v>25.5</v>
      </c>
      <c r="F135" s="30" t="s">
        <v>186</v>
      </c>
      <c r="G135" s="32"/>
      <c r="H135" s="32"/>
      <c r="I135" s="33">
        <f>(H135+G135)*E135</f>
        <v>0</v>
      </c>
    </row>
    <row r="136" spans="1:12" s="58" customFormat="1" x14ac:dyDescent="0.25">
      <c r="A136" s="29" t="s">
        <v>273</v>
      </c>
      <c r="B136" s="196" t="s">
        <v>271</v>
      </c>
      <c r="C136" s="197"/>
      <c r="D136" s="31" t="s">
        <v>259</v>
      </c>
      <c r="E136" s="63">
        <f>Plan2!D274</f>
        <v>13</v>
      </c>
      <c r="F136" s="30" t="s">
        <v>265</v>
      </c>
      <c r="G136" s="194"/>
      <c r="H136" s="195"/>
      <c r="I136" s="33">
        <f t="shared" ref="I136:I153" si="6">(H136+G136)*E136</f>
        <v>0</v>
      </c>
    </row>
    <row r="137" spans="1:12" s="58" customFormat="1" x14ac:dyDescent="0.25">
      <c r="A137" s="29" t="s">
        <v>274</v>
      </c>
      <c r="B137" s="30" t="s">
        <v>331</v>
      </c>
      <c r="C137" s="30">
        <v>181613</v>
      </c>
      <c r="D137" s="31" t="s">
        <v>340</v>
      </c>
      <c r="E137" s="63">
        <f>Plan2!D277</f>
        <v>1</v>
      </c>
      <c r="F137" s="30" t="s">
        <v>265</v>
      </c>
      <c r="G137" s="194"/>
      <c r="H137" s="195"/>
      <c r="I137" s="33">
        <f t="shared" si="6"/>
        <v>0</v>
      </c>
    </row>
    <row r="138" spans="1:12" s="58" customFormat="1" x14ac:dyDescent="0.25">
      <c r="A138" s="29" t="s">
        <v>275</v>
      </c>
      <c r="B138" s="30" t="s">
        <v>331</v>
      </c>
      <c r="C138" s="30">
        <v>181601</v>
      </c>
      <c r="D138" s="31" t="s">
        <v>334</v>
      </c>
      <c r="E138" s="63">
        <f>Plan2!D280</f>
        <v>1</v>
      </c>
      <c r="F138" s="30" t="s">
        <v>265</v>
      </c>
      <c r="G138" s="194"/>
      <c r="H138" s="195"/>
      <c r="I138" s="33">
        <f t="shared" si="6"/>
        <v>0</v>
      </c>
    </row>
    <row r="139" spans="1:12" s="58" customFormat="1" x14ac:dyDescent="0.25">
      <c r="A139" s="29" t="s">
        <v>276</v>
      </c>
      <c r="B139" s="30" t="s">
        <v>331</v>
      </c>
      <c r="C139" s="30">
        <v>181602</v>
      </c>
      <c r="D139" s="31" t="s">
        <v>336</v>
      </c>
      <c r="E139" s="63">
        <f>Plan2!D283</f>
        <v>1</v>
      </c>
      <c r="F139" s="30" t="s">
        <v>265</v>
      </c>
      <c r="G139" s="194"/>
      <c r="H139" s="195"/>
      <c r="I139" s="33">
        <f t="shared" si="6"/>
        <v>0</v>
      </c>
    </row>
    <row r="140" spans="1:12" s="58" customFormat="1" x14ac:dyDescent="0.25">
      <c r="A140" s="29" t="s">
        <v>277</v>
      </c>
      <c r="B140" s="30" t="s">
        <v>331</v>
      </c>
      <c r="C140" s="30">
        <v>181605</v>
      </c>
      <c r="D140" s="31" t="s">
        <v>337</v>
      </c>
      <c r="E140" s="63">
        <f>Plan2!D286</f>
        <v>1</v>
      </c>
      <c r="F140" s="30" t="s">
        <v>265</v>
      </c>
      <c r="G140" s="194"/>
      <c r="H140" s="195"/>
      <c r="I140" s="33">
        <f t="shared" si="6"/>
        <v>0</v>
      </c>
    </row>
    <row r="141" spans="1:12" s="58" customFormat="1" x14ac:dyDescent="0.25">
      <c r="A141" s="29" t="s">
        <v>278</v>
      </c>
      <c r="B141" s="30" t="s">
        <v>331</v>
      </c>
      <c r="C141" s="30">
        <v>181606</v>
      </c>
      <c r="D141" s="31" t="s">
        <v>338</v>
      </c>
      <c r="E141" s="63">
        <f>Plan2!D289</f>
        <v>1</v>
      </c>
      <c r="F141" s="30" t="s">
        <v>265</v>
      </c>
      <c r="G141" s="194"/>
      <c r="H141" s="195"/>
      <c r="I141" s="33">
        <f t="shared" si="6"/>
        <v>0</v>
      </c>
    </row>
    <row r="142" spans="1:12" s="58" customFormat="1" x14ac:dyDescent="0.25">
      <c r="A142" s="29" t="s">
        <v>279</v>
      </c>
      <c r="B142" s="30" t="s">
        <v>331</v>
      </c>
      <c r="C142" s="30">
        <v>181608</v>
      </c>
      <c r="D142" s="31" t="s">
        <v>339</v>
      </c>
      <c r="E142" s="63">
        <f>Plan2!D292</f>
        <v>1</v>
      </c>
      <c r="F142" s="30" t="s">
        <v>265</v>
      </c>
      <c r="G142" s="194"/>
      <c r="H142" s="195"/>
      <c r="I142" s="33">
        <f t="shared" si="6"/>
        <v>0</v>
      </c>
    </row>
    <row r="143" spans="1:12" s="58" customFormat="1" x14ac:dyDescent="0.25">
      <c r="A143" s="29" t="s">
        <v>280</v>
      </c>
      <c r="B143" s="30" t="s">
        <v>331</v>
      </c>
      <c r="C143" s="30">
        <v>181618</v>
      </c>
      <c r="D143" s="31" t="s">
        <v>347</v>
      </c>
      <c r="E143" s="63">
        <f>Plan2!D295</f>
        <v>1</v>
      </c>
      <c r="F143" s="30" t="s">
        <v>265</v>
      </c>
      <c r="G143" s="194"/>
      <c r="H143" s="195"/>
      <c r="I143" s="33">
        <f t="shared" si="6"/>
        <v>0</v>
      </c>
    </row>
    <row r="144" spans="1:12" s="58" customFormat="1" x14ac:dyDescent="0.25">
      <c r="A144" s="29" t="s">
        <v>281</v>
      </c>
      <c r="B144" s="30" t="s">
        <v>331</v>
      </c>
      <c r="C144" s="30">
        <v>181619</v>
      </c>
      <c r="D144" s="31" t="s">
        <v>346</v>
      </c>
      <c r="E144" s="63">
        <f>Plan2!D298</f>
        <v>1</v>
      </c>
      <c r="F144" s="30" t="s">
        <v>265</v>
      </c>
      <c r="G144" s="194"/>
      <c r="H144" s="195"/>
      <c r="I144" s="33">
        <f t="shared" si="6"/>
        <v>0</v>
      </c>
    </row>
    <row r="145" spans="1:12" s="58" customFormat="1" x14ac:dyDescent="0.25">
      <c r="A145" s="29" t="s">
        <v>282</v>
      </c>
      <c r="B145" s="196" t="s">
        <v>271</v>
      </c>
      <c r="C145" s="197"/>
      <c r="D145" s="31" t="s">
        <v>263</v>
      </c>
      <c r="E145" s="63">
        <f>Plan2!D301</f>
        <v>1</v>
      </c>
      <c r="F145" s="30" t="s">
        <v>262</v>
      </c>
      <c r="G145" s="194"/>
      <c r="H145" s="195"/>
      <c r="I145" s="33">
        <f t="shared" si="6"/>
        <v>0</v>
      </c>
    </row>
    <row r="146" spans="1:12" s="58" customFormat="1" x14ac:dyDescent="0.25">
      <c r="A146" s="29" t="s">
        <v>283</v>
      </c>
      <c r="B146" s="196" t="s">
        <v>271</v>
      </c>
      <c r="C146" s="197"/>
      <c r="D146" s="31" t="s">
        <v>264</v>
      </c>
      <c r="E146" s="63">
        <f>Plan2!D304</f>
        <v>1</v>
      </c>
      <c r="F146" s="30" t="s">
        <v>265</v>
      </c>
      <c r="G146" s="194"/>
      <c r="H146" s="195"/>
      <c r="I146" s="33">
        <f t="shared" si="6"/>
        <v>0</v>
      </c>
    </row>
    <row r="147" spans="1:12" s="58" customFormat="1" x14ac:dyDescent="0.25">
      <c r="A147" s="29" t="s">
        <v>341</v>
      </c>
      <c r="B147" s="196" t="s">
        <v>271</v>
      </c>
      <c r="C147" s="197"/>
      <c r="D147" s="31" t="s">
        <v>266</v>
      </c>
      <c r="E147" s="63">
        <f>Plan2!D307</f>
        <v>1</v>
      </c>
      <c r="F147" s="30" t="s">
        <v>265</v>
      </c>
      <c r="G147" s="194"/>
      <c r="H147" s="195"/>
      <c r="I147" s="33">
        <f t="shared" si="6"/>
        <v>0</v>
      </c>
    </row>
    <row r="148" spans="1:12" s="58" customFormat="1" x14ac:dyDescent="0.25">
      <c r="A148" s="29" t="s">
        <v>342</v>
      </c>
      <c r="B148" s="196" t="s">
        <v>271</v>
      </c>
      <c r="C148" s="197"/>
      <c r="D148" s="31" t="s">
        <v>267</v>
      </c>
      <c r="E148" s="63">
        <f>Plan2!D310</f>
        <v>1</v>
      </c>
      <c r="F148" s="30" t="s">
        <v>265</v>
      </c>
      <c r="G148" s="194"/>
      <c r="H148" s="195"/>
      <c r="I148" s="33">
        <f t="shared" si="6"/>
        <v>0</v>
      </c>
    </row>
    <row r="149" spans="1:12" s="58" customFormat="1" x14ac:dyDescent="0.25">
      <c r="A149" s="29" t="s">
        <v>343</v>
      </c>
      <c r="B149" s="196" t="s">
        <v>271</v>
      </c>
      <c r="C149" s="197"/>
      <c r="D149" s="31" t="s">
        <v>268</v>
      </c>
      <c r="E149" s="63">
        <f>Plan2!D313</f>
        <v>1</v>
      </c>
      <c r="F149" s="30" t="s">
        <v>265</v>
      </c>
      <c r="G149" s="194"/>
      <c r="H149" s="195"/>
      <c r="I149" s="33">
        <f t="shared" si="6"/>
        <v>0</v>
      </c>
    </row>
    <row r="150" spans="1:12" s="58" customFormat="1" ht="30" x14ac:dyDescent="0.25">
      <c r="A150" s="29" t="s">
        <v>344</v>
      </c>
      <c r="B150" s="30" t="s">
        <v>331</v>
      </c>
      <c r="C150" s="83">
        <v>181442</v>
      </c>
      <c r="D150" s="31" t="s">
        <v>330</v>
      </c>
      <c r="E150" s="63">
        <f>Plan2!D316</f>
        <v>1</v>
      </c>
      <c r="F150" s="30" t="s">
        <v>265</v>
      </c>
      <c r="G150" s="194"/>
      <c r="H150" s="195"/>
      <c r="I150" s="33">
        <f t="shared" si="6"/>
        <v>0</v>
      </c>
    </row>
    <row r="151" spans="1:12" s="58" customFormat="1" x14ac:dyDescent="0.25">
      <c r="A151" s="29" t="s">
        <v>345</v>
      </c>
      <c r="B151" s="30" t="s">
        <v>331</v>
      </c>
      <c r="C151" s="30">
        <v>181446</v>
      </c>
      <c r="D151" s="31" t="s">
        <v>332</v>
      </c>
      <c r="E151" s="63">
        <f>Plan2!D319</f>
        <v>2</v>
      </c>
      <c r="F151" s="30" t="s">
        <v>265</v>
      </c>
      <c r="G151" s="194"/>
      <c r="H151" s="195"/>
      <c r="I151" s="33">
        <f t="shared" si="6"/>
        <v>0</v>
      </c>
    </row>
    <row r="152" spans="1:12" s="58" customFormat="1" ht="15.75" thickBot="1" x14ac:dyDescent="0.3">
      <c r="A152" s="29" t="s">
        <v>348</v>
      </c>
      <c r="B152" s="30" t="s">
        <v>331</v>
      </c>
      <c r="C152" s="30">
        <v>181448</v>
      </c>
      <c r="D152" s="31" t="s">
        <v>333</v>
      </c>
      <c r="E152" s="63">
        <f>Plan2!D322</f>
        <v>1</v>
      </c>
      <c r="F152" s="30" t="s">
        <v>265</v>
      </c>
      <c r="G152" s="190"/>
      <c r="H152" s="191"/>
      <c r="I152" s="33">
        <f t="shared" si="6"/>
        <v>0</v>
      </c>
    </row>
    <row r="153" spans="1:12" s="58" customFormat="1" ht="15.75" thickBot="1" x14ac:dyDescent="0.3">
      <c r="A153" s="29" t="s">
        <v>399</v>
      </c>
      <c r="B153" s="30" t="s">
        <v>331</v>
      </c>
      <c r="C153" s="30">
        <v>181513</v>
      </c>
      <c r="D153" s="31" t="s">
        <v>400</v>
      </c>
      <c r="E153" s="63">
        <v>1</v>
      </c>
      <c r="F153" s="30" t="s">
        <v>265</v>
      </c>
      <c r="G153" s="190"/>
      <c r="H153" s="191"/>
      <c r="I153" s="33">
        <f t="shared" si="6"/>
        <v>0</v>
      </c>
    </row>
    <row r="154" spans="1:12" s="58" customFormat="1" ht="16.5" thickBot="1" x14ac:dyDescent="0.3">
      <c r="A154" s="188" t="s">
        <v>40</v>
      </c>
      <c r="B154" s="189"/>
      <c r="C154" s="189"/>
      <c r="D154" s="189"/>
      <c r="E154" s="189"/>
      <c r="F154" s="189"/>
      <c r="G154" s="189"/>
      <c r="H154" s="189"/>
      <c r="I154" s="60">
        <f>SUM(I135:I153)</f>
        <v>0</v>
      </c>
      <c r="J154" s="67">
        <f>I154*1.2388</f>
        <v>0</v>
      </c>
      <c r="K154" s="67">
        <v>0</v>
      </c>
      <c r="L154" s="67">
        <v>0</v>
      </c>
    </row>
    <row r="155" spans="1:12" s="58" customFormat="1" ht="15.75" thickBot="1" x14ac:dyDescent="0.3">
      <c r="A155" s="21" t="s">
        <v>10</v>
      </c>
      <c r="B155" s="22" t="s">
        <v>11</v>
      </c>
      <c r="C155" s="23" t="s">
        <v>12</v>
      </c>
      <c r="D155" s="24" t="s">
        <v>13</v>
      </c>
      <c r="E155" s="25" t="s">
        <v>14</v>
      </c>
      <c r="F155" s="21" t="s">
        <v>15</v>
      </c>
      <c r="G155" s="26" t="s">
        <v>16</v>
      </c>
      <c r="H155" s="26" t="s">
        <v>17</v>
      </c>
      <c r="I155" s="26" t="s">
        <v>18</v>
      </c>
    </row>
    <row r="156" spans="1:12" s="58" customFormat="1" x14ac:dyDescent="0.25">
      <c r="A156" s="27">
        <v>18</v>
      </c>
      <c r="B156" s="192" t="s">
        <v>257</v>
      </c>
      <c r="C156" s="193"/>
      <c r="D156" s="186" t="s">
        <v>284</v>
      </c>
      <c r="E156" s="186"/>
      <c r="F156" s="186"/>
      <c r="G156" s="186"/>
      <c r="H156" s="186"/>
      <c r="I156" s="187"/>
    </row>
    <row r="157" spans="1:12" s="58" customFormat="1" ht="30" x14ac:dyDescent="0.25">
      <c r="A157" s="29" t="s">
        <v>285</v>
      </c>
      <c r="B157" s="30" t="s">
        <v>182</v>
      </c>
      <c r="C157" s="30">
        <v>358</v>
      </c>
      <c r="D157" s="31" t="s">
        <v>350</v>
      </c>
      <c r="E157" s="63">
        <f>Plan2!D329</f>
        <v>1</v>
      </c>
      <c r="F157" s="30" t="s">
        <v>265</v>
      </c>
      <c r="G157" s="194"/>
      <c r="H157" s="195"/>
      <c r="I157" s="33">
        <f>(H157+G157)*E157</f>
        <v>0</v>
      </c>
    </row>
    <row r="158" spans="1:12" s="58" customFormat="1" x14ac:dyDescent="0.25">
      <c r="A158" s="29" t="s">
        <v>286</v>
      </c>
      <c r="B158" s="196" t="s">
        <v>271</v>
      </c>
      <c r="C158" s="197"/>
      <c r="D158" s="31" t="s">
        <v>431</v>
      </c>
      <c r="E158" s="63">
        <v>67</v>
      </c>
      <c r="F158" s="30" t="s">
        <v>265</v>
      </c>
      <c r="G158" s="194"/>
      <c r="H158" s="195"/>
      <c r="I158" s="33">
        <f>(H158+G158)*E158</f>
        <v>0</v>
      </c>
    </row>
    <row r="159" spans="1:12" s="58" customFormat="1" x14ac:dyDescent="0.25">
      <c r="A159" s="29" t="s">
        <v>287</v>
      </c>
      <c r="B159" s="30" t="s">
        <v>328</v>
      </c>
      <c r="C159" s="30" t="s">
        <v>326</v>
      </c>
      <c r="D159" s="31" t="s">
        <v>327</v>
      </c>
      <c r="E159" s="63">
        <f>Plan2!D335</f>
        <v>3</v>
      </c>
      <c r="F159" s="30" t="s">
        <v>265</v>
      </c>
      <c r="G159" s="194"/>
      <c r="H159" s="195"/>
      <c r="I159" s="33">
        <f t="shared" ref="I159:I164" si="7">(H159+G159)*E159</f>
        <v>0</v>
      </c>
    </row>
    <row r="160" spans="1:12" s="58" customFormat="1" x14ac:dyDescent="0.25">
      <c r="A160" s="29" t="s">
        <v>288</v>
      </c>
      <c r="B160" s="196" t="s">
        <v>271</v>
      </c>
      <c r="C160" s="197"/>
      <c r="D160" s="31" t="s">
        <v>323</v>
      </c>
      <c r="E160" s="63">
        <f>Plan2!D338</f>
        <v>5</v>
      </c>
      <c r="F160" s="30" t="s">
        <v>265</v>
      </c>
      <c r="G160" s="194"/>
      <c r="H160" s="195"/>
      <c r="I160" s="33">
        <f>(H160+G160)*E160</f>
        <v>0</v>
      </c>
    </row>
    <row r="161" spans="1:12" s="58" customFormat="1" x14ac:dyDescent="0.25">
      <c r="A161" s="29" t="s">
        <v>321</v>
      </c>
      <c r="B161" s="196" t="s">
        <v>271</v>
      </c>
      <c r="C161" s="197"/>
      <c r="D161" s="31" t="s">
        <v>324</v>
      </c>
      <c r="E161" s="63">
        <f>Plan2!D341</f>
        <v>9</v>
      </c>
      <c r="F161" s="30" t="s">
        <v>265</v>
      </c>
      <c r="G161" s="194"/>
      <c r="H161" s="195"/>
      <c r="I161" s="33">
        <f t="shared" si="7"/>
        <v>0</v>
      </c>
    </row>
    <row r="162" spans="1:12" s="58" customFormat="1" x14ac:dyDescent="0.25">
      <c r="A162" s="29" t="s">
        <v>322</v>
      </c>
      <c r="B162" s="196" t="s">
        <v>271</v>
      </c>
      <c r="C162" s="197"/>
      <c r="D162" s="31" t="s">
        <v>325</v>
      </c>
      <c r="E162" s="63">
        <f>Plan2!D344</f>
        <v>100</v>
      </c>
      <c r="F162" s="30" t="s">
        <v>265</v>
      </c>
      <c r="G162" s="194"/>
      <c r="H162" s="195"/>
      <c r="I162" s="33">
        <f t="shared" si="7"/>
        <v>0</v>
      </c>
    </row>
    <row r="163" spans="1:12" s="58" customFormat="1" x14ac:dyDescent="0.25">
      <c r="A163" s="29" t="s">
        <v>329</v>
      </c>
      <c r="B163" s="83" t="s">
        <v>331</v>
      </c>
      <c r="C163" s="83">
        <v>180349</v>
      </c>
      <c r="D163" s="31" t="s">
        <v>335</v>
      </c>
      <c r="E163" s="95">
        <f>Plan2!D347</f>
        <v>61</v>
      </c>
      <c r="F163" s="31" t="s">
        <v>265</v>
      </c>
      <c r="G163" s="194"/>
      <c r="H163" s="195"/>
      <c r="I163" s="33">
        <f t="shared" si="7"/>
        <v>0</v>
      </c>
    </row>
    <row r="164" spans="1:12" s="58" customFormat="1" ht="15.75" thickBot="1" x14ac:dyDescent="0.3">
      <c r="A164" s="29" t="s">
        <v>361</v>
      </c>
      <c r="B164" s="83" t="s">
        <v>91</v>
      </c>
      <c r="C164" s="83">
        <v>2057</v>
      </c>
      <c r="D164" s="31" t="s">
        <v>367</v>
      </c>
      <c r="E164" s="95">
        <f>Plan2!D350</f>
        <v>2.1149999999999998</v>
      </c>
      <c r="F164" s="31" t="s">
        <v>25</v>
      </c>
      <c r="G164" s="194"/>
      <c r="H164" s="195"/>
      <c r="I164" s="33">
        <f t="shared" si="7"/>
        <v>0</v>
      </c>
    </row>
    <row r="165" spans="1:12" s="58" customFormat="1" ht="16.5" thickBot="1" x14ac:dyDescent="0.3">
      <c r="A165" s="188" t="s">
        <v>40</v>
      </c>
      <c r="B165" s="189"/>
      <c r="C165" s="189"/>
      <c r="D165" s="189"/>
      <c r="E165" s="189"/>
      <c r="F165" s="189"/>
      <c r="G165" s="189"/>
      <c r="H165" s="189"/>
      <c r="I165" s="60">
        <f>SUM(I157:I164)</f>
        <v>0</v>
      </c>
      <c r="J165" s="67">
        <f>I165*1.2388</f>
        <v>0</v>
      </c>
      <c r="K165" s="67">
        <v>0</v>
      </c>
      <c r="L165" s="67">
        <v>0</v>
      </c>
    </row>
    <row r="166" spans="1:12" s="58" customFormat="1" ht="16.5" thickBot="1" x14ac:dyDescent="0.3">
      <c r="A166" s="100"/>
      <c r="B166" s="101"/>
      <c r="C166" s="101"/>
      <c r="D166" s="102"/>
      <c r="E166" s="101"/>
      <c r="F166" s="102"/>
      <c r="G166" s="102"/>
      <c r="H166" s="88"/>
      <c r="I166" s="89"/>
      <c r="J166" s="67"/>
      <c r="K166" s="67"/>
      <c r="L166" s="67"/>
    </row>
    <row r="167" spans="1:12" s="58" customFormat="1" ht="16.5" thickBot="1" x14ac:dyDescent="0.3">
      <c r="A167" s="188" t="s">
        <v>225</v>
      </c>
      <c r="B167" s="189"/>
      <c r="C167" s="189"/>
      <c r="D167" s="189"/>
      <c r="E167" s="189"/>
      <c r="F167" s="189"/>
      <c r="G167" s="189"/>
      <c r="H167" s="189"/>
      <c r="I167" s="60">
        <f>I165+I154+I132+I123+I115+I109+I104+I99+I94+I88+I84+I80+I54+I45+I33+I26+I21+I69</f>
        <v>0</v>
      </c>
      <c r="J167" s="67"/>
      <c r="K167" s="67"/>
      <c r="L167" s="67"/>
    </row>
    <row r="168" spans="1:12" s="58" customFormat="1" ht="16.5" thickBot="1" x14ac:dyDescent="0.3">
      <c r="A168" s="188" t="s">
        <v>234</v>
      </c>
      <c r="B168" s="189"/>
      <c r="C168" s="189"/>
      <c r="D168" s="189"/>
      <c r="E168" s="189"/>
      <c r="F168" s="189"/>
      <c r="G168" s="189"/>
      <c r="H168" s="189"/>
      <c r="I168" s="60">
        <f>I167*0.2388</f>
        <v>0</v>
      </c>
      <c r="J168" s="67"/>
      <c r="K168" s="67"/>
      <c r="L168" s="67"/>
    </row>
    <row r="169" spans="1:12" s="58" customFormat="1" ht="16.5" thickBot="1" x14ac:dyDescent="0.3">
      <c r="A169" s="188" t="s">
        <v>235</v>
      </c>
      <c r="B169" s="189"/>
      <c r="C169" s="189"/>
      <c r="D169" s="189"/>
      <c r="E169" s="189"/>
      <c r="F169" s="189"/>
      <c r="G169" s="189"/>
      <c r="H169" s="189"/>
      <c r="I169" s="60">
        <f>I167+I168</f>
        <v>0</v>
      </c>
      <c r="J169" s="67"/>
      <c r="K169" s="67"/>
      <c r="L169" s="67"/>
    </row>
    <row r="171" spans="1:12" s="58" customFormat="1" x14ac:dyDescent="0.25">
      <c r="A171" s="36"/>
      <c r="B171" s="99"/>
      <c r="C171" s="99"/>
      <c r="D171" s="36"/>
      <c r="E171" s="99"/>
      <c r="F171" s="36"/>
      <c r="G171" s="36"/>
    </row>
    <row r="173" spans="1:12" x14ac:dyDescent="0.25">
      <c r="B173" s="149"/>
      <c r="C173" s="150" t="s">
        <v>426</v>
      </c>
      <c r="D173" s="108"/>
      <c r="E173" s="150"/>
      <c r="F173" s="150" t="s">
        <v>426</v>
      </c>
      <c r="G173" s="152"/>
      <c r="H173" s="153"/>
    </row>
    <row r="174" spans="1:12" x14ac:dyDescent="0.25">
      <c r="B174" s="149"/>
      <c r="C174" s="155" t="s">
        <v>427</v>
      </c>
      <c r="D174" s="108"/>
      <c r="E174" s="150"/>
      <c r="F174" s="156" t="s">
        <v>439</v>
      </c>
      <c r="G174" s="152"/>
      <c r="H174" s="153"/>
    </row>
    <row r="175" spans="1:12" x14ac:dyDescent="0.25">
      <c r="B175" s="158"/>
      <c r="C175" s="159" t="s">
        <v>428</v>
      </c>
      <c r="D175" s="160"/>
      <c r="E175" s="161"/>
      <c r="F175" s="159" t="s">
        <v>429</v>
      </c>
      <c r="G175" s="158"/>
      <c r="H175" s="162"/>
    </row>
    <row r="176" spans="1:12" x14ac:dyDescent="0.25">
      <c r="B176" s="158"/>
      <c r="C176" s="159" t="s">
        <v>430</v>
      </c>
      <c r="D176" s="160"/>
      <c r="E176" s="161"/>
      <c r="F176" s="163" t="s">
        <v>440</v>
      </c>
      <c r="G176" s="158"/>
      <c r="H176" s="162"/>
    </row>
    <row r="177" spans="2:8" x14ac:dyDescent="0.25">
      <c r="B177" s="158"/>
      <c r="C177" s="149"/>
      <c r="D177" s="108"/>
      <c r="E177" s="150"/>
      <c r="F177" s="152"/>
      <c r="G177" s="158"/>
      <c r="H177" s="162"/>
    </row>
    <row r="178" spans="2:8" x14ac:dyDescent="0.25">
      <c r="H178" s="84"/>
    </row>
    <row r="179" spans="2:8" x14ac:dyDescent="0.25">
      <c r="F179"/>
    </row>
  </sheetData>
  <sheetProtection algorithmName="SHA-512" hashValue="1m/wKSlIFfD6xUSMWQ27mGs4TDvMtJCpLC6DDoFubQFpAe/T99StJnpW/ZEGTBBex8/mUPPqgI1Lnpw1hlioHg==" saltValue="dEZnswH+1r6wqe0zi4JS3g==" spinCount="100000" sheet="1" objects="1" scenarios="1"/>
  <mergeCells count="92">
    <mergeCell ref="G131:H131"/>
    <mergeCell ref="C1:I1"/>
    <mergeCell ref="C2:I2"/>
    <mergeCell ref="D12:I12"/>
    <mergeCell ref="G20:H20"/>
    <mergeCell ref="A21:H21"/>
    <mergeCell ref="D7:I7"/>
    <mergeCell ref="D23:I23"/>
    <mergeCell ref="A26:H26"/>
    <mergeCell ref="D28:I28"/>
    <mergeCell ref="G32:H32"/>
    <mergeCell ref="A33:H33"/>
    <mergeCell ref="A45:H45"/>
    <mergeCell ref="D47:I47"/>
    <mergeCell ref="A54:H54"/>
    <mergeCell ref="D56:I56"/>
    <mergeCell ref="D35:I35"/>
    <mergeCell ref="D71:I71"/>
    <mergeCell ref="D82:I82"/>
    <mergeCell ref="A84:H84"/>
    <mergeCell ref="D86:I86"/>
    <mergeCell ref="G60:H60"/>
    <mergeCell ref="G61:H61"/>
    <mergeCell ref="G62:H62"/>
    <mergeCell ref="G63:H63"/>
    <mergeCell ref="A69:H69"/>
    <mergeCell ref="A88:H88"/>
    <mergeCell ref="A104:H104"/>
    <mergeCell ref="D106:I106"/>
    <mergeCell ref="D90:I90"/>
    <mergeCell ref="G91:H91"/>
    <mergeCell ref="G92:H92"/>
    <mergeCell ref="G93:H93"/>
    <mergeCell ref="A94:H94"/>
    <mergeCell ref="D96:I96"/>
    <mergeCell ref="A99:H99"/>
    <mergeCell ref="D101:I101"/>
    <mergeCell ref="A167:H167"/>
    <mergeCell ref="A168:H168"/>
    <mergeCell ref="A169:H169"/>
    <mergeCell ref="A154:H154"/>
    <mergeCell ref="A132:H132"/>
    <mergeCell ref="D134:I134"/>
    <mergeCell ref="B135:C135"/>
    <mergeCell ref="B136:C136"/>
    <mergeCell ref="B145:C145"/>
    <mergeCell ref="G145:H145"/>
    <mergeCell ref="G146:H146"/>
    <mergeCell ref="G147:H147"/>
    <mergeCell ref="G148:H148"/>
    <mergeCell ref="G149:H149"/>
    <mergeCell ref="G136:H136"/>
    <mergeCell ref="B146:C146"/>
    <mergeCell ref="B147:C147"/>
    <mergeCell ref="B148:C148"/>
    <mergeCell ref="B149:C149"/>
    <mergeCell ref="A165:H165"/>
    <mergeCell ref="B156:C156"/>
    <mergeCell ref="G164:H164"/>
    <mergeCell ref="G153:H153"/>
    <mergeCell ref="G161:H161"/>
    <mergeCell ref="B160:C160"/>
    <mergeCell ref="B161:C161"/>
    <mergeCell ref="B162:C162"/>
    <mergeCell ref="G162:H162"/>
    <mergeCell ref="G158:H158"/>
    <mergeCell ref="G160:H160"/>
    <mergeCell ref="B158:C158"/>
    <mergeCell ref="D156:I156"/>
    <mergeCell ref="B134:C134"/>
    <mergeCell ref="A80:H80"/>
    <mergeCell ref="G157:H157"/>
    <mergeCell ref="G163:H163"/>
    <mergeCell ref="G159:H159"/>
    <mergeCell ref="G150:H150"/>
    <mergeCell ref="G151:H151"/>
    <mergeCell ref="G152:H152"/>
    <mergeCell ref="G137:H137"/>
    <mergeCell ref="G138:H138"/>
    <mergeCell ref="G139:H139"/>
    <mergeCell ref="G140:H140"/>
    <mergeCell ref="G141:H141"/>
    <mergeCell ref="G142:H142"/>
    <mergeCell ref="G144:H144"/>
    <mergeCell ref="G143:H143"/>
    <mergeCell ref="D125:I125"/>
    <mergeCell ref="A109:H109"/>
    <mergeCell ref="D111:I111"/>
    <mergeCell ref="A115:H115"/>
    <mergeCell ref="D117:I117"/>
    <mergeCell ref="A123:H123"/>
    <mergeCell ref="G114:H114"/>
  </mergeCells>
  <pageMargins left="0.511811024" right="0.511811024" top="0.78740157499999996" bottom="0.78740157499999996" header="0.31496062000000002" footer="0.31496062000000002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5"/>
  <sheetViews>
    <sheetView topLeftCell="A14" zoomScale="112" zoomScaleNormal="112" workbookViewId="0">
      <selection activeCell="D24" sqref="D24"/>
    </sheetView>
  </sheetViews>
  <sheetFormatPr defaultRowHeight="15" x14ac:dyDescent="0.25"/>
  <cols>
    <col min="1" max="1" width="10.42578125" style="75" bestFit="1" customWidth="1"/>
    <col min="2" max="2" width="63.7109375" style="51" bestFit="1" customWidth="1"/>
    <col min="3" max="3" width="6.28515625" style="75" bestFit="1" customWidth="1"/>
    <col min="4" max="4" width="34.85546875" bestFit="1" customWidth="1"/>
  </cols>
  <sheetData>
    <row r="1" spans="1:5" x14ac:dyDescent="0.25">
      <c r="A1" s="209" t="s">
        <v>0</v>
      </c>
      <c r="B1" s="210"/>
      <c r="C1" s="211"/>
      <c r="D1" s="47"/>
    </row>
    <row r="2" spans="1:5" x14ac:dyDescent="0.25">
      <c r="A2" s="212" t="s">
        <v>46</v>
      </c>
      <c r="B2" s="213"/>
      <c r="C2" s="214"/>
      <c r="D2" s="48"/>
    </row>
    <row r="3" spans="1:5" x14ac:dyDescent="0.25">
      <c r="A3" s="34" t="s">
        <v>2</v>
      </c>
      <c r="B3" s="66" t="s">
        <v>3</v>
      </c>
      <c r="C3" s="70"/>
      <c r="D3" s="49"/>
    </row>
    <row r="4" spans="1:5" x14ac:dyDescent="0.25">
      <c r="A4" s="34" t="s">
        <v>4</v>
      </c>
      <c r="B4" s="66" t="str">
        <f>Plan1!D4</f>
        <v xml:space="preserve">PRAÇA IRCA VICTÓRIA DA FONSECA </v>
      </c>
      <c r="C4" s="70"/>
      <c r="D4" s="49"/>
    </row>
    <row r="5" spans="1:5" x14ac:dyDescent="0.25">
      <c r="A5" s="34" t="s">
        <v>5</v>
      </c>
      <c r="B5" s="54">
        <v>2021024996</v>
      </c>
      <c r="C5" s="70"/>
      <c r="D5" s="49"/>
    </row>
    <row r="6" spans="1:5" x14ac:dyDescent="0.25">
      <c r="A6" s="34" t="s">
        <v>6</v>
      </c>
      <c r="B6" s="66" t="str">
        <f>Plan1!D6</f>
        <v xml:space="preserve">RUAL ALVINA C. NEVES, ESQUINA COM RUA SEIS </v>
      </c>
      <c r="C6" s="70"/>
      <c r="D6" s="49"/>
    </row>
    <row r="7" spans="1:5" ht="60" x14ac:dyDescent="0.25">
      <c r="A7" s="34" t="s">
        <v>7</v>
      </c>
      <c r="B7" s="66" t="str">
        <f>Plan1!D7</f>
        <v>TABELA 148 - CUSTOS DE OBRAS CIVIS - JULHO/2021 - DESONERADA; PCI.817.01 - CUSTO DE COMPOSIÇÕES - SINTÉTICO (06-21);  SINAPI - PREÇO DE INSUMOS (06-21); SIURB -Comp Custos Unit INFRA COM Des Jan 2021, SETOP- planilha com desoneração.</v>
      </c>
      <c r="C7" s="70"/>
      <c r="D7" s="49"/>
    </row>
    <row r="8" spans="1:5" ht="15.75" thickBot="1" x14ac:dyDescent="0.3">
      <c r="A8" s="73" t="s">
        <v>8</v>
      </c>
      <c r="B8" s="56" t="str">
        <f>Plan1!D8</f>
        <v>17 de agosto de 2021</v>
      </c>
      <c r="C8" s="44"/>
      <c r="D8" s="50"/>
    </row>
    <row r="9" spans="1:5" ht="15.75" thickBot="1" x14ac:dyDescent="0.3">
      <c r="A9" s="74"/>
      <c r="B9" s="55"/>
      <c r="C9" s="44"/>
      <c r="D9" s="44"/>
    </row>
    <row r="10" spans="1:5" x14ac:dyDescent="0.25">
      <c r="A10" s="35">
        <v>1</v>
      </c>
      <c r="B10" s="52" t="s">
        <v>20</v>
      </c>
      <c r="C10" s="90"/>
      <c r="D10" s="37"/>
    </row>
    <row r="11" spans="1:5" x14ac:dyDescent="0.25">
      <c r="A11" s="42" t="s">
        <v>10</v>
      </c>
      <c r="B11" s="57" t="s">
        <v>47</v>
      </c>
      <c r="C11" s="42" t="s">
        <v>48</v>
      </c>
      <c r="D11" s="42" t="s">
        <v>49</v>
      </c>
    </row>
    <row r="12" spans="1:5" s="36" customFormat="1" ht="30" x14ac:dyDescent="0.25">
      <c r="A12" s="65" t="s">
        <v>21</v>
      </c>
      <c r="B12" s="41" t="str">
        <f>Plan1!D13</f>
        <v xml:space="preserve">DEMOLIÇÃO MANUAL DE PISO CIMENT.SOBRE LASTRO CONC.C/TR.ATE CB. E CARGA </v>
      </c>
      <c r="C12" s="65" t="str">
        <f>Plan1!F13</f>
        <v xml:space="preserve">m2 </v>
      </c>
      <c r="D12" s="46" t="s">
        <v>50</v>
      </c>
    </row>
    <row r="13" spans="1:5" x14ac:dyDescent="0.25">
      <c r="A13" s="62" t="s">
        <v>58</v>
      </c>
      <c r="B13" s="68" t="s">
        <v>72</v>
      </c>
      <c r="C13" s="62"/>
      <c r="D13" s="45">
        <v>1113.54</v>
      </c>
    </row>
    <row r="14" spans="1:5" s="58" customFormat="1" ht="15.75" thickBot="1" x14ac:dyDescent="0.3">
      <c r="A14" s="204" t="s">
        <v>54</v>
      </c>
      <c r="B14" s="205"/>
      <c r="C14" s="206"/>
      <c r="D14" s="64">
        <f>D13</f>
        <v>1113.54</v>
      </c>
      <c r="E14" s="59"/>
    </row>
    <row r="15" spans="1:5" x14ac:dyDescent="0.25">
      <c r="A15" s="62" t="str">
        <f>Plan1!A14</f>
        <v>1.2</v>
      </c>
      <c r="B15" s="68" t="str">
        <f>Plan1!D14</f>
        <v xml:space="preserve">DEMOLIÇÃO MANUAL MEIO FIO SEM REAPROV.C/TR.ATE CB. E CARGA </v>
      </c>
      <c r="C15" s="62" t="str">
        <f>Plan1!F14</f>
        <v>m</v>
      </c>
      <c r="D15" s="45" t="s">
        <v>52</v>
      </c>
    </row>
    <row r="16" spans="1:5" x14ac:dyDescent="0.25">
      <c r="A16" s="62" t="s">
        <v>58</v>
      </c>
      <c r="B16" s="68" t="s">
        <v>51</v>
      </c>
      <c r="C16" s="62" t="s">
        <v>33</v>
      </c>
      <c r="D16" s="45">
        <f>60.48+5.61+42.13+7.65+60.06</f>
        <v>175.93</v>
      </c>
    </row>
    <row r="17" spans="1:9" x14ac:dyDescent="0.25">
      <c r="A17" s="62" t="s">
        <v>59</v>
      </c>
      <c r="B17" s="68" t="s">
        <v>53</v>
      </c>
      <c r="C17" s="62" t="s">
        <v>33</v>
      </c>
      <c r="D17" s="45">
        <f>40.58+0.8+1.19+14.47+24.91+0.47+10.78+0.73+2.36+0.37+21.42+1.2+6.26+3.46+2.6+0.47+9.14+0.4+15.47+1.15+4.91+18.84+2.9+17.87+6.19+0.79+2.77+14.29+1.21+8.9+16.17+24.71+0.42+14.84+0.38+13.63+3.46+0.76+16.75+12.2+0.8+9.57+0.76+12.61+0.75+17.6+0.81+19.37+0.36+10.31+0.8+5.31+0.76+10.48+0.82+5.82+0.76+0.81+(4*(1.91+0.69+0.69+1.04))+(2*44.52)</f>
        <v>545.07999999999993</v>
      </c>
    </row>
    <row r="18" spans="1:9" ht="15.75" thickBot="1" x14ac:dyDescent="0.3">
      <c r="A18" s="204" t="s">
        <v>61</v>
      </c>
      <c r="B18" s="205"/>
      <c r="C18" s="206"/>
      <c r="D18" s="64">
        <f>D16+D17</f>
        <v>721.01</v>
      </c>
      <c r="E18" s="59"/>
      <c r="F18" s="69"/>
      <c r="G18" s="43"/>
      <c r="H18" s="43"/>
      <c r="I18" s="43"/>
    </row>
    <row r="19" spans="1:9" x14ac:dyDescent="0.25">
      <c r="A19" s="62" t="str">
        <f>Plan1!A15</f>
        <v>1.3</v>
      </c>
      <c r="B19" s="68" t="str">
        <f>Plan1!D15</f>
        <v xml:space="preserve">RASPAGEM E LIMPEZA MANUAL DO TERRENO </v>
      </c>
      <c r="C19" s="62" t="str">
        <f>Plan1!F15</f>
        <v xml:space="preserve">m2 </v>
      </c>
      <c r="D19" s="65" t="s">
        <v>50</v>
      </c>
    </row>
    <row r="20" spans="1:9" x14ac:dyDescent="0.25">
      <c r="A20" s="62" t="s">
        <v>58</v>
      </c>
      <c r="B20" s="68" t="s">
        <v>55</v>
      </c>
      <c r="C20" s="62" t="s">
        <v>67</v>
      </c>
      <c r="D20" s="45">
        <f>1202.09+70.18+224.62+252.02+388.23</f>
        <v>2137.14</v>
      </c>
    </row>
    <row r="21" spans="1:9" s="58" customFormat="1" ht="15.75" thickBot="1" x14ac:dyDescent="0.3">
      <c r="A21" s="204" t="s">
        <v>54</v>
      </c>
      <c r="B21" s="205"/>
      <c r="C21" s="206"/>
      <c r="D21" s="64">
        <f>D20</f>
        <v>2137.14</v>
      </c>
      <c r="E21" s="59"/>
    </row>
    <row r="22" spans="1:9" ht="30" x14ac:dyDescent="0.25">
      <c r="A22" s="62" t="str">
        <f>Plan1!A16</f>
        <v>1.4</v>
      </c>
      <c r="B22" s="68" t="str">
        <f>Plan1!D16</f>
        <v>TAPUME EM CHAPA COMPENSADA RESINADA 6MM COM PORTÕES E FERRAGENS - PADRÃO GOINFRA</v>
      </c>
      <c r="C22" s="62" t="str">
        <f>Plan1!F16</f>
        <v>m2</v>
      </c>
      <c r="D22" s="65" t="s">
        <v>50</v>
      </c>
    </row>
    <row r="23" spans="1:9" x14ac:dyDescent="0.25">
      <c r="A23" s="62" t="s">
        <v>58</v>
      </c>
      <c r="B23" s="68" t="s">
        <v>52</v>
      </c>
      <c r="C23" s="62" t="s">
        <v>33</v>
      </c>
      <c r="D23" s="45">
        <f>D16</f>
        <v>175.93</v>
      </c>
    </row>
    <row r="24" spans="1:9" ht="15.75" customHeight="1" x14ac:dyDescent="0.25">
      <c r="A24" s="62" t="s">
        <v>59</v>
      </c>
      <c r="B24" s="68" t="s">
        <v>57</v>
      </c>
      <c r="C24" s="62" t="s">
        <v>33</v>
      </c>
      <c r="D24" s="45">
        <v>2.2000000000000002</v>
      </c>
    </row>
    <row r="25" spans="1:9" s="58" customFormat="1" ht="15.75" thickBot="1" x14ac:dyDescent="0.3">
      <c r="A25" s="204" t="s">
        <v>60</v>
      </c>
      <c r="B25" s="205"/>
      <c r="C25" s="206"/>
      <c r="D25" s="64">
        <f>D23*D24</f>
        <v>387.04600000000005</v>
      </c>
      <c r="E25" s="59"/>
    </row>
    <row r="26" spans="1:9" ht="30" x14ac:dyDescent="0.25">
      <c r="A26" s="62" t="str">
        <f>Plan1!A17</f>
        <v>1.5</v>
      </c>
      <c r="B26" s="68" t="str">
        <f>Plan1!D17</f>
        <v>LOCAÇÃO DE PRAÇA, QUADRA, IMPLANTAÇÃO UTILIZANDO CAVALETE, INCLUSO PIQUETE COM TESTEMUNHA</v>
      </c>
      <c r="C26" s="62" t="str">
        <f>Plan1!F17</f>
        <v xml:space="preserve">m2 </v>
      </c>
      <c r="D26" s="65" t="s">
        <v>50</v>
      </c>
    </row>
    <row r="27" spans="1:9" x14ac:dyDescent="0.25">
      <c r="A27" s="62" t="s">
        <v>58</v>
      </c>
      <c r="B27" s="68" t="s">
        <v>63</v>
      </c>
      <c r="C27" s="62" t="s">
        <v>67</v>
      </c>
      <c r="D27" s="45">
        <v>3322.78</v>
      </c>
    </row>
    <row r="28" spans="1:9" s="58" customFormat="1" ht="15.75" thickBot="1" x14ac:dyDescent="0.3">
      <c r="A28" s="204" t="s">
        <v>18</v>
      </c>
      <c r="B28" s="205"/>
      <c r="C28" s="206"/>
      <c r="D28" s="64">
        <f>D27</f>
        <v>3322.78</v>
      </c>
      <c r="E28" s="185"/>
    </row>
    <row r="29" spans="1:9" ht="45" x14ac:dyDescent="0.25">
      <c r="A29" s="62" t="str">
        <f>Plan1!A18</f>
        <v>1.6</v>
      </c>
      <c r="B29" s="68" t="str">
        <f>Plan1!D18</f>
        <v>PLACA DE OBRA PLOTADA EM CHAPA METÁLICA 26 , AFIXADA EM CAVALETES DE MADEIRA DE LEI (VIGOTAS 6X12CM) - PADRÃO GOINFRA</v>
      </c>
      <c r="C29" s="62" t="str">
        <f>Plan1!F18</f>
        <v>m2</v>
      </c>
      <c r="D29" s="45" t="s">
        <v>65</v>
      </c>
    </row>
    <row r="30" spans="1:9" x14ac:dyDescent="0.25">
      <c r="A30" s="62" t="s">
        <v>58</v>
      </c>
      <c r="B30" s="68" t="s">
        <v>66</v>
      </c>
      <c r="C30" s="62" t="s">
        <v>33</v>
      </c>
      <c r="D30" s="45">
        <v>2</v>
      </c>
    </row>
    <row r="31" spans="1:9" x14ac:dyDescent="0.25">
      <c r="A31" s="62" t="s">
        <v>59</v>
      </c>
      <c r="B31" s="68" t="s">
        <v>57</v>
      </c>
      <c r="C31" s="62" t="s">
        <v>33</v>
      </c>
      <c r="D31" s="45">
        <v>1.5</v>
      </c>
    </row>
    <row r="32" spans="1:9" s="58" customFormat="1" ht="15.75" thickBot="1" x14ac:dyDescent="0.3">
      <c r="A32" s="204" t="s">
        <v>60</v>
      </c>
      <c r="B32" s="205"/>
      <c r="C32" s="206"/>
      <c r="D32" s="64">
        <f>D30*D31</f>
        <v>3</v>
      </c>
      <c r="E32" s="59"/>
    </row>
    <row r="33" spans="1:5" x14ac:dyDescent="0.25">
      <c r="A33" s="62" t="str">
        <f>Plan1!A19</f>
        <v>1.7</v>
      </c>
      <c r="B33" s="68" t="str">
        <f>Plan1!D19</f>
        <v xml:space="preserve">CONSUMO DE ÁGUA </v>
      </c>
      <c r="C33" s="62" t="str">
        <f>Plan1!F19</f>
        <v xml:space="preserve">m3 </v>
      </c>
      <c r="D33" s="45" t="s">
        <v>68</v>
      </c>
    </row>
    <row r="34" spans="1:5" x14ac:dyDescent="0.25">
      <c r="A34" s="62" t="s">
        <v>58</v>
      </c>
      <c r="B34" s="68" t="s">
        <v>70</v>
      </c>
      <c r="C34" s="62" t="s">
        <v>69</v>
      </c>
      <c r="D34" s="53">
        <v>0.46279999999999999</v>
      </c>
    </row>
    <row r="35" spans="1:5" x14ac:dyDescent="0.25">
      <c r="A35" s="62" t="s">
        <v>59</v>
      </c>
      <c r="B35" s="68" t="s">
        <v>71</v>
      </c>
      <c r="C35" s="62" t="s">
        <v>67</v>
      </c>
      <c r="D35" s="45">
        <f>(435384.48/D28)</f>
        <v>131.03018556750672</v>
      </c>
    </row>
    <row r="36" spans="1:5" s="58" customFormat="1" ht="15.75" thickBot="1" x14ac:dyDescent="0.3">
      <c r="A36" s="204" t="s">
        <v>60</v>
      </c>
      <c r="B36" s="205"/>
      <c r="C36" s="206"/>
      <c r="D36" s="64">
        <f>D34*D35</f>
        <v>60.640769880642111</v>
      </c>
      <c r="E36" s="59"/>
    </row>
    <row r="37" spans="1:5" ht="45" x14ac:dyDescent="0.25">
      <c r="A37" s="62" t="str">
        <f>Plan1!A20</f>
        <v>1.8</v>
      </c>
      <c r="B37" s="68" t="str">
        <f>Plan1!D20</f>
        <v>LOCACAO DE CONTAINER 2,30 X 6,00 M, ALT. 2,50 M, COM 1 SANITARIO, PARA ESCRITORIO, COMPLETO, SEM DIVISORIAS INTERNAS</v>
      </c>
      <c r="C37" s="62" t="str">
        <f>Plan1!F20</f>
        <v xml:space="preserve"> MÊS</v>
      </c>
      <c r="D37" s="45" t="s">
        <v>73</v>
      </c>
    </row>
    <row r="38" spans="1:5" x14ac:dyDescent="0.25">
      <c r="A38" s="62" t="s">
        <v>58</v>
      </c>
      <c r="B38" s="68" t="s">
        <v>74</v>
      </c>
      <c r="C38" s="62"/>
      <c r="D38" s="45">
        <v>6</v>
      </c>
    </row>
    <row r="39" spans="1:5" s="58" customFormat="1" ht="15.75" thickBot="1" x14ac:dyDescent="0.3">
      <c r="A39" s="204" t="s">
        <v>18</v>
      </c>
      <c r="B39" s="205"/>
      <c r="C39" s="206"/>
      <c r="D39" s="64">
        <f>D38</f>
        <v>6</v>
      </c>
      <c r="E39" s="59"/>
    </row>
    <row r="40" spans="1:5" x14ac:dyDescent="0.25">
      <c r="A40" s="35">
        <v>2</v>
      </c>
      <c r="B40" s="52" t="str">
        <f>Plan1!D23</f>
        <v>TRANSPORTES</v>
      </c>
      <c r="C40" s="90"/>
      <c r="D40" s="37"/>
    </row>
    <row r="41" spans="1:5" x14ac:dyDescent="0.25">
      <c r="A41" s="42" t="s">
        <v>10</v>
      </c>
      <c r="B41" s="57" t="s">
        <v>47</v>
      </c>
      <c r="C41" s="42" t="s">
        <v>48</v>
      </c>
      <c r="D41" s="42" t="s">
        <v>49</v>
      </c>
    </row>
    <row r="42" spans="1:5" x14ac:dyDescent="0.25">
      <c r="A42" s="62" t="str">
        <f>Plan1!A24</f>
        <v>2.1</v>
      </c>
      <c r="B42" s="68" t="str">
        <f>Plan1!D24</f>
        <v xml:space="preserve">TRANSPORTE DE ENTULHO EM CAMINHÃO SEM CARGA </v>
      </c>
      <c r="C42" s="62" t="str">
        <f>Plan1!F24</f>
        <v xml:space="preserve">m3 </v>
      </c>
      <c r="D42" s="45" t="s">
        <v>76</v>
      </c>
    </row>
    <row r="43" spans="1:5" x14ac:dyDescent="0.25">
      <c r="A43" s="62" t="s">
        <v>58</v>
      </c>
      <c r="B43" s="68" t="s">
        <v>77</v>
      </c>
      <c r="C43" s="62"/>
      <c r="D43" s="45">
        <f>D14*0.07</f>
        <v>77.947800000000001</v>
      </c>
    </row>
    <row r="44" spans="1:5" x14ac:dyDescent="0.25">
      <c r="A44" s="62" t="s">
        <v>59</v>
      </c>
      <c r="B44" s="68" t="s">
        <v>78</v>
      </c>
      <c r="C44" s="62"/>
      <c r="D44" s="45">
        <f>D18*0.15*0.1</f>
        <v>10.815150000000001</v>
      </c>
    </row>
    <row r="45" spans="1:5" x14ac:dyDescent="0.25">
      <c r="A45" s="62" t="s">
        <v>84</v>
      </c>
      <c r="B45" s="68" t="s">
        <v>79</v>
      </c>
      <c r="C45" s="62"/>
      <c r="D45" s="45">
        <f>D21*0.08</f>
        <v>170.97119999999998</v>
      </c>
    </row>
    <row r="46" spans="1:5" s="58" customFormat="1" x14ac:dyDescent="0.25">
      <c r="A46" s="62" t="s">
        <v>85</v>
      </c>
      <c r="B46" s="68" t="s">
        <v>80</v>
      </c>
      <c r="C46" s="62"/>
      <c r="D46" s="63">
        <v>0.3</v>
      </c>
    </row>
    <row r="47" spans="1:5" s="58" customFormat="1" ht="15.75" thickBot="1" x14ac:dyDescent="0.3">
      <c r="A47" s="204" t="s">
        <v>86</v>
      </c>
      <c r="B47" s="205"/>
      <c r="C47" s="206"/>
      <c r="D47" s="64">
        <f>(D43+D44+D45)*D46</f>
        <v>77.920244999999994</v>
      </c>
      <c r="E47" s="59"/>
    </row>
    <row r="48" spans="1:5" x14ac:dyDescent="0.25">
      <c r="A48" s="62" t="str">
        <f>Plan1!A25</f>
        <v>2.2</v>
      </c>
      <c r="B48" s="68" t="str">
        <f>Plan1!D25</f>
        <v xml:space="preserve">TRANSPORTE DE ENTULHO CAÇAMBA ESTACIONÁRIA SEM CARGA </v>
      </c>
      <c r="C48" s="62" t="str">
        <f>Plan1!F25</f>
        <v>m3</v>
      </c>
      <c r="D48" s="45" t="s">
        <v>76</v>
      </c>
    </row>
    <row r="49" spans="1:5" x14ac:dyDescent="0.25">
      <c r="A49" s="62"/>
      <c r="B49" s="68" t="s">
        <v>83</v>
      </c>
      <c r="C49" s="62"/>
      <c r="D49" s="45"/>
    </row>
    <row r="50" spans="1:5" x14ac:dyDescent="0.25">
      <c r="A50" s="62" t="s">
        <v>58</v>
      </c>
      <c r="B50" s="68" t="s">
        <v>63</v>
      </c>
      <c r="C50" s="62" t="s">
        <v>67</v>
      </c>
      <c r="D50" s="45">
        <f>D28</f>
        <v>3322.78</v>
      </c>
    </row>
    <row r="51" spans="1:5" x14ac:dyDescent="0.25">
      <c r="A51" s="62" t="s">
        <v>59</v>
      </c>
      <c r="B51" s="68" t="s">
        <v>81</v>
      </c>
      <c r="C51" s="62" t="s">
        <v>82</v>
      </c>
      <c r="D51" s="45">
        <v>0.05</v>
      </c>
    </row>
    <row r="52" spans="1:5" s="58" customFormat="1" ht="15.75" thickBot="1" x14ac:dyDescent="0.3">
      <c r="A52" s="204" t="s">
        <v>60</v>
      </c>
      <c r="B52" s="205"/>
      <c r="C52" s="206"/>
      <c r="D52" s="64">
        <f>D50*D51</f>
        <v>166.13900000000001</v>
      </c>
      <c r="E52" s="59"/>
    </row>
    <row r="53" spans="1:5" x14ac:dyDescent="0.25">
      <c r="A53" s="35">
        <v>3</v>
      </c>
      <c r="B53" s="52" t="str">
        <f>Plan1!D28</f>
        <v>SERVIÇO EM TERRA</v>
      </c>
      <c r="C53" s="90"/>
      <c r="D53" s="37"/>
    </row>
    <row r="54" spans="1:5" x14ac:dyDescent="0.25">
      <c r="A54" s="42" t="s">
        <v>10</v>
      </c>
      <c r="B54" s="57" t="s">
        <v>47</v>
      </c>
      <c r="C54" s="42" t="s">
        <v>48</v>
      </c>
      <c r="D54" s="42" t="s">
        <v>49</v>
      </c>
    </row>
    <row r="55" spans="1:5" x14ac:dyDescent="0.25">
      <c r="A55" s="62" t="str">
        <f>Plan1!A29</f>
        <v>3.1</v>
      </c>
      <c r="B55" s="68" t="str">
        <f>Plan1!D29</f>
        <v xml:space="preserve">ESCAVACAO MANUAL DE VALAS &lt; 1 MTS. (OBRAS CIVIS) </v>
      </c>
      <c r="C55" s="62" t="str">
        <f>Plan1!F29</f>
        <v xml:space="preserve">m3 </v>
      </c>
      <c r="D55" s="45" t="s">
        <v>76</v>
      </c>
    </row>
    <row r="56" spans="1:5" s="58" customFormat="1" x14ac:dyDescent="0.25">
      <c r="A56" s="62" t="s">
        <v>58</v>
      </c>
      <c r="B56" s="68" t="s">
        <v>106</v>
      </c>
      <c r="C56" s="62"/>
      <c r="D56" s="63">
        <f>(18+18+10.3+10.3)</f>
        <v>56.599999999999994</v>
      </c>
    </row>
    <row r="57" spans="1:5" s="58" customFormat="1" x14ac:dyDescent="0.25">
      <c r="A57" s="62" t="s">
        <v>59</v>
      </c>
      <c r="B57" s="68" t="s">
        <v>107</v>
      </c>
      <c r="C57" s="62"/>
      <c r="D57" s="71">
        <f>(0.3*0.35)</f>
        <v>0.105</v>
      </c>
    </row>
    <row r="58" spans="1:5" s="58" customFormat="1" x14ac:dyDescent="0.25">
      <c r="A58" s="62" t="s">
        <v>84</v>
      </c>
      <c r="B58" s="79" t="s">
        <v>364</v>
      </c>
      <c r="C58" s="80"/>
      <c r="D58" s="81">
        <f>0.3*((18*10.3)+6.34)</f>
        <v>57.521999999999998</v>
      </c>
    </row>
    <row r="59" spans="1:5" s="58" customFormat="1" ht="15.75" thickBot="1" x14ac:dyDescent="0.3">
      <c r="A59" s="204" t="s">
        <v>118</v>
      </c>
      <c r="B59" s="205"/>
      <c r="C59" s="206"/>
      <c r="D59" s="64">
        <f>(D56*D57)+D58</f>
        <v>63.464999999999996</v>
      </c>
      <c r="E59" s="59"/>
    </row>
    <row r="60" spans="1:5" s="58" customFormat="1" x14ac:dyDescent="0.25">
      <c r="A60" s="62" t="str">
        <f>Plan1!A30</f>
        <v>3.2</v>
      </c>
      <c r="B60" s="68" t="str">
        <f>Plan1!D30</f>
        <v>REATERRO COM APILOAMENTO</v>
      </c>
      <c r="C60" s="62" t="str">
        <f>Plan1!F30</f>
        <v xml:space="preserve"> m3 </v>
      </c>
      <c r="D60" s="63" t="s">
        <v>76</v>
      </c>
      <c r="E60" s="59"/>
    </row>
    <row r="61" spans="1:5" s="58" customFormat="1" x14ac:dyDescent="0.25">
      <c r="A61" s="62" t="s">
        <v>58</v>
      </c>
      <c r="B61" s="68" t="s">
        <v>106</v>
      </c>
      <c r="C61" s="62"/>
      <c r="D61" s="63">
        <f>(18+18+10.3+10.3)</f>
        <v>56.599999999999994</v>
      </c>
      <c r="E61" s="59"/>
    </row>
    <row r="62" spans="1:5" s="58" customFormat="1" x14ac:dyDescent="0.25">
      <c r="A62" s="62" t="s">
        <v>59</v>
      </c>
      <c r="B62" s="68" t="s">
        <v>107</v>
      </c>
      <c r="C62" s="62"/>
      <c r="D62" s="63">
        <f>(0.15+0.15)*0.2</f>
        <v>0.06</v>
      </c>
      <c r="E62" s="59"/>
    </row>
    <row r="63" spans="1:5" s="58" customFormat="1" ht="15.75" thickBot="1" x14ac:dyDescent="0.3">
      <c r="A63" s="204" t="s">
        <v>60</v>
      </c>
      <c r="B63" s="205"/>
      <c r="C63" s="206"/>
      <c r="D63" s="64">
        <f>D61*D62</f>
        <v>3.3959999999999995</v>
      </c>
      <c r="E63" s="59"/>
    </row>
    <row r="64" spans="1:5" x14ac:dyDescent="0.25">
      <c r="A64" s="62" t="str">
        <f>Plan1!A31</f>
        <v>3.3</v>
      </c>
      <c r="B64" s="68" t="str">
        <f>Plan1!D31</f>
        <v xml:space="preserve">APILOAMENTO MECÂNICO </v>
      </c>
      <c r="C64" s="62" t="str">
        <f>Plan1!F31</f>
        <v>m2</v>
      </c>
      <c r="D64" s="45" t="s">
        <v>65</v>
      </c>
    </row>
    <row r="65" spans="1:5" s="58" customFormat="1" x14ac:dyDescent="0.25">
      <c r="A65" s="62" t="s">
        <v>58</v>
      </c>
      <c r="B65" s="68" t="s">
        <v>112</v>
      </c>
      <c r="C65" s="62"/>
      <c r="D65" s="63">
        <f>D207</f>
        <v>2180.06</v>
      </c>
    </row>
    <row r="66" spans="1:5" s="58" customFormat="1" x14ac:dyDescent="0.25">
      <c r="A66" s="62" t="s">
        <v>59</v>
      </c>
      <c r="B66" s="68" t="s">
        <v>362</v>
      </c>
      <c r="C66" s="62"/>
      <c r="D66" s="63">
        <f>18.3*10.3</f>
        <v>188.49</v>
      </c>
    </row>
    <row r="67" spans="1:5" s="58" customFormat="1" ht="15.75" thickBot="1" x14ac:dyDescent="0.3">
      <c r="A67" s="204" t="s">
        <v>61</v>
      </c>
      <c r="B67" s="205"/>
      <c r="C67" s="206"/>
      <c r="D67" s="64">
        <f>D65+D66</f>
        <v>2368.5500000000002</v>
      </c>
      <c r="E67" s="59"/>
    </row>
    <row r="68" spans="1:5" x14ac:dyDescent="0.25">
      <c r="A68" s="62" t="str">
        <f>Plan1!A32</f>
        <v>3.4</v>
      </c>
      <c r="B68" s="68" t="str">
        <f>Plan1!D32</f>
        <v xml:space="preserve">AREIA FINA </v>
      </c>
      <c r="C68" s="62" t="str">
        <f>Plan1!F32</f>
        <v>m3</v>
      </c>
      <c r="D68" s="63" t="s">
        <v>76</v>
      </c>
    </row>
    <row r="69" spans="1:5" x14ac:dyDescent="0.25">
      <c r="A69" s="62" t="s">
        <v>58</v>
      </c>
      <c r="B69" s="68" t="s">
        <v>363</v>
      </c>
      <c r="C69" s="62"/>
      <c r="D69" s="45">
        <f>D82</f>
        <v>191.74</v>
      </c>
    </row>
    <row r="70" spans="1:5" x14ac:dyDescent="0.25">
      <c r="A70" s="62" t="s">
        <v>59</v>
      </c>
      <c r="B70" s="68" t="s">
        <v>114</v>
      </c>
      <c r="C70" s="62"/>
      <c r="D70" s="45">
        <f>0.15</f>
        <v>0.15</v>
      </c>
    </row>
    <row r="71" spans="1:5" s="58" customFormat="1" ht="15.75" thickBot="1" x14ac:dyDescent="0.3">
      <c r="A71" s="204" t="s">
        <v>60</v>
      </c>
      <c r="B71" s="205"/>
      <c r="C71" s="206"/>
      <c r="D71" s="64">
        <f>D69*D70</f>
        <v>28.760999999999999</v>
      </c>
      <c r="E71" s="59"/>
    </row>
    <row r="72" spans="1:5" x14ac:dyDescent="0.25">
      <c r="A72" s="76">
        <v>4</v>
      </c>
      <c r="B72" s="207" t="str">
        <f>Plan1!D35</f>
        <v>FUNDAÇÕES E SONDAGENS</v>
      </c>
      <c r="C72" s="207"/>
      <c r="D72" s="208"/>
    </row>
    <row r="73" spans="1:5" x14ac:dyDescent="0.25">
      <c r="A73" s="62" t="str">
        <f>Plan1!A36</f>
        <v>4.1</v>
      </c>
      <c r="B73" s="68" t="str">
        <f>Plan1!D36</f>
        <v xml:space="preserve">ESCAVACAO MANUAL DE VALAS (SAPATAS/BLOCOS) </v>
      </c>
      <c r="C73" s="62" t="str">
        <f>Plan1!F36</f>
        <v>m3</v>
      </c>
      <c r="D73" s="45" t="s">
        <v>76</v>
      </c>
    </row>
    <row r="74" spans="1:5" x14ac:dyDescent="0.25">
      <c r="A74" s="62" t="s">
        <v>58</v>
      </c>
      <c r="B74" s="68" t="s">
        <v>108</v>
      </c>
      <c r="C74" s="62"/>
      <c r="D74" s="63">
        <f>61*0.4</f>
        <v>24.400000000000002</v>
      </c>
    </row>
    <row r="75" spans="1:5" x14ac:dyDescent="0.25">
      <c r="A75" s="62" t="s">
        <v>59</v>
      </c>
      <c r="B75" s="68" t="s">
        <v>119</v>
      </c>
      <c r="C75" s="62"/>
      <c r="D75" s="63">
        <f>(0.55*0.55)</f>
        <v>0.30250000000000005</v>
      </c>
    </row>
    <row r="76" spans="1:5" s="58" customFormat="1" ht="15.75" thickBot="1" x14ac:dyDescent="0.3">
      <c r="A76" s="204" t="s">
        <v>60</v>
      </c>
      <c r="B76" s="205"/>
      <c r="C76" s="206"/>
      <c r="D76" s="64">
        <f>(D74*D75)</f>
        <v>7.381000000000002</v>
      </c>
      <c r="E76" s="59"/>
    </row>
    <row r="77" spans="1:5" x14ac:dyDescent="0.25">
      <c r="A77" s="62" t="str">
        <f>Plan1!A37</f>
        <v>4.2</v>
      </c>
      <c r="B77" s="68" t="str">
        <f>Plan1!D37</f>
        <v>APILOAMENTO (BLOCOS/SAPATAS)</v>
      </c>
      <c r="C77" s="62" t="str">
        <f>Plan1!F37</f>
        <v xml:space="preserve"> m2 </v>
      </c>
      <c r="D77" s="45" t="s">
        <v>65</v>
      </c>
    </row>
    <row r="78" spans="1:5" x14ac:dyDescent="0.25">
      <c r="A78" s="62" t="s">
        <v>58</v>
      </c>
      <c r="B78" s="68" t="s">
        <v>115</v>
      </c>
      <c r="C78" s="62"/>
      <c r="D78" s="45">
        <f>61</f>
        <v>61</v>
      </c>
    </row>
    <row r="79" spans="1:5" x14ac:dyDescent="0.25">
      <c r="A79" s="62" t="s">
        <v>59</v>
      </c>
      <c r="B79" s="68" t="s">
        <v>116</v>
      </c>
      <c r="C79" s="62"/>
      <c r="D79" s="45">
        <f>0.4*0.4</f>
        <v>0.16000000000000003</v>
      </c>
    </row>
    <row r="80" spans="1:5" s="58" customFormat="1" ht="15.75" thickBot="1" x14ac:dyDescent="0.3">
      <c r="A80" s="204" t="s">
        <v>60</v>
      </c>
      <c r="B80" s="205"/>
      <c r="C80" s="206"/>
      <c r="D80" s="64">
        <f>D78*D79</f>
        <v>9.7600000000000016</v>
      </c>
      <c r="E80" s="59"/>
    </row>
    <row r="81" spans="1:5" x14ac:dyDescent="0.25">
      <c r="A81" s="62" t="str">
        <f>Plan1!A38</f>
        <v>4.3</v>
      </c>
      <c r="B81" s="68" t="str">
        <f>Plan1!D38</f>
        <v xml:space="preserve">LASTRO DE BRITA (OBRAS CIVIS) </v>
      </c>
      <c r="C81" s="62" t="str">
        <f>Plan1!F38</f>
        <v xml:space="preserve">m3 </v>
      </c>
      <c r="D81" s="63" t="s">
        <v>76</v>
      </c>
    </row>
    <row r="82" spans="1:5" x14ac:dyDescent="0.25">
      <c r="A82" s="62" t="s">
        <v>58</v>
      </c>
      <c r="B82" s="68" t="s">
        <v>365</v>
      </c>
      <c r="C82" s="62"/>
      <c r="D82" s="63">
        <f>(18*10.3)+6.34</f>
        <v>191.74</v>
      </c>
    </row>
    <row r="83" spans="1:5" x14ac:dyDescent="0.25">
      <c r="A83" s="62" t="s">
        <v>59</v>
      </c>
      <c r="B83" s="68" t="s">
        <v>117</v>
      </c>
      <c r="C83" s="62"/>
      <c r="D83" s="63">
        <v>0.15</v>
      </c>
    </row>
    <row r="84" spans="1:5" s="58" customFormat="1" ht="15.75" thickBot="1" x14ac:dyDescent="0.3">
      <c r="A84" s="204" t="s">
        <v>60</v>
      </c>
      <c r="B84" s="205"/>
      <c r="C84" s="206"/>
      <c r="D84" s="64">
        <f>D82*D83</f>
        <v>28.760999999999999</v>
      </c>
      <c r="E84" s="59"/>
    </row>
    <row r="85" spans="1:5" ht="30" x14ac:dyDescent="0.25">
      <c r="A85" s="62" t="str">
        <f>Plan1!A39</f>
        <v>4.4</v>
      </c>
      <c r="B85" s="68" t="str">
        <f>Plan1!D39</f>
        <v xml:space="preserve">PREPARO COM BETONEIRA E TRANSPORTE MANUAL DE CONCRETO FCK=25 MPA </v>
      </c>
      <c r="C85" s="62" t="str">
        <f>Plan1!F39</f>
        <v xml:space="preserve">m3 </v>
      </c>
      <c r="D85" s="63" t="s">
        <v>76</v>
      </c>
    </row>
    <row r="86" spans="1:5" x14ac:dyDescent="0.25">
      <c r="A86" s="62" t="s">
        <v>58</v>
      </c>
      <c r="B86" s="68" t="s">
        <v>106</v>
      </c>
      <c r="C86" s="62"/>
      <c r="D86" s="63">
        <f>D56</f>
        <v>56.599999999999994</v>
      </c>
    </row>
    <row r="87" spans="1:5" x14ac:dyDescent="0.25">
      <c r="A87" s="62" t="s">
        <v>59</v>
      </c>
      <c r="B87" s="68" t="s">
        <v>120</v>
      </c>
      <c r="C87" s="62"/>
      <c r="D87" s="63">
        <f>0.15*0.2</f>
        <v>0.03</v>
      </c>
    </row>
    <row r="88" spans="1:5" x14ac:dyDescent="0.25">
      <c r="A88" s="62" t="s">
        <v>84</v>
      </c>
      <c r="B88" s="68" t="s">
        <v>121</v>
      </c>
      <c r="C88" s="62"/>
      <c r="D88" s="63">
        <f>D78</f>
        <v>61</v>
      </c>
    </row>
    <row r="89" spans="1:5" x14ac:dyDescent="0.25">
      <c r="A89" s="62" t="s">
        <v>85</v>
      </c>
      <c r="B89" s="68" t="s">
        <v>122</v>
      </c>
      <c r="C89" s="62"/>
      <c r="D89" s="63">
        <f>0.4*0.4*0.4</f>
        <v>6.4000000000000015E-2</v>
      </c>
    </row>
    <row r="90" spans="1:5" s="58" customFormat="1" ht="15.75" thickBot="1" x14ac:dyDescent="0.3">
      <c r="A90" s="204" t="s">
        <v>290</v>
      </c>
      <c r="B90" s="205"/>
      <c r="C90" s="206"/>
      <c r="D90" s="64">
        <f>(D86*D87)+(D88*D89)</f>
        <v>5.6020000000000003</v>
      </c>
      <c r="E90" s="59"/>
    </row>
    <row r="91" spans="1:5" ht="30" x14ac:dyDescent="0.25">
      <c r="A91" s="62" t="str">
        <f>Plan1!A40</f>
        <v>4.5</v>
      </c>
      <c r="B91" s="68" t="str">
        <f>Plan1!D40</f>
        <v>LANÇAMENTO/APLICAÇÃO/ADENSAMENTO DE CONCRETO USINADO BOMBEADO EM FUNDAÇÃO</v>
      </c>
      <c r="C91" s="62" t="str">
        <f>Plan1!F40</f>
        <v>m3</v>
      </c>
      <c r="D91" s="63" t="s">
        <v>76</v>
      </c>
    </row>
    <row r="92" spans="1:5" x14ac:dyDescent="0.25">
      <c r="A92" s="62" t="s">
        <v>58</v>
      </c>
      <c r="B92" s="68" t="s">
        <v>106</v>
      </c>
      <c r="C92" s="62"/>
      <c r="D92" s="63">
        <f>D86</f>
        <v>56.599999999999994</v>
      </c>
    </row>
    <row r="93" spans="1:5" x14ac:dyDescent="0.25">
      <c r="A93" s="62" t="s">
        <v>59</v>
      </c>
      <c r="B93" s="68" t="s">
        <v>120</v>
      </c>
      <c r="C93" s="62"/>
      <c r="D93" s="63">
        <f>0.15*0.2</f>
        <v>0.03</v>
      </c>
    </row>
    <row r="94" spans="1:5" x14ac:dyDescent="0.25">
      <c r="A94" s="62" t="s">
        <v>84</v>
      </c>
      <c r="B94" s="68" t="s">
        <v>121</v>
      </c>
      <c r="C94" s="62"/>
      <c r="D94" s="63">
        <f>D88</f>
        <v>61</v>
      </c>
    </row>
    <row r="95" spans="1:5" x14ac:dyDescent="0.25">
      <c r="A95" s="62" t="s">
        <v>85</v>
      </c>
      <c r="B95" s="68" t="s">
        <v>122</v>
      </c>
      <c r="C95" s="62"/>
      <c r="D95" s="63">
        <f>0.4*0.4*0.4</f>
        <v>6.4000000000000015E-2</v>
      </c>
    </row>
    <row r="96" spans="1:5" ht="15.75" thickBot="1" x14ac:dyDescent="0.3">
      <c r="A96" s="204" t="s">
        <v>290</v>
      </c>
      <c r="B96" s="205"/>
      <c r="C96" s="206"/>
      <c r="D96" s="64">
        <f>(D92*D93)+(D94*D95)</f>
        <v>5.6020000000000003</v>
      </c>
    </row>
    <row r="97" spans="1:4" x14ac:dyDescent="0.25">
      <c r="A97" s="62" t="str">
        <f>Plan1!A41</f>
        <v>4.6</v>
      </c>
      <c r="B97" s="68" t="str">
        <f>Plan1!D41</f>
        <v xml:space="preserve">FORMA TABUA PINHO P/FUNDACOES U=3V - (OBRAS CIVIS) </v>
      </c>
      <c r="C97" s="62" t="str">
        <f>Plan1!F41</f>
        <v xml:space="preserve">m2 </v>
      </c>
      <c r="D97" s="63" t="s">
        <v>50</v>
      </c>
    </row>
    <row r="98" spans="1:4" x14ac:dyDescent="0.25">
      <c r="A98" s="62" t="s">
        <v>58</v>
      </c>
      <c r="B98" s="68" t="s">
        <v>106</v>
      </c>
      <c r="C98" s="62"/>
      <c r="D98" s="63">
        <f>D92</f>
        <v>56.599999999999994</v>
      </c>
    </row>
    <row r="99" spans="1:4" x14ac:dyDescent="0.25">
      <c r="A99" s="62" t="s">
        <v>59</v>
      </c>
      <c r="B99" s="68" t="s">
        <v>124</v>
      </c>
      <c r="C99" s="62"/>
      <c r="D99" s="63">
        <f>0.2</f>
        <v>0.2</v>
      </c>
    </row>
    <row r="100" spans="1:4" x14ac:dyDescent="0.25">
      <c r="A100" s="62" t="s">
        <v>84</v>
      </c>
      <c r="B100" s="68" t="s">
        <v>125</v>
      </c>
      <c r="C100" s="62"/>
      <c r="D100" s="63">
        <f>2</f>
        <v>2</v>
      </c>
    </row>
    <row r="101" spans="1:4" x14ac:dyDescent="0.25">
      <c r="A101" s="62" t="s">
        <v>85</v>
      </c>
      <c r="B101" s="68" t="str">
        <f>B94</f>
        <v xml:space="preserve">Blocos Pergolados - Quantidade </v>
      </c>
      <c r="C101" s="62"/>
      <c r="D101" s="63">
        <f>D94*4</f>
        <v>244</v>
      </c>
    </row>
    <row r="102" spans="1:4" x14ac:dyDescent="0.25">
      <c r="A102" s="62" t="s">
        <v>289</v>
      </c>
      <c r="B102" s="68" t="s">
        <v>126</v>
      </c>
      <c r="C102" s="62"/>
      <c r="D102" s="63">
        <f>0.4*0.4</f>
        <v>0.16000000000000003</v>
      </c>
    </row>
    <row r="103" spans="1:4" s="58" customFormat="1" ht="15.75" thickBot="1" x14ac:dyDescent="0.3">
      <c r="A103" s="204" t="s">
        <v>18</v>
      </c>
      <c r="B103" s="205"/>
      <c r="C103" s="206"/>
      <c r="D103" s="64">
        <f>(D98*D99*D100)+(D101*D102)</f>
        <v>61.680000000000007</v>
      </c>
    </row>
    <row r="104" spans="1:4" x14ac:dyDescent="0.25">
      <c r="A104" s="62" t="str">
        <f>Plan1!A42</f>
        <v>4.7</v>
      </c>
      <c r="B104" s="68" t="str">
        <f>Plan1!D42</f>
        <v>ESTACA A TRADO DIAM.25 CM SEM FERRO</v>
      </c>
      <c r="C104" s="62" t="str">
        <f>Plan1!F42</f>
        <v xml:space="preserve"> M </v>
      </c>
      <c r="D104" s="63" t="s">
        <v>52</v>
      </c>
    </row>
    <row r="105" spans="1:4" x14ac:dyDescent="0.25">
      <c r="A105" s="62" t="s">
        <v>58</v>
      </c>
      <c r="B105" s="68" t="s">
        <v>144</v>
      </c>
      <c r="C105" s="62"/>
      <c r="D105" s="63">
        <f>18</f>
        <v>18</v>
      </c>
    </row>
    <row r="106" spans="1:4" s="58" customFormat="1" x14ac:dyDescent="0.25">
      <c r="A106" s="62" t="s">
        <v>59</v>
      </c>
      <c r="B106" s="68" t="s">
        <v>133</v>
      </c>
      <c r="C106" s="62"/>
      <c r="D106" s="63">
        <v>1.5</v>
      </c>
    </row>
    <row r="107" spans="1:4" s="58" customFormat="1" ht="15.75" thickBot="1" x14ac:dyDescent="0.3">
      <c r="A107" s="204" t="s">
        <v>291</v>
      </c>
      <c r="B107" s="205"/>
      <c r="C107" s="206"/>
      <c r="D107" s="64">
        <f>D105*D106</f>
        <v>27</v>
      </c>
    </row>
    <row r="108" spans="1:4" x14ac:dyDescent="0.25">
      <c r="A108" s="62" t="str">
        <f>Plan1!A43</f>
        <v>4.8</v>
      </c>
      <c r="B108" s="68" t="str">
        <f>Plan1!D43</f>
        <v>ACO CA 50-A - 8,0 MM (5/16") - (OBRAS CIVIS)</v>
      </c>
      <c r="C108" s="62" t="str">
        <f>Plan1!F43</f>
        <v xml:space="preserve"> Kg </v>
      </c>
      <c r="D108" s="63" t="s">
        <v>137</v>
      </c>
    </row>
    <row r="109" spans="1:4" x14ac:dyDescent="0.25">
      <c r="A109" s="62" t="s">
        <v>58</v>
      </c>
      <c r="B109" s="68" t="s">
        <v>138</v>
      </c>
      <c r="C109" s="62"/>
      <c r="D109" s="63">
        <f>18*(1.5+0.35)*3</f>
        <v>99.9</v>
      </c>
    </row>
    <row r="110" spans="1:4" s="58" customFormat="1" x14ac:dyDescent="0.25">
      <c r="A110" s="62" t="s">
        <v>59</v>
      </c>
      <c r="B110" s="68" t="s">
        <v>140</v>
      </c>
      <c r="C110" s="62"/>
      <c r="D110" s="63">
        <f>D98*2</f>
        <v>113.19999999999999</v>
      </c>
    </row>
    <row r="111" spans="1:4" x14ac:dyDescent="0.25">
      <c r="A111" s="62" t="s">
        <v>84</v>
      </c>
      <c r="B111" s="68" t="s">
        <v>139</v>
      </c>
      <c r="C111" s="62"/>
      <c r="D111" s="71">
        <f>0.395</f>
        <v>0.39500000000000002</v>
      </c>
    </row>
    <row r="112" spans="1:4" s="58" customFormat="1" ht="15.75" thickBot="1" x14ac:dyDescent="0.3">
      <c r="A112" s="204" t="s">
        <v>292</v>
      </c>
      <c r="B112" s="205"/>
      <c r="C112" s="206"/>
      <c r="D112" s="64">
        <f>(D109+D110)*D111</f>
        <v>84.174499999999995</v>
      </c>
    </row>
    <row r="113" spans="1:4" x14ac:dyDescent="0.25">
      <c r="A113" s="62" t="str">
        <f>Plan1!A44</f>
        <v>4.9</v>
      </c>
      <c r="B113" s="68" t="str">
        <f>Plan1!D44</f>
        <v xml:space="preserve">ACO CA-60 - 5,0 MM - (OBRAS CIVIS) </v>
      </c>
      <c r="C113" s="62" t="str">
        <f>Plan1!F44</f>
        <v>Kg</v>
      </c>
      <c r="D113" s="63" t="s">
        <v>143</v>
      </c>
    </row>
    <row r="114" spans="1:4" x14ac:dyDescent="0.25">
      <c r="A114" s="62" t="s">
        <v>58</v>
      </c>
      <c r="B114" s="68" t="s">
        <v>138</v>
      </c>
      <c r="C114" s="62"/>
      <c r="D114" s="63">
        <f>(1.5/0.2)*0.55</f>
        <v>4.125</v>
      </c>
    </row>
    <row r="115" spans="1:4" x14ac:dyDescent="0.25">
      <c r="A115" s="62" t="s">
        <v>59</v>
      </c>
      <c r="B115" s="68" t="s">
        <v>144</v>
      </c>
      <c r="C115" s="62"/>
      <c r="D115" s="63">
        <f>18*8</f>
        <v>144</v>
      </c>
    </row>
    <row r="116" spans="1:4" x14ac:dyDescent="0.25">
      <c r="A116" s="62" t="s">
        <v>84</v>
      </c>
      <c r="B116" s="68" t="s">
        <v>140</v>
      </c>
      <c r="C116" s="62"/>
      <c r="D116" s="63">
        <f>(56.6/0.15)*0.58</f>
        <v>218.85333333333335</v>
      </c>
    </row>
    <row r="117" spans="1:4" x14ac:dyDescent="0.25">
      <c r="A117" s="62" t="s">
        <v>85</v>
      </c>
      <c r="B117" s="68" t="s">
        <v>139</v>
      </c>
      <c r="C117" s="62"/>
      <c r="D117" s="71">
        <f>0.154</f>
        <v>0.154</v>
      </c>
    </row>
    <row r="118" spans="1:4" s="58" customFormat="1" ht="15.75" thickBot="1" x14ac:dyDescent="0.3">
      <c r="A118" s="204" t="s">
        <v>293</v>
      </c>
      <c r="B118" s="205"/>
      <c r="C118" s="206"/>
      <c r="D118" s="64">
        <f>((D114*D115)+D116)*D117</f>
        <v>125.17941333333333</v>
      </c>
    </row>
    <row r="119" spans="1:4" s="58" customFormat="1" x14ac:dyDescent="0.25">
      <c r="A119" s="76">
        <v>5</v>
      </c>
      <c r="B119" s="207" t="str">
        <f>Plan1!D47</f>
        <v>ESTRUTURA</v>
      </c>
      <c r="C119" s="207"/>
      <c r="D119" s="208"/>
    </row>
    <row r="120" spans="1:4" x14ac:dyDescent="0.25">
      <c r="A120" s="62" t="str">
        <f>Plan1!A48</f>
        <v>5.1</v>
      </c>
      <c r="B120" s="68" t="str">
        <f>Plan1!D48</f>
        <v xml:space="preserve"> FORMA CH.COMPENSADA 12MM-VIGA/PILAR U=4V - (OBRAS CIVIS </v>
      </c>
      <c r="C120" s="62" t="str">
        <f>Plan1!F48</f>
        <v xml:space="preserve">m2 </v>
      </c>
      <c r="D120" s="63" t="s">
        <v>50</v>
      </c>
    </row>
    <row r="121" spans="1:4" x14ac:dyDescent="0.25">
      <c r="A121" s="62" t="s">
        <v>58</v>
      </c>
      <c r="B121" s="68" t="s">
        <v>149</v>
      </c>
      <c r="C121" s="62"/>
      <c r="D121" s="63">
        <f>18*1*2*0.14</f>
        <v>5.0400000000000009</v>
      </c>
    </row>
    <row r="122" spans="1:4" x14ac:dyDescent="0.25">
      <c r="A122" s="62" t="s">
        <v>59</v>
      </c>
      <c r="B122" s="68" t="s">
        <v>150</v>
      </c>
      <c r="C122" s="62"/>
      <c r="D122" s="63">
        <f>((16+16+10.3+10.3)*0.14)*3</f>
        <v>22.091999999999999</v>
      </c>
    </row>
    <row r="123" spans="1:4" s="58" customFormat="1" ht="15.75" thickBot="1" x14ac:dyDescent="0.3">
      <c r="A123" s="204" t="s">
        <v>294</v>
      </c>
      <c r="B123" s="205"/>
      <c r="C123" s="206"/>
      <c r="D123" s="64">
        <f>D121+D122</f>
        <v>27.131999999999998</v>
      </c>
    </row>
    <row r="124" spans="1:4" x14ac:dyDescent="0.25">
      <c r="A124" s="62" t="str">
        <f>Plan1!A49</f>
        <v>5.2</v>
      </c>
      <c r="B124" s="68" t="str">
        <f>Plan1!D49</f>
        <v xml:space="preserve"> ACO CA-50-A - 6,3 MM (1/4") - (OBRAS CIVIS)</v>
      </c>
      <c r="C124" s="62" t="str">
        <f>Plan1!F49</f>
        <v xml:space="preserve"> Kg </v>
      </c>
      <c r="D124" s="63" t="s">
        <v>137</v>
      </c>
    </row>
    <row r="125" spans="1:4" x14ac:dyDescent="0.25">
      <c r="A125" s="62" t="s">
        <v>58</v>
      </c>
      <c r="B125" s="68" t="s">
        <v>150</v>
      </c>
      <c r="C125" s="62"/>
      <c r="D125" s="63">
        <f>(16+16+10.3+10.3)*4</f>
        <v>210.39999999999998</v>
      </c>
    </row>
    <row r="126" spans="1:4" x14ac:dyDescent="0.25">
      <c r="A126" s="62" t="s">
        <v>59</v>
      </c>
      <c r="B126" s="68" t="s">
        <v>139</v>
      </c>
      <c r="C126" s="62"/>
      <c r="D126" s="71">
        <v>0.248</v>
      </c>
    </row>
    <row r="127" spans="1:4" s="58" customFormat="1" ht="15.75" thickBot="1" x14ac:dyDescent="0.3">
      <c r="A127" s="204" t="s">
        <v>295</v>
      </c>
      <c r="B127" s="205"/>
      <c r="C127" s="206"/>
      <c r="D127" s="64">
        <f>D125*D126</f>
        <v>52.179199999999994</v>
      </c>
    </row>
    <row r="128" spans="1:4" x14ac:dyDescent="0.25">
      <c r="A128" s="62" t="str">
        <f>Plan1!A50</f>
        <v>5.3</v>
      </c>
      <c r="B128" s="68" t="str">
        <f>Plan1!D50</f>
        <v xml:space="preserve">ACO CA-50 A - 8,0 MM (5/16") - (OBRAS CIVIS) </v>
      </c>
      <c r="C128" s="63" t="str">
        <f>Plan1!F50</f>
        <v xml:space="preserve">Kg </v>
      </c>
      <c r="D128" s="63" t="s">
        <v>137</v>
      </c>
    </row>
    <row r="129" spans="1:4" x14ac:dyDescent="0.25">
      <c r="A129" s="62" t="s">
        <v>58</v>
      </c>
      <c r="B129" s="68" t="s">
        <v>149</v>
      </c>
      <c r="C129" s="62"/>
      <c r="D129" s="63">
        <f>4*1*18</f>
        <v>72</v>
      </c>
    </row>
    <row r="130" spans="1:4" x14ac:dyDescent="0.25">
      <c r="A130" s="62" t="s">
        <v>59</v>
      </c>
      <c r="B130" s="68" t="s">
        <v>139</v>
      </c>
      <c r="C130" s="62"/>
      <c r="D130" s="71">
        <v>0.39500000000000002</v>
      </c>
    </row>
    <row r="131" spans="1:4" s="58" customFormat="1" ht="15.75" thickBot="1" x14ac:dyDescent="0.3">
      <c r="A131" s="204" t="s">
        <v>18</v>
      </c>
      <c r="B131" s="205"/>
      <c r="C131" s="206"/>
      <c r="D131" s="64">
        <f>D129*D130</f>
        <v>28.44</v>
      </c>
    </row>
    <row r="132" spans="1:4" x14ac:dyDescent="0.25">
      <c r="A132" s="62" t="str">
        <f>Plan1!A51</f>
        <v>5.4</v>
      </c>
      <c r="B132" s="68" t="str">
        <f>Plan1!D51</f>
        <v>ACO CA - 60 - 5,0 MM - (OBRAS CIVIS)</v>
      </c>
      <c r="C132" s="62" t="str">
        <f>Plan1!F51</f>
        <v xml:space="preserve"> Kg</v>
      </c>
      <c r="D132" s="63" t="s">
        <v>137</v>
      </c>
    </row>
    <row r="133" spans="1:4" x14ac:dyDescent="0.25">
      <c r="A133" s="62" t="s">
        <v>58</v>
      </c>
      <c r="B133" s="68" t="s">
        <v>149</v>
      </c>
      <c r="C133" s="62"/>
      <c r="D133" s="63">
        <f>((1/15)*0.78)*18</f>
        <v>0.93599999999999994</v>
      </c>
    </row>
    <row r="134" spans="1:4" x14ac:dyDescent="0.25">
      <c r="A134" s="62" t="s">
        <v>59</v>
      </c>
      <c r="B134" s="68" t="s">
        <v>156</v>
      </c>
      <c r="C134" s="62"/>
      <c r="D134" s="63">
        <f>((16+16+10.3+10.3)/0.15)*0.58</f>
        <v>203.38666666666663</v>
      </c>
    </row>
    <row r="135" spans="1:4" x14ac:dyDescent="0.25">
      <c r="A135" s="62" t="s">
        <v>84</v>
      </c>
      <c r="B135" s="68" t="s">
        <v>157</v>
      </c>
      <c r="C135" s="62"/>
      <c r="D135" s="71">
        <f>0.154</f>
        <v>0.154</v>
      </c>
    </row>
    <row r="136" spans="1:4" s="58" customFormat="1" ht="15.75" thickBot="1" x14ac:dyDescent="0.3">
      <c r="A136" s="204" t="s">
        <v>18</v>
      </c>
      <c r="B136" s="205"/>
      <c r="C136" s="206"/>
      <c r="D136" s="64">
        <f>(D133+D134)*D135</f>
        <v>31.46569066666666</v>
      </c>
    </row>
    <row r="137" spans="1:4" ht="30" x14ac:dyDescent="0.25">
      <c r="A137" s="62" t="str">
        <f>Plan1!A52</f>
        <v>5.5</v>
      </c>
      <c r="B137" s="68" t="str">
        <f>Plan1!D52</f>
        <v>PREPARO COM BETONEIRA E TRANSPORTE MANUAL DE CONCRETO FCK=25 MPA</v>
      </c>
      <c r="C137" s="62" t="str">
        <f>Plan1!F52</f>
        <v xml:space="preserve"> m3</v>
      </c>
      <c r="D137" s="63" t="s">
        <v>76</v>
      </c>
    </row>
    <row r="138" spans="1:4" x14ac:dyDescent="0.25">
      <c r="A138" s="62" t="s">
        <v>58</v>
      </c>
      <c r="B138" s="68" t="s">
        <v>149</v>
      </c>
      <c r="C138" s="62"/>
      <c r="D138" s="63">
        <f>(0.14*0.14)*1*18</f>
        <v>0.35280000000000006</v>
      </c>
    </row>
    <row r="139" spans="1:4" x14ac:dyDescent="0.25">
      <c r="A139" s="62" t="s">
        <v>59</v>
      </c>
      <c r="B139" s="68" t="s">
        <v>150</v>
      </c>
      <c r="C139" s="62"/>
      <c r="D139" s="63">
        <f>(16+16+10.3+10.3)*(0.15*0.2)</f>
        <v>1.5779999999999998</v>
      </c>
    </row>
    <row r="140" spans="1:4" s="58" customFormat="1" ht="15.75" thickBot="1" x14ac:dyDescent="0.3">
      <c r="A140" s="204" t="s">
        <v>18</v>
      </c>
      <c r="B140" s="205"/>
      <c r="C140" s="206"/>
      <c r="D140" s="64">
        <f>D138+D139</f>
        <v>1.9307999999999998</v>
      </c>
    </row>
    <row r="141" spans="1:4" ht="45" x14ac:dyDescent="0.25">
      <c r="A141" s="62" t="str">
        <f>Plan1!A53</f>
        <v>5.6</v>
      </c>
      <c r="B141" s="68" t="str">
        <f>Plan1!D53</f>
        <v>LANÇAMENTO/APLICAÇÃO/ADENSAMENTO DE CONCRETO USINADO BOMBEADO EM
ESTRUTURA - (O.C.)</v>
      </c>
      <c r="C141" s="62" t="str">
        <f>Plan1!F53</f>
        <v xml:space="preserve">m3 </v>
      </c>
      <c r="D141" s="63" t="str">
        <f>D137</f>
        <v xml:space="preserve">Volume </v>
      </c>
    </row>
    <row r="142" spans="1:4" x14ac:dyDescent="0.25">
      <c r="A142" s="62" t="s">
        <v>58</v>
      </c>
      <c r="B142" s="68" t="s">
        <v>149</v>
      </c>
      <c r="C142" s="62"/>
      <c r="D142" s="63">
        <f>(0.14*0.14)*1*18</f>
        <v>0.35280000000000006</v>
      </c>
    </row>
    <row r="143" spans="1:4" x14ac:dyDescent="0.25">
      <c r="A143" s="62" t="s">
        <v>59</v>
      </c>
      <c r="B143" s="68" t="s">
        <v>150</v>
      </c>
      <c r="C143" s="62"/>
      <c r="D143" s="63">
        <f>(16+16+10.3+10.3)*(0.15*0.2)</f>
        <v>1.5779999999999998</v>
      </c>
    </row>
    <row r="144" spans="1:4" ht="15.75" thickBot="1" x14ac:dyDescent="0.3">
      <c r="A144" s="204" t="s">
        <v>18</v>
      </c>
      <c r="B144" s="205"/>
      <c r="C144" s="206"/>
      <c r="D144" s="64">
        <f>D142+D143</f>
        <v>1.9307999999999998</v>
      </c>
    </row>
    <row r="145" spans="1:4" s="58" customFormat="1" x14ac:dyDescent="0.25">
      <c r="A145" s="76">
        <v>6</v>
      </c>
      <c r="B145" s="207" t="str">
        <f>Plan1!D56</f>
        <v>INST. ELET./TELEFONICA/CABEAMENTO ESTRUTURADO</v>
      </c>
      <c r="C145" s="207"/>
      <c r="D145" s="208"/>
    </row>
    <row r="146" spans="1:4" ht="57.75" customHeight="1" x14ac:dyDescent="0.25">
      <c r="A146" s="62" t="str">
        <f>Plan1!A57</f>
        <v>6.1</v>
      </c>
      <c r="B146" s="68" t="str">
        <f>Plan1!D57</f>
        <v>POSTE SIMPLES CÔNICO CONTÍNUO, CIRCULAR, RETO, COM DIÂMETRO NOMINAL DE 60MM NA EXTREMIDADE, GALVANIZADO A FOGO, Hútil= 7 M - ENGASTADO EM CONCRETO COM
FCK = 13,5 MPA</v>
      </c>
      <c r="C146" s="62" t="str">
        <f>Plan1!F57</f>
        <v xml:space="preserve">Un </v>
      </c>
      <c r="D146" s="63">
        <f>Plan1!E57</f>
        <v>12</v>
      </c>
    </row>
    <row r="147" spans="1:4" s="58" customFormat="1" x14ac:dyDescent="0.25">
      <c r="A147" s="62" t="str">
        <f>Plan1!A58</f>
        <v>6.2</v>
      </c>
      <c r="B147" s="68" t="str">
        <f>Plan1!D58</f>
        <v xml:space="preserve"> SUPORTE PARA 1 PÉTALA PARA LUMINÁRIA DE ILUMINAÇÃO PÚBLICA </v>
      </c>
      <c r="C147" s="62" t="str">
        <f>Plan1!F58</f>
        <v xml:space="preserve">Un </v>
      </c>
      <c r="D147" s="63">
        <f>Plan1!E58</f>
        <v>2</v>
      </c>
    </row>
    <row r="148" spans="1:4" s="58" customFormat="1" ht="18.75" customHeight="1" x14ac:dyDescent="0.25">
      <c r="A148" s="62" t="str">
        <f>Plan1!A59</f>
        <v>6.3</v>
      </c>
      <c r="B148" s="68" t="str">
        <f>Plan1!D59</f>
        <v xml:space="preserve">SUPORTE PARA 4 PÉTALAS PARA LUMINÁRIA DE ILUMINAÇÃO PÚBLICA </v>
      </c>
      <c r="C148" s="62" t="str">
        <f>Plan1!F59</f>
        <v xml:space="preserve">Un </v>
      </c>
      <c r="D148" s="63">
        <f>Plan1!E59</f>
        <v>10</v>
      </c>
    </row>
    <row r="149" spans="1:4" s="58" customFormat="1" ht="42.75" customHeight="1" x14ac:dyDescent="0.25">
      <c r="A149" s="62" t="str">
        <f>Plan1!A60</f>
        <v>6.4</v>
      </c>
      <c r="B149" s="68" t="str">
        <f>Plan1!D60</f>
        <v>BRAÇO PARA ILUMINAÇÃO PÚBLICA, EM TUBO DE AÇO GALVANIZADO, COMPRIMENTO  DE 1,50 M, PARA FIXAÇÃO EM POSTE METÁLICO - FORNECIMENTO E INSTALAÇÃO . AF_08/2020</v>
      </c>
      <c r="C149" s="62" t="str">
        <f>Plan1!F60</f>
        <v xml:space="preserve">UN </v>
      </c>
      <c r="D149" s="63">
        <f>Plan1!E60</f>
        <v>2</v>
      </c>
    </row>
    <row r="150" spans="1:4" s="58" customFormat="1" ht="27" customHeight="1" x14ac:dyDescent="0.25">
      <c r="A150" s="62" t="str">
        <f>Plan1!A61</f>
        <v>6.5</v>
      </c>
      <c r="B150" s="68" t="str">
        <f>Plan1!D61</f>
        <v>LUMINÁRIA DE LED PARA ILUMINAÇÃO PÚBLICA, DE 98 W ATÉ 137 W - FORNECIMENTO E INSTALAÇÃO. AF_08/2020</v>
      </c>
      <c r="C150" s="62" t="str">
        <f>Plan1!F61</f>
        <v xml:space="preserve">UN </v>
      </c>
      <c r="D150" s="63">
        <f>Plan1!E61</f>
        <v>44</v>
      </c>
    </row>
    <row r="151" spans="1:4" s="58" customFormat="1" x14ac:dyDescent="0.25">
      <c r="A151" s="62" t="str">
        <f>Plan1!A62</f>
        <v>6.6</v>
      </c>
      <c r="B151" s="68" t="str">
        <f>Plan1!D62</f>
        <v xml:space="preserve">LUMINARIA LED REFLETOR RETANGULAR BIVOLT, LUZ BRANCA, 10 W </v>
      </c>
      <c r="C151" s="62" t="str">
        <f>Plan1!F62</f>
        <v xml:space="preserve">UN </v>
      </c>
      <c r="D151" s="63">
        <f>Plan1!E62</f>
        <v>41</v>
      </c>
    </row>
    <row r="152" spans="1:4" s="58" customFormat="1" x14ac:dyDescent="0.25">
      <c r="A152" s="62" t="str">
        <f>Plan1!A63</f>
        <v>6.7</v>
      </c>
      <c r="B152" s="68" t="str">
        <f>Plan1!D63</f>
        <v xml:space="preserve">LUMINARIA LED REFLETOR RETANGULAR BIVOLT, LUZ BRANCA, 50 W </v>
      </c>
      <c r="C152" s="62" t="str">
        <f>Plan1!F63</f>
        <v xml:space="preserve">UN </v>
      </c>
      <c r="D152" s="63">
        <f>Plan1!E63</f>
        <v>1</v>
      </c>
    </row>
    <row r="153" spans="1:4" s="58" customFormat="1" ht="30" x14ac:dyDescent="0.25">
      <c r="A153" s="62" t="str">
        <f>Plan1!A64</f>
        <v>6.8</v>
      </c>
      <c r="B153" s="68" t="str">
        <f>Plan1!D64</f>
        <v xml:space="preserve"> ELETRODUTO PVC FLEXÍVEL - MANGUEIRA CORRUGADA LEVE - DIAM. 20MM</v>
      </c>
      <c r="C153" s="62" t="str">
        <f>Plan1!F64</f>
        <v xml:space="preserve"> M </v>
      </c>
      <c r="D153" s="63">
        <f>Plan1!E64</f>
        <v>151.18</v>
      </c>
    </row>
    <row r="154" spans="1:4" s="58" customFormat="1" ht="30" x14ac:dyDescent="0.25">
      <c r="A154" s="62" t="str">
        <f>Plan1!A65</f>
        <v>6.9</v>
      </c>
      <c r="B154" s="68" t="str">
        <f>Plan1!D65</f>
        <v>ELETRODUTO PVC FLEXÍVEL - MANGUEIRA CORRUGADA LEVE - DIAM. 25MM</v>
      </c>
      <c r="C154" s="62" t="str">
        <f>Plan1!F65</f>
        <v xml:space="preserve"> M</v>
      </c>
      <c r="D154" s="63">
        <f>Plan1!E65</f>
        <v>318.77</v>
      </c>
    </row>
    <row r="155" spans="1:4" s="58" customFormat="1" x14ac:dyDescent="0.25">
      <c r="A155" s="62" t="str">
        <f>Plan1!A66</f>
        <v>6.10</v>
      </c>
      <c r="B155" s="68" t="str">
        <f>Plan1!D66</f>
        <v xml:space="preserve">CABO PVC (70ºC) 1 KV No. 4 MM2 </v>
      </c>
      <c r="C155" s="62" t="str">
        <f>Plan1!F66</f>
        <v xml:space="preserve">M </v>
      </c>
      <c r="D155" s="63">
        <f>Plan1!E66</f>
        <v>302.36</v>
      </c>
    </row>
    <row r="156" spans="1:4" s="58" customFormat="1" x14ac:dyDescent="0.25">
      <c r="A156" s="62" t="str">
        <f>Plan1!A67</f>
        <v>6.11</v>
      </c>
      <c r="B156" s="68" t="str">
        <f>Plan1!D67</f>
        <v xml:space="preserve">CABO PVC (70ºC) 1 KV No. 6 MM2 </v>
      </c>
      <c r="C156" s="62" t="str">
        <f>Plan1!F67</f>
        <v>M</v>
      </c>
      <c r="D156" s="63">
        <f>Plan1!E67</f>
        <v>1275.08</v>
      </c>
    </row>
    <row r="157" spans="1:4" s="58" customFormat="1" ht="15.75" thickBot="1" x14ac:dyDescent="0.3">
      <c r="A157" s="62" t="str">
        <f>Plan1!A68</f>
        <v>6.12</v>
      </c>
      <c r="B157" s="68" t="str">
        <f>Plan1!D68</f>
        <v xml:space="preserve">RELE FOTO ELETRICO COM BASE </v>
      </c>
      <c r="C157" s="62" t="str">
        <f>Plan1!F68</f>
        <v xml:space="preserve">Un </v>
      </c>
      <c r="D157" s="63">
        <f>Plan1!E68</f>
        <v>1</v>
      </c>
    </row>
    <row r="158" spans="1:4" s="58" customFormat="1" x14ac:dyDescent="0.25">
      <c r="A158" s="76">
        <v>7</v>
      </c>
      <c r="B158" s="207" t="str">
        <f>Plan1!D71</f>
        <v>INSTALAÇÕES HIDRO-SANITÁRIAS</v>
      </c>
      <c r="C158" s="207"/>
      <c r="D158" s="208"/>
    </row>
    <row r="159" spans="1:4" s="58" customFormat="1" ht="30" x14ac:dyDescent="0.25">
      <c r="A159" s="62" t="str">
        <f>Plan1!A72</f>
        <v>7.1</v>
      </c>
      <c r="B159" s="68" t="str">
        <f>Plan1!D72</f>
        <v>TORNEIRA DE JARDIM COM BICO PARA MANGUEIRA DIÂMETRO DE 1/2" E 3/4"</v>
      </c>
      <c r="C159" s="62" t="str">
        <f>Plan1!F72</f>
        <v>und</v>
      </c>
      <c r="D159" s="63">
        <f>Plan1!E72</f>
        <v>1</v>
      </c>
    </row>
    <row r="160" spans="1:4" s="58" customFormat="1" x14ac:dyDescent="0.25">
      <c r="A160" s="62" t="str">
        <f>Plan1!A73</f>
        <v>7.2</v>
      </c>
      <c r="B160" s="68" t="str">
        <f>Plan1!D73</f>
        <v xml:space="preserve">REGISTRO DE GAVETA BRUTO DIAMETRO 3/4" </v>
      </c>
      <c r="C160" s="62" t="str">
        <f>Plan1!F73</f>
        <v>und</v>
      </c>
      <c r="D160" s="63">
        <f>Plan1!E73</f>
        <v>1</v>
      </c>
    </row>
    <row r="161" spans="1:4" s="58" customFormat="1" x14ac:dyDescent="0.25">
      <c r="A161" s="62" t="str">
        <f>Plan1!A74</f>
        <v>7.3</v>
      </c>
      <c r="B161" s="68" t="str">
        <f>Plan1!D74</f>
        <v>TUBO SOLDAVEL PVC MARROM DIAMETRO 25 mm</v>
      </c>
      <c r="C161" s="62" t="str">
        <f>Plan1!F74</f>
        <v xml:space="preserve"> M</v>
      </c>
      <c r="D161" s="63">
        <f>Plan1!E74</f>
        <v>10</v>
      </c>
    </row>
    <row r="162" spans="1:4" s="58" customFormat="1" x14ac:dyDescent="0.25">
      <c r="A162" s="62" t="str">
        <f>Plan1!A75</f>
        <v>7.4</v>
      </c>
      <c r="B162" s="68" t="str">
        <f>Plan1!D75</f>
        <v>JOELHO 90 GRAUS SOLDAVEL DIAMETRO 25 MM</v>
      </c>
      <c r="C162" s="62" t="str">
        <f>Plan1!F75</f>
        <v>und</v>
      </c>
      <c r="D162" s="63">
        <f>Plan1!E75</f>
        <v>4</v>
      </c>
    </row>
    <row r="163" spans="1:4" s="58" customFormat="1" x14ac:dyDescent="0.25">
      <c r="A163" s="62" t="str">
        <f>Plan1!A76</f>
        <v>7.5</v>
      </c>
      <c r="B163" s="68" t="str">
        <f>Plan1!D76</f>
        <v xml:space="preserve">LUVA SOLDAVEL DIAMETRO 25 mm </v>
      </c>
      <c r="C163" s="62" t="str">
        <f>Plan1!F76</f>
        <v>und</v>
      </c>
      <c r="D163" s="63">
        <f>Plan1!E76</f>
        <v>1</v>
      </c>
    </row>
    <row r="164" spans="1:4" s="58" customFormat="1" x14ac:dyDescent="0.25">
      <c r="A164" s="62" t="str">
        <f>Plan1!A77</f>
        <v>7.6</v>
      </c>
      <c r="B164" s="68" t="str">
        <f>Plan1!D77</f>
        <v xml:space="preserve"> JOELHO RED.90 GRAUS SOLD.C/BUCHA LATAO 25X1/2" </v>
      </c>
      <c r="C164" s="62" t="str">
        <f>Plan1!F77</f>
        <v>und</v>
      </c>
      <c r="D164" s="63">
        <f>Plan1!E77</f>
        <v>1</v>
      </c>
    </row>
    <row r="165" spans="1:4" s="58" customFormat="1" x14ac:dyDescent="0.25">
      <c r="A165" s="62" t="str">
        <f>Plan1!A78</f>
        <v>7.7</v>
      </c>
      <c r="B165" s="68" t="str">
        <f>Plan1!D78</f>
        <v xml:space="preserve">HIDROMETRO DIAM.RAMAL = 25 MM VAZAO =1,5 A 3 M3 </v>
      </c>
      <c r="C165" s="62" t="str">
        <f>Plan1!F78</f>
        <v>und</v>
      </c>
      <c r="D165" s="63">
        <f>Plan1!E78</f>
        <v>1</v>
      </c>
    </row>
    <row r="166" spans="1:4" s="58" customFormat="1" ht="21" customHeight="1" thickBot="1" x14ac:dyDescent="0.3">
      <c r="A166" s="62" t="str">
        <f>Plan1!A79</f>
        <v>7.8</v>
      </c>
      <c r="B166" s="68" t="str">
        <f>Plan1!D79</f>
        <v xml:space="preserve">KIT CAVALETE D=25MM P/HIDRÔMETRO 1,5-3,0-5,0 M3/MURETA/CAIXA </v>
      </c>
      <c r="C166" s="62" t="str">
        <f>Plan1!F79</f>
        <v>und</v>
      </c>
      <c r="D166" s="63">
        <f>Plan1!E79</f>
        <v>1</v>
      </c>
    </row>
    <row r="167" spans="1:4" s="58" customFormat="1" x14ac:dyDescent="0.25">
      <c r="A167" s="76">
        <v>8</v>
      </c>
      <c r="B167" s="207" t="str">
        <f>Plan1!D82</f>
        <v>ALVENARIAS E DIVISORIAS</v>
      </c>
      <c r="C167" s="207"/>
      <c r="D167" s="208"/>
    </row>
    <row r="168" spans="1:4" ht="45" x14ac:dyDescent="0.25">
      <c r="A168" s="62" t="str">
        <f>Plan1!A83</f>
        <v>8.1</v>
      </c>
      <c r="B168" s="68" t="str">
        <f>Plan1!D83</f>
        <v>ALVENARIA DE TIJOLO FURADO 1/2 VEZ 14X29X9 - 6 FUROS - ARG. (1CALH:4ARML+100KG
DE CI/M3)</v>
      </c>
      <c r="C168" s="62" t="str">
        <f>Plan1!F83</f>
        <v xml:space="preserve">m2 </v>
      </c>
      <c r="D168" s="63" t="s">
        <v>65</v>
      </c>
    </row>
    <row r="169" spans="1:4" x14ac:dyDescent="0.25">
      <c r="A169" s="62" t="s">
        <v>58</v>
      </c>
      <c r="B169" s="68" t="s">
        <v>171</v>
      </c>
      <c r="C169" s="62"/>
      <c r="D169" s="63">
        <f>16+16+10.3+10.3</f>
        <v>52.599999999999994</v>
      </c>
    </row>
    <row r="170" spans="1:4" x14ac:dyDescent="0.25">
      <c r="A170" s="62" t="s">
        <v>59</v>
      </c>
      <c r="B170" s="68" t="s">
        <v>172</v>
      </c>
      <c r="C170" s="62"/>
      <c r="D170" s="63">
        <v>1</v>
      </c>
    </row>
    <row r="171" spans="1:4" s="58" customFormat="1" ht="15.75" thickBot="1" x14ac:dyDescent="0.3">
      <c r="A171" s="204" t="s">
        <v>18</v>
      </c>
      <c r="B171" s="205"/>
      <c r="C171" s="206"/>
      <c r="D171" s="64">
        <f>D169*D170</f>
        <v>52.599999999999994</v>
      </c>
    </row>
    <row r="172" spans="1:4" x14ac:dyDescent="0.25">
      <c r="A172" s="76">
        <v>9</v>
      </c>
      <c r="B172" s="207" t="str">
        <f>Plan1!D86</f>
        <v>IMPERMEABILIZACAO</v>
      </c>
      <c r="C172" s="207"/>
      <c r="D172" s="208"/>
    </row>
    <row r="173" spans="1:4" x14ac:dyDescent="0.25">
      <c r="A173" s="62" t="s">
        <v>176</v>
      </c>
      <c r="B173" s="68" t="str">
        <f>Plan1!D87</f>
        <v>IMPERMEABILIZACAO VIGAS BALDRAMES E=2,0 CM</v>
      </c>
      <c r="C173" s="62" t="str">
        <f>Plan1!F87</f>
        <v xml:space="preserve"> m2 </v>
      </c>
      <c r="D173" s="63" t="s">
        <v>65</v>
      </c>
    </row>
    <row r="174" spans="1:4" x14ac:dyDescent="0.25">
      <c r="A174" s="62" t="s">
        <v>58</v>
      </c>
      <c r="B174" s="68" t="s">
        <v>177</v>
      </c>
      <c r="C174" s="62"/>
      <c r="D174" s="63">
        <f>56.6</f>
        <v>56.6</v>
      </c>
    </row>
    <row r="175" spans="1:4" x14ac:dyDescent="0.25">
      <c r="A175" s="62" t="s">
        <v>59</v>
      </c>
      <c r="B175" s="68" t="s">
        <v>178</v>
      </c>
      <c r="C175" s="62"/>
      <c r="D175" s="63">
        <v>0.4</v>
      </c>
    </row>
    <row r="176" spans="1:4" s="58" customFormat="1" ht="15.75" thickBot="1" x14ac:dyDescent="0.3">
      <c r="A176" s="204" t="s">
        <v>18</v>
      </c>
      <c r="B176" s="205"/>
      <c r="C176" s="206"/>
      <c r="D176" s="64">
        <f>(D174*D175)</f>
        <v>22.64</v>
      </c>
    </row>
    <row r="177" spans="1:4" x14ac:dyDescent="0.25">
      <c r="A177" s="76">
        <v>10</v>
      </c>
      <c r="B177" s="207" t="str">
        <f>Plan1!D90</f>
        <v>ESTRUTURA DE MADEIRA</v>
      </c>
      <c r="C177" s="207"/>
      <c r="D177" s="208"/>
    </row>
    <row r="178" spans="1:4" ht="45" x14ac:dyDescent="0.25">
      <c r="A178" s="62" t="str">
        <f>Plan1!A91</f>
        <v>10.1</v>
      </c>
      <c r="B178" s="68" t="str">
        <f>Plan1!D91</f>
        <v xml:space="preserve"> PILAR QUADRADO NAO APARELHADO *15 X 15* CM, EM MACARANDUBA, ANGELIM OU 
EQUIVALENTE DA REGIAO - BRUTA</v>
      </c>
      <c r="C178" s="62" t="str">
        <f>Plan1!F91</f>
        <v xml:space="preserve">M </v>
      </c>
      <c r="D178" s="63" t="s">
        <v>52</v>
      </c>
    </row>
    <row r="179" spans="1:4" x14ac:dyDescent="0.25">
      <c r="A179" s="62" t="s">
        <v>58</v>
      </c>
      <c r="B179" s="68" t="s">
        <v>183</v>
      </c>
      <c r="C179" s="62"/>
      <c r="D179" s="63">
        <f>56*3</f>
        <v>168</v>
      </c>
    </row>
    <row r="180" spans="1:4" x14ac:dyDescent="0.25">
      <c r="A180" s="62" t="s">
        <v>59</v>
      </c>
      <c r="B180" s="68" t="s">
        <v>184</v>
      </c>
      <c r="C180" s="62"/>
      <c r="D180" s="63">
        <f>4*2.5*2</f>
        <v>20</v>
      </c>
    </row>
    <row r="181" spans="1:4" s="58" customFormat="1" ht="15.75" thickBot="1" x14ac:dyDescent="0.3">
      <c r="A181" s="204" t="s">
        <v>18</v>
      </c>
      <c r="B181" s="205"/>
      <c r="C181" s="206"/>
      <c r="D181" s="64">
        <f>(D179+D180)</f>
        <v>188</v>
      </c>
    </row>
    <row r="182" spans="1:4" x14ac:dyDescent="0.25">
      <c r="A182" s="62" t="str">
        <f>Plan1!A92</f>
        <v>10.2</v>
      </c>
      <c r="B182" s="68" t="str">
        <f>Plan1!D92</f>
        <v xml:space="preserve">VIGOTA DE MADEIRA 6x16 </v>
      </c>
      <c r="C182" s="62" t="str">
        <f>Plan1!F92</f>
        <v xml:space="preserve">m </v>
      </c>
      <c r="D182" s="63" t="s">
        <v>52</v>
      </c>
    </row>
    <row r="183" spans="1:4" x14ac:dyDescent="0.25">
      <c r="A183" s="62" t="s">
        <v>58</v>
      </c>
      <c r="B183" s="68" t="s">
        <v>187</v>
      </c>
      <c r="C183" s="62"/>
      <c r="D183" s="63">
        <f>28*3.3</f>
        <v>92.399999999999991</v>
      </c>
    </row>
    <row r="184" spans="1:4" x14ac:dyDescent="0.25">
      <c r="A184" s="62" t="s">
        <v>59</v>
      </c>
      <c r="B184" s="68" t="s">
        <v>188</v>
      </c>
      <c r="C184" s="62"/>
      <c r="D184" s="63">
        <f>2*(3+3+3.45+3.45)</f>
        <v>25.799999999999997</v>
      </c>
    </row>
    <row r="185" spans="1:4" s="58" customFormat="1" ht="15.75" thickBot="1" x14ac:dyDescent="0.3">
      <c r="A185" s="204" t="s">
        <v>18</v>
      </c>
      <c r="B185" s="205"/>
      <c r="C185" s="206"/>
      <c r="D185" s="64">
        <f>(D183+D184)</f>
        <v>118.19999999999999</v>
      </c>
    </row>
    <row r="186" spans="1:4" x14ac:dyDescent="0.25">
      <c r="A186" s="62" t="str">
        <f>Plan1!A93</f>
        <v>10.3</v>
      </c>
      <c r="B186" s="68" t="str">
        <f>Plan1!D93</f>
        <v>VIGOTA DE MADEIRA 6x12</v>
      </c>
      <c r="C186" s="62" t="str">
        <f>Plan1!F93</f>
        <v xml:space="preserve"> m </v>
      </c>
      <c r="D186" s="63" t="s">
        <v>52</v>
      </c>
    </row>
    <row r="187" spans="1:4" x14ac:dyDescent="0.25">
      <c r="A187" s="62" t="s">
        <v>58</v>
      </c>
      <c r="B187" s="68" t="s">
        <v>188</v>
      </c>
      <c r="C187" s="62"/>
      <c r="D187" s="63">
        <f>5*2*3</f>
        <v>30</v>
      </c>
    </row>
    <row r="188" spans="1:4" s="58" customFormat="1" ht="15.75" thickBot="1" x14ac:dyDescent="0.3">
      <c r="A188" s="204" t="s">
        <v>18</v>
      </c>
      <c r="B188" s="205"/>
      <c r="C188" s="206"/>
      <c r="D188" s="64">
        <f>D187</f>
        <v>30</v>
      </c>
    </row>
    <row r="189" spans="1:4" x14ac:dyDescent="0.25">
      <c r="A189" s="76">
        <f>Plan1!A96</f>
        <v>11</v>
      </c>
      <c r="B189" s="207" t="str">
        <f>Plan1!D96</f>
        <v>ESQUADRIAS METÁLICAS</v>
      </c>
      <c r="C189" s="207"/>
      <c r="D189" s="208"/>
    </row>
    <row r="190" spans="1:4" ht="30" x14ac:dyDescent="0.25">
      <c r="A190" s="62" t="str">
        <f>Plan1!A97</f>
        <v>11.1</v>
      </c>
      <c r="B190" s="68" t="str">
        <f>Plan1!D97</f>
        <v xml:space="preserve"> GRADE DE FRENTE/TUBO DE AÇO COM ESTACA D=25CM ARMADA - GF-2 </v>
      </c>
      <c r="C190" s="62" t="str">
        <f>Plan1!F97</f>
        <v xml:space="preserve">m2 </v>
      </c>
      <c r="D190" s="63" t="s">
        <v>65</v>
      </c>
    </row>
    <row r="191" spans="1:4" x14ac:dyDescent="0.25">
      <c r="A191" s="62" t="s">
        <v>58</v>
      </c>
      <c r="B191" s="68" t="s">
        <v>193</v>
      </c>
      <c r="C191" s="62"/>
      <c r="D191" s="63">
        <f>9.86+4.37+4.19+4.81+3.48+6.16</f>
        <v>32.870000000000005</v>
      </c>
    </row>
    <row r="192" spans="1:4" x14ac:dyDescent="0.25">
      <c r="A192" s="62" t="s">
        <v>59</v>
      </c>
      <c r="B192" s="68" t="s">
        <v>192</v>
      </c>
      <c r="C192" s="62"/>
      <c r="D192" s="63">
        <v>1</v>
      </c>
    </row>
    <row r="193" spans="1:4" s="58" customFormat="1" ht="15.75" thickBot="1" x14ac:dyDescent="0.3">
      <c r="A193" s="204" t="s">
        <v>18</v>
      </c>
      <c r="B193" s="205"/>
      <c r="C193" s="206"/>
      <c r="D193" s="64">
        <f>D192*D191</f>
        <v>32.870000000000005</v>
      </c>
    </row>
    <row r="194" spans="1:4" s="96" customFormat="1" x14ac:dyDescent="0.25">
      <c r="A194" s="62" t="str">
        <f>Plan1!A98</f>
        <v>11.2</v>
      </c>
      <c r="B194" s="68" t="str">
        <f>Plan1!D98</f>
        <v xml:space="preserve">GUARDA BICICLETAS </v>
      </c>
      <c r="C194" s="62" t="str">
        <f>Plan1!F98</f>
        <v>M</v>
      </c>
      <c r="D194" s="63" t="s">
        <v>52</v>
      </c>
    </row>
    <row r="195" spans="1:4" s="96" customFormat="1" x14ac:dyDescent="0.25">
      <c r="A195" s="62" t="s">
        <v>58</v>
      </c>
      <c r="B195" s="68" t="s">
        <v>388</v>
      </c>
      <c r="C195" s="62"/>
      <c r="D195" s="63">
        <v>5</v>
      </c>
    </row>
    <row r="196" spans="1:4" s="58" customFormat="1" ht="15.75" thickBot="1" x14ac:dyDescent="0.3">
      <c r="A196" s="204" t="s">
        <v>18</v>
      </c>
      <c r="B196" s="205"/>
      <c r="C196" s="206"/>
      <c r="D196" s="64">
        <f>D195</f>
        <v>5</v>
      </c>
    </row>
    <row r="197" spans="1:4" x14ac:dyDescent="0.25">
      <c r="A197" s="76">
        <f>Plan1!A101</f>
        <v>12</v>
      </c>
      <c r="B197" s="207" t="str">
        <f>Plan1!D101</f>
        <v>REVESTIMENTO DE PAREDES</v>
      </c>
      <c r="C197" s="207"/>
      <c r="D197" s="208"/>
    </row>
    <row r="198" spans="1:4" x14ac:dyDescent="0.25">
      <c r="A198" s="62" t="str">
        <f>Plan1!A102</f>
        <v>12.1</v>
      </c>
      <c r="B198" s="68" t="str">
        <f>Plan1!D102</f>
        <v xml:space="preserve">CHAPISCO COMUM </v>
      </c>
      <c r="C198" s="62" t="str">
        <f>Plan1!F102</f>
        <v>m2</v>
      </c>
      <c r="D198" s="63" t="s">
        <v>65</v>
      </c>
    </row>
    <row r="199" spans="1:4" x14ac:dyDescent="0.25">
      <c r="A199" s="62" t="s">
        <v>58</v>
      </c>
      <c r="B199" s="68" t="s">
        <v>132</v>
      </c>
      <c r="C199" s="62"/>
      <c r="D199" s="63">
        <f>D171*2</f>
        <v>105.19999999999999</v>
      </c>
    </row>
    <row r="200" spans="1:4" s="58" customFormat="1" ht="15.75" thickBot="1" x14ac:dyDescent="0.3">
      <c r="A200" s="204" t="s">
        <v>18</v>
      </c>
      <c r="B200" s="205"/>
      <c r="C200" s="206"/>
      <c r="D200" s="64">
        <f>D199</f>
        <v>105.19999999999999</v>
      </c>
    </row>
    <row r="201" spans="1:4" x14ac:dyDescent="0.25">
      <c r="A201" s="62" t="str">
        <f>Plan1!A103</f>
        <v>12.2</v>
      </c>
      <c r="B201" s="68" t="str">
        <f>Plan1!D103</f>
        <v xml:space="preserve">REBOCO (1 CALH:4 ARFC+100kgCI/M3) </v>
      </c>
      <c r="C201" s="62" t="str">
        <f>Plan1!F103</f>
        <v xml:space="preserve">m2 </v>
      </c>
      <c r="D201" s="63" t="s">
        <v>65</v>
      </c>
    </row>
    <row r="202" spans="1:4" x14ac:dyDescent="0.25">
      <c r="A202" s="62" t="s">
        <v>58</v>
      </c>
      <c r="B202" s="68" t="s">
        <v>132</v>
      </c>
      <c r="C202" s="62"/>
      <c r="D202" s="63">
        <f>D199</f>
        <v>105.19999999999999</v>
      </c>
    </row>
    <row r="203" spans="1:4" ht="15.75" thickBot="1" x14ac:dyDescent="0.3">
      <c r="A203" s="204" t="s">
        <v>18</v>
      </c>
      <c r="B203" s="205"/>
      <c r="C203" s="206"/>
      <c r="D203" s="64">
        <f>D202</f>
        <v>105.19999999999999</v>
      </c>
    </row>
    <row r="204" spans="1:4" x14ac:dyDescent="0.25">
      <c r="A204" s="76">
        <f>Plan1!A106</f>
        <v>13</v>
      </c>
      <c r="B204" s="207" t="str">
        <f>Plan1!D106</f>
        <v>REVESTIMENTO DE PISO</v>
      </c>
      <c r="C204" s="207"/>
      <c r="D204" s="208"/>
    </row>
    <row r="205" spans="1:4" x14ac:dyDescent="0.25">
      <c r="A205" s="62" t="str">
        <f>Plan1!A107</f>
        <v>13.1</v>
      </c>
      <c r="B205" s="68" t="str">
        <f>Plan1!D107</f>
        <v>PISO CONCRETO DESEMPENADO ESPESSURA = 5 CM 1:2,5:3,5</v>
      </c>
      <c r="C205" s="62" t="str">
        <f>Plan1!F107</f>
        <v xml:space="preserve"> m2 </v>
      </c>
      <c r="D205" s="63" t="s">
        <v>65</v>
      </c>
    </row>
    <row r="206" spans="1:4" x14ac:dyDescent="0.25">
      <c r="A206" s="62" t="s">
        <v>58</v>
      </c>
      <c r="B206" s="68" t="s">
        <v>112</v>
      </c>
      <c r="C206" s="62"/>
      <c r="D206" s="63">
        <v>2180.06</v>
      </c>
    </row>
    <row r="207" spans="1:4" s="58" customFormat="1" ht="15.75" thickBot="1" x14ac:dyDescent="0.3">
      <c r="A207" s="204" t="s">
        <v>18</v>
      </c>
      <c r="B207" s="205"/>
      <c r="C207" s="206"/>
      <c r="D207" s="64">
        <f>D206</f>
        <v>2180.06</v>
      </c>
    </row>
    <row r="208" spans="1:4" ht="30" x14ac:dyDescent="0.25">
      <c r="A208" s="62" t="str">
        <f>Plan1!A108</f>
        <v>13.2</v>
      </c>
      <c r="B208" s="68" t="str">
        <f>Plan1!D108</f>
        <v>PISO DE LADRILHO HIDRÁULICO COLORIDO MODELO TÁTIL ( ALERTA OU DIRECIONAL) SEM LASTRO</v>
      </c>
      <c r="C208" s="62" t="str">
        <f>Plan1!F108</f>
        <v xml:space="preserve">m2 </v>
      </c>
      <c r="D208" s="63" t="s">
        <v>65</v>
      </c>
    </row>
    <row r="209" spans="1:4" x14ac:dyDescent="0.25">
      <c r="A209" s="62" t="s">
        <v>58</v>
      </c>
      <c r="B209" s="68" t="s">
        <v>207</v>
      </c>
      <c r="C209" s="62"/>
      <c r="D209" s="63">
        <f>6*1.2</f>
        <v>7.1999999999999993</v>
      </c>
    </row>
    <row r="210" spans="1:4" s="58" customFormat="1" ht="15.75" thickBot="1" x14ac:dyDescent="0.3">
      <c r="A210" s="204" t="s">
        <v>18</v>
      </c>
      <c r="B210" s="205"/>
      <c r="C210" s="206"/>
      <c r="D210" s="64">
        <f>D209</f>
        <v>7.1999999999999993</v>
      </c>
    </row>
    <row r="211" spans="1:4" x14ac:dyDescent="0.25">
      <c r="A211" s="76">
        <v>14</v>
      </c>
      <c r="B211" s="207" t="str">
        <f>Plan1!D111</f>
        <v>ADMINISTRAÇÃO - MENSALISTAS</v>
      </c>
      <c r="C211" s="207"/>
      <c r="D211" s="208"/>
    </row>
    <row r="212" spans="1:4" x14ac:dyDescent="0.25">
      <c r="A212" s="62" t="str">
        <f>Plan1!A112</f>
        <v>14.1</v>
      </c>
      <c r="B212" s="68" t="str">
        <f>Plan1!D112</f>
        <v xml:space="preserve">ENCARREGADO - (OBRAS CIVIS) </v>
      </c>
      <c r="C212" s="62" t="str">
        <f>Plan1!F112</f>
        <v xml:space="preserve">H </v>
      </c>
      <c r="D212" s="63" t="s">
        <v>211</v>
      </c>
    </row>
    <row r="213" spans="1:4" x14ac:dyDescent="0.25">
      <c r="A213" s="62" t="s">
        <v>58</v>
      </c>
      <c r="B213" s="68" t="s">
        <v>212</v>
      </c>
      <c r="C213" s="62"/>
      <c r="D213" s="63">
        <v>6</v>
      </c>
    </row>
    <row r="214" spans="1:4" x14ac:dyDescent="0.25">
      <c r="A214" s="62" t="s">
        <v>59</v>
      </c>
      <c r="B214" s="68" t="s">
        <v>213</v>
      </c>
      <c r="C214" s="62"/>
      <c r="D214" s="63">
        <v>22</v>
      </c>
    </row>
    <row r="215" spans="1:4" x14ac:dyDescent="0.25">
      <c r="A215" s="62" t="s">
        <v>84</v>
      </c>
      <c r="B215" s="68" t="s">
        <v>214</v>
      </c>
      <c r="C215" s="62"/>
      <c r="D215" s="63">
        <v>6</v>
      </c>
    </row>
    <row r="216" spans="1:4" s="58" customFormat="1" ht="15.75" thickBot="1" x14ac:dyDescent="0.3">
      <c r="A216" s="204" t="s">
        <v>18</v>
      </c>
      <c r="B216" s="205"/>
      <c r="C216" s="206"/>
      <c r="D216" s="64">
        <f>D213*D214*D215</f>
        <v>792</v>
      </c>
    </row>
    <row r="217" spans="1:4" s="58" customFormat="1" x14ac:dyDescent="0.25">
      <c r="A217" s="62" t="str">
        <f>Plan1!A113</f>
        <v>14.2</v>
      </c>
      <c r="B217" s="68" t="str">
        <f>Plan1!D113</f>
        <v>VIGIA DE OBRAS - (NOTURNO) - OBRAS CIVIS</v>
      </c>
      <c r="C217" s="62" t="str">
        <f>Plan1!F113</f>
        <v xml:space="preserve"> H </v>
      </c>
      <c r="D217" s="63" t="s">
        <v>211</v>
      </c>
    </row>
    <row r="218" spans="1:4" s="58" customFormat="1" x14ac:dyDescent="0.25">
      <c r="A218" s="62" t="s">
        <v>58</v>
      </c>
      <c r="B218" s="68" t="s">
        <v>437</v>
      </c>
      <c r="C218" s="62"/>
      <c r="D218" s="63">
        <v>2</v>
      </c>
    </row>
    <row r="219" spans="1:4" s="58" customFormat="1" x14ac:dyDescent="0.25">
      <c r="A219" s="62" t="s">
        <v>59</v>
      </c>
      <c r="B219" s="68" t="s">
        <v>438</v>
      </c>
      <c r="C219" s="62"/>
      <c r="D219" s="63">
        <v>30</v>
      </c>
    </row>
    <row r="220" spans="1:4" s="58" customFormat="1" x14ac:dyDescent="0.25">
      <c r="A220" s="62" t="s">
        <v>84</v>
      </c>
      <c r="B220" s="68" t="s">
        <v>320</v>
      </c>
      <c r="C220" s="62"/>
      <c r="D220" s="63">
        <v>8</v>
      </c>
    </row>
    <row r="221" spans="1:4" s="58" customFormat="1" ht="15.75" thickBot="1" x14ac:dyDescent="0.3">
      <c r="A221" s="204" t="s">
        <v>18</v>
      </c>
      <c r="B221" s="205"/>
      <c r="C221" s="206"/>
      <c r="D221" s="64">
        <f>D218*D219*D220</f>
        <v>480</v>
      </c>
    </row>
    <row r="222" spans="1:4" s="58" customFormat="1" x14ac:dyDescent="0.25">
      <c r="A222" s="62" t="str">
        <f>Plan1!A114</f>
        <v>14.3</v>
      </c>
      <c r="B222" s="68" t="str">
        <f>Plan1!D114</f>
        <v>JARDINEIRO</v>
      </c>
      <c r="C222" s="62" t="str">
        <f>Plan1!F114</f>
        <v xml:space="preserve"> h  </v>
      </c>
      <c r="D222" s="63" t="s">
        <v>211</v>
      </c>
    </row>
    <row r="223" spans="1:4" s="58" customFormat="1" x14ac:dyDescent="0.25">
      <c r="A223" s="62" t="s">
        <v>58</v>
      </c>
      <c r="B223" s="68" t="s">
        <v>359</v>
      </c>
      <c r="C223" s="62"/>
      <c r="D223" s="63">
        <v>12</v>
      </c>
    </row>
    <row r="224" spans="1:4" s="58" customFormat="1" x14ac:dyDescent="0.25">
      <c r="A224" s="62" t="s">
        <v>59</v>
      </c>
      <c r="B224" s="68" t="s">
        <v>360</v>
      </c>
      <c r="C224" s="62"/>
      <c r="D224" s="63">
        <v>8</v>
      </c>
    </row>
    <row r="225" spans="1:4" s="58" customFormat="1" ht="15.75" thickBot="1" x14ac:dyDescent="0.3">
      <c r="A225" s="204" t="s">
        <v>18</v>
      </c>
      <c r="B225" s="205"/>
      <c r="C225" s="206"/>
      <c r="D225" s="64">
        <f>D223*D224</f>
        <v>96</v>
      </c>
    </row>
    <row r="226" spans="1:4" x14ac:dyDescent="0.25">
      <c r="A226" s="76">
        <v>15</v>
      </c>
      <c r="B226" s="207" t="str">
        <f>Plan1!D117</f>
        <v>PINTURA</v>
      </c>
      <c r="C226" s="207"/>
      <c r="D226" s="208"/>
    </row>
    <row r="227" spans="1:4" x14ac:dyDescent="0.25">
      <c r="A227" s="62" t="str">
        <f>Plan1!A118</f>
        <v>15.1</v>
      </c>
      <c r="B227" s="68" t="str">
        <f>Plan1!D118</f>
        <v xml:space="preserve">CAIAÇAO 2 DEMAOS EM POSTE/ VIGAS E MEIO FIO(OC) </v>
      </c>
      <c r="C227" s="62" t="str">
        <f>Plan1!F118</f>
        <v>m2</v>
      </c>
      <c r="D227" s="63" t="s">
        <v>65</v>
      </c>
    </row>
    <row r="228" spans="1:4" s="58" customFormat="1" x14ac:dyDescent="0.25">
      <c r="A228" s="62" t="s">
        <v>58</v>
      </c>
      <c r="B228" s="68" t="str">
        <f>B266</f>
        <v xml:space="preserve">Meio fio externo </v>
      </c>
      <c r="C228" s="62"/>
      <c r="D228" s="63">
        <f>D266</f>
        <v>158</v>
      </c>
    </row>
    <row r="229" spans="1:4" s="58" customFormat="1" x14ac:dyDescent="0.25">
      <c r="A229" s="62" t="s">
        <v>59</v>
      </c>
      <c r="B229" s="68" t="s">
        <v>57</v>
      </c>
      <c r="C229" s="62"/>
      <c r="D229" s="63">
        <f>0.1+0.15</f>
        <v>0.25</v>
      </c>
    </row>
    <row r="230" spans="1:4" s="58" customFormat="1" ht="15.75" thickBot="1" x14ac:dyDescent="0.3">
      <c r="A230" s="204" t="s">
        <v>18</v>
      </c>
      <c r="B230" s="205"/>
      <c r="C230" s="206"/>
      <c r="D230" s="64">
        <f>D229*D228</f>
        <v>39.5</v>
      </c>
    </row>
    <row r="231" spans="1:4" x14ac:dyDescent="0.25">
      <c r="A231" s="62" t="str">
        <f>Plan1!A119</f>
        <v>15.2</v>
      </c>
      <c r="B231" s="68" t="str">
        <f>Plan1!D119</f>
        <v xml:space="preserve">PINTURA VERNIZ EM MADEIRA 2 DEMAOS </v>
      </c>
      <c r="C231" s="62" t="str">
        <f>Plan1!F119</f>
        <v xml:space="preserve">m2 </v>
      </c>
      <c r="D231" s="63" t="s">
        <v>65</v>
      </c>
    </row>
    <row r="232" spans="1:4" s="58" customFormat="1" x14ac:dyDescent="0.25">
      <c r="A232" s="62" t="s">
        <v>58</v>
      </c>
      <c r="B232" s="68" t="s">
        <v>244</v>
      </c>
      <c r="C232" s="62"/>
      <c r="D232" s="63">
        <f>3*0.15*61*4</f>
        <v>109.79999999999998</v>
      </c>
    </row>
    <row r="233" spans="1:4" s="58" customFormat="1" x14ac:dyDescent="0.25">
      <c r="A233" s="62" t="s">
        <v>59</v>
      </c>
      <c r="B233" s="68" t="s">
        <v>245</v>
      </c>
      <c r="C233" s="62"/>
      <c r="D233" s="63">
        <f>0.06*28*2*3.3</f>
        <v>11.087999999999999</v>
      </c>
    </row>
    <row r="234" spans="1:4" s="58" customFormat="1" x14ac:dyDescent="0.25">
      <c r="A234" s="62" t="s">
        <v>84</v>
      </c>
      <c r="B234" s="68" t="s">
        <v>246</v>
      </c>
      <c r="C234" s="62"/>
      <c r="D234" s="63">
        <f>0.16*28*2*3.3</f>
        <v>29.568000000000001</v>
      </c>
    </row>
    <row r="235" spans="1:4" s="58" customFormat="1" x14ac:dyDescent="0.25">
      <c r="A235" s="62" t="s">
        <v>85</v>
      </c>
      <c r="B235" s="68" t="s">
        <v>247</v>
      </c>
      <c r="C235" s="62"/>
      <c r="D235" s="63">
        <f>(0.06*4*2*3)+(0.06*4*2*3.45)</f>
        <v>3.0960000000000001</v>
      </c>
    </row>
    <row r="236" spans="1:4" s="58" customFormat="1" x14ac:dyDescent="0.25">
      <c r="A236" s="62" t="s">
        <v>289</v>
      </c>
      <c r="B236" s="68" t="s">
        <v>248</v>
      </c>
      <c r="C236" s="62"/>
      <c r="D236" s="63">
        <f>(0.16*4*2*3)+(0.16*4*2*3.45)</f>
        <v>8.2560000000000002</v>
      </c>
    </row>
    <row r="237" spans="1:4" s="58" customFormat="1" x14ac:dyDescent="0.25">
      <c r="A237" s="62" t="s">
        <v>296</v>
      </c>
      <c r="B237" s="68" t="s">
        <v>249</v>
      </c>
      <c r="C237" s="62"/>
      <c r="D237" s="63">
        <f>(0.12*5*4*3)</f>
        <v>7.1999999999999993</v>
      </c>
    </row>
    <row r="238" spans="1:4" s="58" customFormat="1" x14ac:dyDescent="0.25">
      <c r="A238" s="62" t="s">
        <v>297</v>
      </c>
      <c r="B238" s="68" t="s">
        <v>250</v>
      </c>
      <c r="C238" s="62"/>
      <c r="D238" s="63">
        <f>(0.06*5*4*3)</f>
        <v>3.5999999999999996</v>
      </c>
    </row>
    <row r="239" spans="1:4" s="58" customFormat="1" ht="15.75" thickBot="1" x14ac:dyDescent="0.3">
      <c r="A239" s="204" t="s">
        <v>18</v>
      </c>
      <c r="B239" s="205"/>
      <c r="C239" s="206"/>
      <c r="D239" s="64">
        <f>SUM(D232:D238)</f>
        <v>172.60799999999998</v>
      </c>
    </row>
    <row r="240" spans="1:4" x14ac:dyDescent="0.25">
      <c r="A240" s="62" t="str">
        <f>Plan1!A120</f>
        <v>15.3</v>
      </c>
      <c r="B240" s="68" t="str">
        <f>Plan1!D120</f>
        <v xml:space="preserve">PINTURA LATEX ACRILICA 2 DEMAOS C/SELADOR </v>
      </c>
      <c r="C240" s="62" t="str">
        <f>Plan1!F120</f>
        <v xml:space="preserve">m2 </v>
      </c>
      <c r="D240" s="63" t="s">
        <v>65</v>
      </c>
    </row>
    <row r="241" spans="1:7" x14ac:dyDescent="0.25">
      <c r="A241" s="62" t="s">
        <v>58</v>
      </c>
      <c r="B241" s="72" t="str">
        <f>B199</f>
        <v xml:space="preserve">Mureta - quadra de areia </v>
      </c>
      <c r="C241" s="63"/>
      <c r="D241" s="63">
        <f>D199</f>
        <v>105.19999999999999</v>
      </c>
    </row>
    <row r="242" spans="1:7" s="58" customFormat="1" ht="15.75" thickBot="1" x14ac:dyDescent="0.3">
      <c r="A242" s="204" t="s">
        <v>18</v>
      </c>
      <c r="B242" s="205"/>
      <c r="C242" s="206"/>
      <c r="D242" s="64">
        <f>SUM(D241)</f>
        <v>105.19999999999999</v>
      </c>
    </row>
    <row r="243" spans="1:7" x14ac:dyDescent="0.25">
      <c r="A243" s="62" t="str">
        <f>Plan1!A121</f>
        <v>15.4</v>
      </c>
      <c r="B243" s="68" t="str">
        <f>Plan1!D121</f>
        <v xml:space="preserve">PINTURA ESMALTE ALQUIDICO ESTR.METALICA 2 DEMAOS </v>
      </c>
      <c r="C243" s="62" t="str">
        <f>Plan1!F121</f>
        <v>m2</v>
      </c>
      <c r="D243" s="63" t="s">
        <v>65</v>
      </c>
    </row>
    <row r="244" spans="1:7" s="58" customFormat="1" x14ac:dyDescent="0.25">
      <c r="A244" s="62" t="s">
        <v>58</v>
      </c>
      <c r="B244" s="68" t="s">
        <v>256</v>
      </c>
      <c r="C244" s="62"/>
      <c r="D244" s="63">
        <f>(8+6)*2*0.15</f>
        <v>4.2</v>
      </c>
    </row>
    <row r="245" spans="1:7" s="58" customFormat="1" ht="15.75" thickBot="1" x14ac:dyDescent="0.3">
      <c r="A245" s="204" t="s">
        <v>18</v>
      </c>
      <c r="B245" s="205"/>
      <c r="C245" s="206"/>
      <c r="D245" s="64">
        <f>SUM(D244)</f>
        <v>4.2</v>
      </c>
    </row>
    <row r="246" spans="1:7" x14ac:dyDescent="0.25">
      <c r="A246" s="62" t="str">
        <f>Plan1!A122</f>
        <v>15.5</v>
      </c>
      <c r="B246" s="68" t="str">
        <f>Plan1!D122</f>
        <v xml:space="preserve">PINT.POLIESPORTIVA - 2 DEM.(PISOS E CIMENTADOS) </v>
      </c>
      <c r="C246" s="62" t="str">
        <f>Plan1!F122</f>
        <v>m2</v>
      </c>
      <c r="D246" s="63" t="s">
        <v>65</v>
      </c>
    </row>
    <row r="247" spans="1:7" s="58" customFormat="1" x14ac:dyDescent="0.25">
      <c r="A247" s="62" t="s">
        <v>58</v>
      </c>
      <c r="B247" s="85" t="s">
        <v>112</v>
      </c>
      <c r="C247" s="86"/>
      <c r="D247" s="87">
        <f>D207</f>
        <v>2180.06</v>
      </c>
    </row>
    <row r="248" spans="1:7" s="58" customFormat="1" ht="15.75" thickBot="1" x14ac:dyDescent="0.3">
      <c r="A248" s="204" t="s">
        <v>18</v>
      </c>
      <c r="B248" s="205"/>
      <c r="C248" s="206"/>
      <c r="D248" s="64">
        <f>SUM(D247)</f>
        <v>2180.06</v>
      </c>
      <c r="F248" s="69"/>
      <c r="G248" s="69"/>
    </row>
    <row r="249" spans="1:7" x14ac:dyDescent="0.25">
      <c r="A249" s="76">
        <f>Plan1!A125</f>
        <v>16</v>
      </c>
      <c r="B249" s="77" t="str">
        <f>Plan1!D125</f>
        <v>DIVERSOS</v>
      </c>
      <c r="C249" s="91"/>
      <c r="D249" s="78"/>
    </row>
    <row r="250" spans="1:7" ht="30" x14ac:dyDescent="0.25">
      <c r="A250" s="62" t="str">
        <f>Plan1!A126</f>
        <v>16.1</v>
      </c>
      <c r="B250" s="68" t="str">
        <f>Plan1!D126</f>
        <v>PLANTIO GRAMA ESMERALDA PLACA C/ M.O. IRRIG., ADUBO,TERRA VEGETAL (O.C.) A&lt;11.000,00 M2</v>
      </c>
      <c r="C250" s="62" t="str">
        <f>Plan1!F126</f>
        <v>m2</v>
      </c>
      <c r="D250" s="63" t="s">
        <v>65</v>
      </c>
      <c r="F250" s="69"/>
    </row>
    <row r="251" spans="1:7" s="58" customFormat="1" x14ac:dyDescent="0.25">
      <c r="A251" s="62" t="s">
        <v>58</v>
      </c>
      <c r="B251" s="68" t="s">
        <v>55</v>
      </c>
      <c r="C251" s="62"/>
      <c r="D251" s="63">
        <v>921.08</v>
      </c>
      <c r="F251" s="69"/>
    </row>
    <row r="252" spans="1:7" s="58" customFormat="1" ht="15.75" thickBot="1" x14ac:dyDescent="0.3">
      <c r="A252" s="204" t="s">
        <v>18</v>
      </c>
      <c r="B252" s="205"/>
      <c r="C252" s="206"/>
      <c r="D252" s="64">
        <f>SUM(D251)</f>
        <v>921.08</v>
      </c>
      <c r="F252" s="69"/>
    </row>
    <row r="253" spans="1:7" ht="30" x14ac:dyDescent="0.25">
      <c r="A253" s="62" t="str">
        <f>Plan1!A127</f>
        <v>16.2</v>
      </c>
      <c r="B253" s="68" t="str">
        <f>Plan1!D127</f>
        <v>ALAMBRADO EM TUBO INDUSTRIAL 2"#2,28 E TELA MALHA 4" FIO 12 (QUADRA ESPORTE EXISTENTE) SEM PINTURA</v>
      </c>
      <c r="C253" s="62" t="str">
        <f>Plan1!F127</f>
        <v>m2</v>
      </c>
      <c r="D253" s="63" t="s">
        <v>50</v>
      </c>
    </row>
    <row r="254" spans="1:7" s="58" customFormat="1" x14ac:dyDescent="0.25">
      <c r="A254" s="62" t="s">
        <v>58</v>
      </c>
      <c r="B254" s="68" t="s">
        <v>113</v>
      </c>
      <c r="C254" s="62"/>
      <c r="D254" s="63">
        <f>(16+16+10.3+10.3)*2</f>
        <v>105.19999999999999</v>
      </c>
    </row>
    <row r="255" spans="1:7" s="58" customFormat="1" ht="15.75" thickBot="1" x14ac:dyDescent="0.3">
      <c r="A255" s="204" t="s">
        <v>18</v>
      </c>
      <c r="B255" s="205"/>
      <c r="C255" s="206"/>
      <c r="D255" s="64">
        <f>D254</f>
        <v>105.19999999999999</v>
      </c>
    </row>
    <row r="256" spans="1:7" x14ac:dyDescent="0.25">
      <c r="A256" s="62" t="str">
        <f>Plan1!A128</f>
        <v>16.3</v>
      </c>
      <c r="B256" s="68" t="str">
        <f>Plan1!D128</f>
        <v>PLACA DE INAUGURACAO ACO ESCOVADO 80 X 60 CM</v>
      </c>
      <c r="C256" s="62" t="str">
        <f>Plan1!F128</f>
        <v>und</v>
      </c>
      <c r="D256" s="63" t="s">
        <v>252</v>
      </c>
    </row>
    <row r="257" spans="1:4" s="58" customFormat="1" x14ac:dyDescent="0.25">
      <c r="A257" s="62" t="s">
        <v>58</v>
      </c>
      <c r="B257" s="68" t="s">
        <v>251</v>
      </c>
      <c r="C257" s="62"/>
      <c r="D257" s="63">
        <v>1</v>
      </c>
    </row>
    <row r="258" spans="1:4" s="58" customFormat="1" ht="15.75" thickBot="1" x14ac:dyDescent="0.3">
      <c r="A258" s="204" t="s">
        <v>18</v>
      </c>
      <c r="B258" s="205"/>
      <c r="C258" s="206"/>
      <c r="D258" s="64">
        <f>D257</f>
        <v>1</v>
      </c>
    </row>
    <row r="259" spans="1:4" x14ac:dyDescent="0.25">
      <c r="A259" s="62" t="str">
        <f>Plan1!A129</f>
        <v>16.4</v>
      </c>
      <c r="B259" s="68" t="str">
        <f>Plan1!D129</f>
        <v>OBELISCO PARA PLACA DE INAUGURAÇÃO - PADRÃO GOINFRA</v>
      </c>
      <c r="C259" s="62" t="str">
        <f>Plan1!F129</f>
        <v>und</v>
      </c>
      <c r="D259" s="63" t="s">
        <v>252</v>
      </c>
    </row>
    <row r="260" spans="1:4" s="58" customFormat="1" x14ac:dyDescent="0.25">
      <c r="A260" s="62" t="s">
        <v>58</v>
      </c>
      <c r="B260" s="68" t="s">
        <v>253</v>
      </c>
      <c r="C260" s="62"/>
      <c r="D260" s="63">
        <v>1</v>
      </c>
    </row>
    <row r="261" spans="1:4" s="58" customFormat="1" ht="15.75" thickBot="1" x14ac:dyDescent="0.3">
      <c r="A261" s="204" t="s">
        <v>18</v>
      </c>
      <c r="B261" s="205"/>
      <c r="C261" s="206"/>
      <c r="D261" s="64">
        <f>D260</f>
        <v>1</v>
      </c>
    </row>
    <row r="262" spans="1:4" ht="30" x14ac:dyDescent="0.25">
      <c r="A262" s="62" t="str">
        <f>Plan1!A130</f>
        <v>16.5</v>
      </c>
      <c r="B262" s="68" t="str">
        <f>Plan1!D130</f>
        <v>CONJUNTO PARA VOLEIBOL EM FERRO GALVANIZADO COM PINTURA (2 SUPORTES)</v>
      </c>
      <c r="C262" s="62" t="str">
        <f>Plan1!F130</f>
        <v xml:space="preserve"> CJ </v>
      </c>
      <c r="D262" s="63" t="s">
        <v>252</v>
      </c>
    </row>
    <row r="263" spans="1:4" s="58" customFormat="1" x14ac:dyDescent="0.25">
      <c r="A263" s="62" t="s">
        <v>58</v>
      </c>
      <c r="B263" s="68" t="s">
        <v>254</v>
      </c>
      <c r="C263" s="62"/>
      <c r="D263" s="63">
        <v>1</v>
      </c>
    </row>
    <row r="264" spans="1:4" s="58" customFormat="1" ht="15.75" thickBot="1" x14ac:dyDescent="0.3">
      <c r="A264" s="204" t="s">
        <v>18</v>
      </c>
      <c r="B264" s="205"/>
      <c r="C264" s="206"/>
      <c r="D264" s="64">
        <f>D263</f>
        <v>1</v>
      </c>
    </row>
    <row r="265" spans="1:4" x14ac:dyDescent="0.25">
      <c r="A265" s="62" t="str">
        <f>Plan1!A131</f>
        <v>16.6</v>
      </c>
      <c r="B265" s="68" t="str">
        <f>Plan1!D131</f>
        <v xml:space="preserve">MEIO FIO COM SARJETA - MFU02 </v>
      </c>
      <c r="C265" s="62" t="str">
        <f>Plan1!F131</f>
        <v xml:space="preserve">m </v>
      </c>
      <c r="D265" s="63" t="s">
        <v>52</v>
      </c>
    </row>
    <row r="266" spans="1:4" s="58" customFormat="1" x14ac:dyDescent="0.25">
      <c r="A266" s="62" t="s">
        <v>58</v>
      </c>
      <c r="B266" s="68" t="s">
        <v>51</v>
      </c>
      <c r="C266" s="62"/>
      <c r="D266" s="63">
        <v>158</v>
      </c>
    </row>
    <row r="267" spans="1:4" ht="15.75" thickBot="1" x14ac:dyDescent="0.3">
      <c r="A267" s="204" t="s">
        <v>18</v>
      </c>
      <c r="B267" s="205"/>
      <c r="C267" s="206"/>
      <c r="D267" s="64">
        <f>D266</f>
        <v>158</v>
      </c>
    </row>
    <row r="268" spans="1:4" x14ac:dyDescent="0.25">
      <c r="A268" s="76">
        <f>Plan1!A134</f>
        <v>17</v>
      </c>
      <c r="B268" s="77" t="str">
        <f>Plan1!D134</f>
        <v>MOBILIÁRIO URBANO</v>
      </c>
      <c r="C268" s="91"/>
      <c r="D268" s="78"/>
    </row>
    <row r="269" spans="1:4" ht="45" x14ac:dyDescent="0.25">
      <c r="A269" s="62" t="str">
        <f>Plan1!A135</f>
        <v>17.1</v>
      </c>
      <c r="B269" s="68" t="str">
        <f>Plan1!D135</f>
        <v>BANCO DE CONCRETO POLIDO BASE EM ALVENARIA REBOCADA E PINTADA - PADRÃO
GOINFRA</v>
      </c>
      <c r="C269" s="62" t="str">
        <f>Plan1!F135</f>
        <v xml:space="preserve">m </v>
      </c>
      <c r="D269" s="63" t="s">
        <v>52</v>
      </c>
    </row>
    <row r="270" spans="1:4" x14ac:dyDescent="0.25">
      <c r="A270" s="62" t="s">
        <v>58</v>
      </c>
      <c r="B270" s="68" t="s">
        <v>260</v>
      </c>
      <c r="C270" s="62"/>
      <c r="D270" s="63">
        <f>17*1.5</f>
        <v>25.5</v>
      </c>
    </row>
    <row r="271" spans="1:4" s="58" customFormat="1" ht="15.75" thickBot="1" x14ac:dyDescent="0.3">
      <c r="A271" s="204" t="s">
        <v>18</v>
      </c>
      <c r="B271" s="205"/>
      <c r="C271" s="206"/>
      <c r="D271" s="64">
        <f>D270</f>
        <v>25.5</v>
      </c>
    </row>
    <row r="272" spans="1:4" x14ac:dyDescent="0.25">
      <c r="A272" s="62" t="str">
        <f>Plan1!A136</f>
        <v>17.2</v>
      </c>
      <c r="B272" s="68" t="str">
        <f>Plan1!D136</f>
        <v>LIXEIRA PARA PÁTIOS E PARQUES REDONDA SUSPENSA</v>
      </c>
      <c r="C272" s="62" t="str">
        <f>Plan1!F136</f>
        <v>und</v>
      </c>
      <c r="D272" s="63" t="s">
        <v>134</v>
      </c>
    </row>
    <row r="273" spans="1:4" x14ac:dyDescent="0.25">
      <c r="A273" s="62" t="s">
        <v>58</v>
      </c>
      <c r="B273" s="68" t="s">
        <v>261</v>
      </c>
      <c r="C273" s="62"/>
      <c r="D273" s="63">
        <v>13</v>
      </c>
    </row>
    <row r="274" spans="1:4" s="58" customFormat="1" ht="15.75" thickBot="1" x14ac:dyDescent="0.3">
      <c r="A274" s="204" t="s">
        <v>18</v>
      </c>
      <c r="B274" s="205"/>
      <c r="C274" s="206"/>
      <c r="D274" s="64">
        <f>D273</f>
        <v>13</v>
      </c>
    </row>
    <row r="275" spans="1:4" x14ac:dyDescent="0.25">
      <c r="A275" s="62" t="str">
        <f>Plan1!A137</f>
        <v>17.3</v>
      </c>
      <c r="B275" s="68" t="str">
        <f>Plan1!D137</f>
        <v>ESQUI DUPLO CONJUGADO</v>
      </c>
      <c r="C275" s="62">
        <f>Plan1!G137</f>
        <v>0</v>
      </c>
      <c r="D275" s="63" t="s">
        <v>134</v>
      </c>
    </row>
    <row r="276" spans="1:4" x14ac:dyDescent="0.25">
      <c r="A276" s="62" t="s">
        <v>58</v>
      </c>
      <c r="B276" s="68" t="s">
        <v>349</v>
      </c>
      <c r="C276" s="62"/>
      <c r="D276" s="63">
        <v>1</v>
      </c>
    </row>
    <row r="277" spans="1:4" ht="15.75" thickBot="1" x14ac:dyDescent="0.3">
      <c r="A277" s="204" t="s">
        <v>18</v>
      </c>
      <c r="B277" s="205"/>
      <c r="C277" s="206"/>
      <c r="D277" s="64">
        <f>D276</f>
        <v>1</v>
      </c>
    </row>
    <row r="278" spans="1:4" x14ac:dyDescent="0.25">
      <c r="A278" s="62" t="str">
        <f>Plan1!A138</f>
        <v>17.4</v>
      </c>
      <c r="B278" s="68" t="str">
        <f>Plan1!D138</f>
        <v>SURF DUPLO CONJUGADO (EXERCITADOR PARA IDOSOS)</v>
      </c>
      <c r="C278" s="62" t="str">
        <f>Plan1!F138</f>
        <v>und</v>
      </c>
      <c r="D278" s="63" t="s">
        <v>134</v>
      </c>
    </row>
    <row r="279" spans="1:4" s="58" customFormat="1" x14ac:dyDescent="0.25">
      <c r="A279" s="62" t="s">
        <v>58</v>
      </c>
      <c r="B279" s="68" t="s">
        <v>269</v>
      </c>
      <c r="C279" s="62"/>
      <c r="D279" s="63">
        <v>1</v>
      </c>
    </row>
    <row r="280" spans="1:4" s="58" customFormat="1" ht="15.75" thickBot="1" x14ac:dyDescent="0.3">
      <c r="A280" s="204" t="s">
        <v>18</v>
      </c>
      <c r="B280" s="205"/>
      <c r="C280" s="206"/>
      <c r="D280" s="64">
        <f>D279</f>
        <v>1</v>
      </c>
    </row>
    <row r="281" spans="1:4" x14ac:dyDescent="0.25">
      <c r="A281" s="62" t="str">
        <f>Plan1!A139</f>
        <v>17.5</v>
      </c>
      <c r="B281" s="68" t="str">
        <f>Plan1!D139</f>
        <v>ROTAÇÃO DIAGONAL DUPLA - APARELHO DUPLO CONJUGADO</v>
      </c>
      <c r="C281" s="62" t="str">
        <f>Plan1!F146</f>
        <v>und</v>
      </c>
      <c r="D281" s="63" t="s">
        <v>134</v>
      </c>
    </row>
    <row r="282" spans="1:4" s="58" customFormat="1" x14ac:dyDescent="0.25">
      <c r="A282" s="62" t="s">
        <v>58</v>
      </c>
      <c r="B282" s="68" t="s">
        <v>349</v>
      </c>
      <c r="C282" s="62"/>
      <c r="D282" s="63">
        <v>1</v>
      </c>
    </row>
    <row r="283" spans="1:4" s="58" customFormat="1" ht="15.75" thickBot="1" x14ac:dyDescent="0.3">
      <c r="A283" s="204" t="s">
        <v>18</v>
      </c>
      <c r="B283" s="205"/>
      <c r="C283" s="206"/>
      <c r="D283" s="64">
        <f>D282</f>
        <v>1</v>
      </c>
    </row>
    <row r="284" spans="1:4" x14ac:dyDescent="0.25">
      <c r="A284" s="62" t="str">
        <f>Plan1!A140</f>
        <v>17.6</v>
      </c>
      <c r="B284" s="68" t="str">
        <f>Plan1!D140</f>
        <v>SIMULADOR DE CAVALGADA TRIPLO</v>
      </c>
      <c r="C284" s="62" t="str">
        <f>Plan1!F147</f>
        <v>und</v>
      </c>
      <c r="D284" s="63" t="s">
        <v>134</v>
      </c>
    </row>
    <row r="285" spans="1:4" s="58" customFormat="1" x14ac:dyDescent="0.25">
      <c r="A285" s="62" t="s">
        <v>58</v>
      </c>
      <c r="B285" s="68" t="s">
        <v>349</v>
      </c>
      <c r="C285" s="62"/>
      <c r="D285" s="63">
        <v>1</v>
      </c>
    </row>
    <row r="286" spans="1:4" s="58" customFormat="1" ht="15.75" thickBot="1" x14ac:dyDescent="0.3">
      <c r="A286" s="204" t="s">
        <v>18</v>
      </c>
      <c r="B286" s="205"/>
      <c r="C286" s="206"/>
      <c r="D286" s="64">
        <f>D285</f>
        <v>1</v>
      </c>
    </row>
    <row r="287" spans="1:4" x14ac:dyDescent="0.25">
      <c r="A287" s="62" t="str">
        <f>Plan1!A141</f>
        <v>17.7</v>
      </c>
      <c r="B287" s="68" t="str">
        <f>Plan1!D141</f>
        <v>ALONGADOR COM 3 ALTURAS CONJUGADO</v>
      </c>
      <c r="C287" s="62" t="str">
        <f>Plan1!F148</f>
        <v>und</v>
      </c>
      <c r="D287" s="63" t="s">
        <v>134</v>
      </c>
    </row>
    <row r="288" spans="1:4" s="58" customFormat="1" x14ac:dyDescent="0.25">
      <c r="A288" s="62" t="s">
        <v>58</v>
      </c>
      <c r="B288" s="68" t="s">
        <v>349</v>
      </c>
      <c r="C288" s="62"/>
      <c r="D288" s="63">
        <v>1</v>
      </c>
    </row>
    <row r="289" spans="1:4" s="58" customFormat="1" ht="15.75" thickBot="1" x14ac:dyDescent="0.3">
      <c r="A289" s="204" t="s">
        <v>18</v>
      </c>
      <c r="B289" s="205"/>
      <c r="C289" s="206"/>
      <c r="D289" s="64">
        <f>D288</f>
        <v>1</v>
      </c>
    </row>
    <row r="290" spans="1:4" x14ac:dyDescent="0.25">
      <c r="A290" s="62" t="str">
        <f>Plan1!A142</f>
        <v>17.8</v>
      </c>
      <c r="B290" s="68" t="str">
        <f>Plan1!D142</f>
        <v>REMADA SENTADA</v>
      </c>
      <c r="C290" s="62" t="str">
        <f>Plan1!F149</f>
        <v>und</v>
      </c>
      <c r="D290" s="63" t="s">
        <v>134</v>
      </c>
    </row>
    <row r="291" spans="1:4" x14ac:dyDescent="0.25">
      <c r="A291" s="62" t="s">
        <v>58</v>
      </c>
      <c r="B291" s="68" t="s">
        <v>349</v>
      </c>
      <c r="C291" s="62"/>
      <c r="D291" s="63">
        <v>1</v>
      </c>
    </row>
    <row r="292" spans="1:4" ht="15.75" thickBot="1" x14ac:dyDescent="0.3">
      <c r="A292" s="204" t="s">
        <v>18</v>
      </c>
      <c r="B292" s="205"/>
      <c r="C292" s="206"/>
      <c r="D292" s="64">
        <f>D291</f>
        <v>1</v>
      </c>
    </row>
    <row r="293" spans="1:4" x14ac:dyDescent="0.25">
      <c r="A293" s="62" t="str">
        <f>Plan1!A143</f>
        <v>17.9</v>
      </c>
      <c r="B293" s="68" t="str">
        <f>Plan1!D143</f>
        <v>TWIST TRIPLO</v>
      </c>
      <c r="C293" s="62" t="str">
        <f>Plan1!F150</f>
        <v>und</v>
      </c>
      <c r="D293" s="63" t="s">
        <v>134</v>
      </c>
    </row>
    <row r="294" spans="1:4" x14ac:dyDescent="0.25">
      <c r="A294" s="62" t="s">
        <v>58</v>
      </c>
      <c r="B294" s="68" t="s">
        <v>349</v>
      </c>
      <c r="C294" s="62"/>
      <c r="D294" s="63">
        <v>1</v>
      </c>
    </row>
    <row r="295" spans="1:4" ht="15.75" thickBot="1" x14ac:dyDescent="0.3">
      <c r="A295" s="204" t="s">
        <v>18</v>
      </c>
      <c r="B295" s="205"/>
      <c r="C295" s="206"/>
      <c r="D295" s="64">
        <f>D294</f>
        <v>1</v>
      </c>
    </row>
    <row r="296" spans="1:4" x14ac:dyDescent="0.25">
      <c r="A296" s="62" t="str">
        <f>Plan1!A144</f>
        <v>17.10</v>
      </c>
      <c r="B296" s="68" t="str">
        <f>Plan1!D144</f>
        <v>PLACA ORIENTADORA VERTICAL</v>
      </c>
      <c r="C296" s="62" t="str">
        <f>Plan1!F150</f>
        <v>und</v>
      </c>
      <c r="D296" s="63" t="s">
        <v>134</v>
      </c>
    </row>
    <row r="297" spans="1:4" x14ac:dyDescent="0.25">
      <c r="A297" s="62" t="s">
        <v>58</v>
      </c>
      <c r="B297" s="68" t="s">
        <v>349</v>
      </c>
      <c r="C297" s="62"/>
      <c r="D297" s="63">
        <v>1</v>
      </c>
    </row>
    <row r="298" spans="1:4" ht="15.75" thickBot="1" x14ac:dyDescent="0.3">
      <c r="A298" s="204" t="s">
        <v>18</v>
      </c>
      <c r="B298" s="205"/>
      <c r="C298" s="206"/>
      <c r="D298" s="64">
        <f>D297</f>
        <v>1</v>
      </c>
    </row>
    <row r="299" spans="1:4" x14ac:dyDescent="0.25">
      <c r="A299" s="62" t="str">
        <f>Plan1!A145</f>
        <v>17.11</v>
      </c>
      <c r="B299" s="68" t="str">
        <f>Plan1!D145</f>
        <v>POSTES SLALOM - PET PLACE</v>
      </c>
      <c r="C299" s="62" t="str">
        <f>Plan1!F145</f>
        <v>CJ</v>
      </c>
      <c r="D299" s="63" t="s">
        <v>134</v>
      </c>
    </row>
    <row r="300" spans="1:4" x14ac:dyDescent="0.25">
      <c r="A300" s="62" t="s">
        <v>58</v>
      </c>
      <c r="B300" s="68" t="s">
        <v>269</v>
      </c>
      <c r="C300" s="62"/>
      <c r="D300" s="63">
        <v>1</v>
      </c>
    </row>
    <row r="301" spans="1:4" ht="15.75" thickBot="1" x14ac:dyDescent="0.3">
      <c r="A301" s="204" t="s">
        <v>18</v>
      </c>
      <c r="B301" s="205"/>
      <c r="C301" s="206"/>
      <c r="D301" s="64">
        <f>D300</f>
        <v>1</v>
      </c>
    </row>
    <row r="302" spans="1:4" x14ac:dyDescent="0.25">
      <c r="A302" s="62" t="str">
        <f>Plan1!A146</f>
        <v>17.12</v>
      </c>
      <c r="B302" s="68" t="str">
        <f>Plan1!D146</f>
        <v>DOG AGILITY JUMP - PET PLACE</v>
      </c>
      <c r="C302" s="62" t="str">
        <f>Plan1!F146</f>
        <v>und</v>
      </c>
      <c r="D302" s="63" t="s">
        <v>134</v>
      </c>
    </row>
    <row r="303" spans="1:4" x14ac:dyDescent="0.25">
      <c r="A303" s="62" t="s">
        <v>58</v>
      </c>
      <c r="B303" s="68" t="s">
        <v>270</v>
      </c>
      <c r="C303" s="62"/>
      <c r="D303" s="63">
        <v>1</v>
      </c>
    </row>
    <row r="304" spans="1:4" ht="15.75" thickBot="1" x14ac:dyDescent="0.3">
      <c r="A304" s="204" t="s">
        <v>18</v>
      </c>
      <c r="B304" s="205"/>
      <c r="C304" s="206"/>
      <c r="D304" s="64">
        <f>D303</f>
        <v>1</v>
      </c>
    </row>
    <row r="305" spans="1:4" x14ac:dyDescent="0.25">
      <c r="A305" s="62" t="str">
        <f>Plan1!A147</f>
        <v>17.13</v>
      </c>
      <c r="B305" s="68" t="str">
        <f>Plan1!D147</f>
        <v>RAMPA SOBE E DESCE - PET PLACE</v>
      </c>
      <c r="C305" s="62" t="str">
        <f>Plan1!F147</f>
        <v>und</v>
      </c>
      <c r="D305" s="63" t="s">
        <v>134</v>
      </c>
    </row>
    <row r="306" spans="1:4" x14ac:dyDescent="0.25">
      <c r="A306" s="62" t="s">
        <v>58</v>
      </c>
      <c r="B306" s="68" t="s">
        <v>269</v>
      </c>
      <c r="C306" s="62"/>
      <c r="D306" s="63">
        <v>1</v>
      </c>
    </row>
    <row r="307" spans="1:4" ht="15.75" thickBot="1" x14ac:dyDescent="0.3">
      <c r="A307" s="204" t="s">
        <v>18</v>
      </c>
      <c r="B307" s="205"/>
      <c r="C307" s="206"/>
      <c r="D307" s="64">
        <f>D306</f>
        <v>1</v>
      </c>
    </row>
    <row r="308" spans="1:4" x14ac:dyDescent="0.25">
      <c r="A308" s="62" t="str">
        <f>Plan1!A148</f>
        <v>17.14</v>
      </c>
      <c r="B308" s="68" t="str">
        <f>Plan1!D148</f>
        <v>GANGORRA PET PLAY - PET PLACE</v>
      </c>
      <c r="C308" s="62" t="str">
        <f>Plan1!F148</f>
        <v>und</v>
      </c>
      <c r="D308" s="63" t="s">
        <v>134</v>
      </c>
    </row>
    <row r="309" spans="1:4" x14ac:dyDescent="0.25">
      <c r="A309" s="62" t="s">
        <v>58</v>
      </c>
      <c r="B309" s="68" t="s">
        <v>269</v>
      </c>
      <c r="C309" s="62"/>
      <c r="D309" s="63">
        <v>1</v>
      </c>
    </row>
    <row r="310" spans="1:4" ht="15.75" thickBot="1" x14ac:dyDescent="0.3">
      <c r="A310" s="204" t="s">
        <v>18</v>
      </c>
      <c r="B310" s="205"/>
      <c r="C310" s="206"/>
      <c r="D310" s="64">
        <f>D309</f>
        <v>1</v>
      </c>
    </row>
    <row r="311" spans="1:4" x14ac:dyDescent="0.25">
      <c r="A311" s="62" t="str">
        <f>Plan1!A149</f>
        <v>17.15</v>
      </c>
      <c r="B311" s="68" t="str">
        <f>Plan1!D149</f>
        <v>SALTO - PET PLACE</v>
      </c>
      <c r="C311" s="62" t="str">
        <f>Plan1!F149</f>
        <v>und</v>
      </c>
      <c r="D311" s="63" t="s">
        <v>134</v>
      </c>
    </row>
    <row r="312" spans="1:4" x14ac:dyDescent="0.25">
      <c r="A312" s="62" t="s">
        <v>58</v>
      </c>
      <c r="B312" s="68" t="s">
        <v>269</v>
      </c>
      <c r="C312" s="62"/>
      <c r="D312" s="63">
        <v>1</v>
      </c>
    </row>
    <row r="313" spans="1:4" ht="15.75" thickBot="1" x14ac:dyDescent="0.3">
      <c r="A313" s="204" t="s">
        <v>18</v>
      </c>
      <c r="B313" s="205"/>
      <c r="C313" s="206"/>
      <c r="D313" s="64">
        <f>D312</f>
        <v>1</v>
      </c>
    </row>
    <row r="314" spans="1:4" ht="30" x14ac:dyDescent="0.25">
      <c r="A314" s="62" t="str">
        <f>Plan1!A150</f>
        <v>17.16</v>
      </c>
      <c r="B314" s="68" t="str">
        <f>Plan1!D150</f>
        <v xml:space="preserve">PLAYGROUND BRINQUEDOS DE MADEIRA - CASA TARZAN COM RAMPA ESCALADA, ESCORREGADOR E ESCADA MARINHEIRO </v>
      </c>
      <c r="C314" s="62" t="str">
        <f>Plan1!F150</f>
        <v>und</v>
      </c>
      <c r="D314" s="63" t="s">
        <v>134</v>
      </c>
    </row>
    <row r="315" spans="1:4" x14ac:dyDescent="0.25">
      <c r="A315" s="62" t="s">
        <v>58</v>
      </c>
      <c r="B315" s="68" t="s">
        <v>270</v>
      </c>
      <c r="C315" s="62"/>
      <c r="D315" s="63">
        <v>1</v>
      </c>
    </row>
    <row r="316" spans="1:4" ht="15.75" thickBot="1" x14ac:dyDescent="0.3">
      <c r="A316" s="204" t="s">
        <v>18</v>
      </c>
      <c r="B316" s="205"/>
      <c r="C316" s="206"/>
      <c r="D316" s="64">
        <f>D315</f>
        <v>1</v>
      </c>
    </row>
    <row r="317" spans="1:4" x14ac:dyDescent="0.25">
      <c r="A317" s="62" t="str">
        <f>Plan1!A151</f>
        <v>17.17</v>
      </c>
      <c r="B317" s="68" t="str">
        <f>Plan1!D151</f>
        <v xml:space="preserve">PLAYGROUND BRINQUEDOS DE MADEIRA - GANGORRA DUPLA </v>
      </c>
      <c r="C317" s="62" t="str">
        <f>Plan1!F151</f>
        <v>und</v>
      </c>
      <c r="D317" s="63" t="s">
        <v>134</v>
      </c>
    </row>
    <row r="318" spans="1:4" x14ac:dyDescent="0.25">
      <c r="A318" s="62" t="s">
        <v>58</v>
      </c>
      <c r="B318" s="68" t="s">
        <v>270</v>
      </c>
      <c r="C318" s="62"/>
      <c r="D318" s="63">
        <v>2</v>
      </c>
    </row>
    <row r="319" spans="1:4" ht="15.75" thickBot="1" x14ac:dyDescent="0.3">
      <c r="A319" s="204" t="s">
        <v>18</v>
      </c>
      <c r="B319" s="205"/>
      <c r="C319" s="206"/>
      <c r="D319" s="64">
        <f>D318</f>
        <v>2</v>
      </c>
    </row>
    <row r="320" spans="1:4" x14ac:dyDescent="0.25">
      <c r="A320" s="62" t="str">
        <f>Plan1!A152</f>
        <v>17.18</v>
      </c>
      <c r="B320" s="68" t="str">
        <f>Plan1!D152</f>
        <v>PLAYGROUND BRINQUEDOS DE MADEIRA - BALANÇA DUPLA</v>
      </c>
      <c r="C320" s="62" t="str">
        <f>Plan1!F152</f>
        <v>und</v>
      </c>
      <c r="D320" s="63" t="s">
        <v>134</v>
      </c>
    </row>
    <row r="321" spans="1:4" x14ac:dyDescent="0.25">
      <c r="A321" s="62" t="s">
        <v>58</v>
      </c>
      <c r="B321" s="68" t="s">
        <v>270</v>
      </c>
      <c r="C321" s="62"/>
      <c r="D321" s="63">
        <v>1</v>
      </c>
    </row>
    <row r="322" spans="1:4" ht="15.75" thickBot="1" x14ac:dyDescent="0.3">
      <c r="A322" s="204" t="s">
        <v>18</v>
      </c>
      <c r="B322" s="205"/>
      <c r="C322" s="206"/>
      <c r="D322" s="64">
        <f>D321</f>
        <v>1</v>
      </c>
    </row>
    <row r="323" spans="1:4" s="96" customFormat="1" x14ac:dyDescent="0.25">
      <c r="A323" s="62" t="str">
        <f>Plan1!A153</f>
        <v>17.19</v>
      </c>
      <c r="B323" s="68" t="str">
        <f>Plan1!D153</f>
        <v>AMARELINHA DEMARCAÇÃO DE PISO (RD-05)</v>
      </c>
      <c r="C323" s="62" t="str">
        <f>Plan1!F153</f>
        <v>und</v>
      </c>
      <c r="D323" s="63" t="str">
        <f>D320</f>
        <v xml:space="preserve">Quantidade </v>
      </c>
    </row>
    <row r="324" spans="1:4" s="96" customFormat="1" x14ac:dyDescent="0.25">
      <c r="A324" s="62" t="s">
        <v>58</v>
      </c>
      <c r="B324" s="68" t="s">
        <v>270</v>
      </c>
      <c r="C324" s="62"/>
      <c r="D324" s="63">
        <v>1</v>
      </c>
    </row>
    <row r="325" spans="1:4" s="96" customFormat="1" ht="15.75" thickBot="1" x14ac:dyDescent="0.3">
      <c r="A325" s="204" t="s">
        <v>18</v>
      </c>
      <c r="B325" s="205"/>
      <c r="C325" s="206"/>
      <c r="D325" s="64">
        <f>D324</f>
        <v>1</v>
      </c>
    </row>
    <row r="326" spans="1:4" x14ac:dyDescent="0.25">
      <c r="A326" s="76">
        <f>Plan1!A156</f>
        <v>18</v>
      </c>
      <c r="B326" s="77" t="str">
        <f>Plan1!D156</f>
        <v xml:space="preserve">PAISAGISMO </v>
      </c>
      <c r="C326" s="91"/>
      <c r="D326" s="78"/>
    </row>
    <row r="327" spans="1:4" ht="35.25" customHeight="1" x14ac:dyDescent="0.25">
      <c r="A327" s="62" t="str">
        <f>Plan1!A157</f>
        <v>18.1</v>
      </c>
      <c r="B327" s="68" t="str">
        <f>Plan1!D157</f>
        <v>MUDA DE ARVORE ORNAMENTAL, OITI/AROEIRA SALSA/ANGICO/IPE/JACARANDA OU EQUIVALENTE DA REGIAO, H= *1* M</v>
      </c>
      <c r="C327" s="62" t="str">
        <f>Plan1!F157</f>
        <v>und</v>
      </c>
      <c r="D327" s="63" t="s">
        <v>134</v>
      </c>
    </row>
    <row r="328" spans="1:4" x14ac:dyDescent="0.25">
      <c r="A328" s="62" t="s">
        <v>58</v>
      </c>
      <c r="B328" s="68" t="s">
        <v>351</v>
      </c>
      <c r="C328" s="62"/>
      <c r="D328" s="63">
        <v>1</v>
      </c>
    </row>
    <row r="329" spans="1:4" s="58" customFormat="1" ht="15.75" thickBot="1" x14ac:dyDescent="0.3">
      <c r="A329" s="204" t="s">
        <v>18</v>
      </c>
      <c r="B329" s="205"/>
      <c r="C329" s="206"/>
      <c r="D329" s="64">
        <f>D328</f>
        <v>1</v>
      </c>
    </row>
    <row r="330" spans="1:4" x14ac:dyDescent="0.25">
      <c r="A330" s="62" t="str">
        <f>Plan1!A158</f>
        <v>18.2</v>
      </c>
      <c r="B330" s="68" t="str">
        <f>Plan1!D158</f>
        <v xml:space="preserve">MINI IXORIA </v>
      </c>
      <c r="C330" s="62" t="str">
        <f>Plan1!F158</f>
        <v>und</v>
      </c>
      <c r="D330" s="63" t="s">
        <v>134</v>
      </c>
    </row>
    <row r="331" spans="1:4" x14ac:dyDescent="0.25">
      <c r="A331" s="62" t="s">
        <v>58</v>
      </c>
      <c r="B331" s="68" t="s">
        <v>55</v>
      </c>
      <c r="C331" s="62"/>
      <c r="D331" s="63">
        <v>95</v>
      </c>
    </row>
    <row r="332" spans="1:4" s="58" customFormat="1" ht="15.75" thickBot="1" x14ac:dyDescent="0.3">
      <c r="A332" s="204" t="s">
        <v>18</v>
      </c>
      <c r="B332" s="205"/>
      <c r="C332" s="206"/>
      <c r="D332" s="64">
        <f>D331</f>
        <v>95</v>
      </c>
    </row>
    <row r="333" spans="1:4" x14ac:dyDescent="0.25">
      <c r="A333" s="62" t="str">
        <f>Plan1!A159</f>
        <v>18.3</v>
      </c>
      <c r="B333" s="68" t="str">
        <f>Plan1!D159</f>
        <v xml:space="preserve">FORNECIMENTO DE ÁRVORE - SIBIPURUNA </v>
      </c>
      <c r="C333" s="62" t="str">
        <f>Plan1!F159</f>
        <v>und</v>
      </c>
      <c r="D333" s="63" t="s">
        <v>134</v>
      </c>
    </row>
    <row r="334" spans="1:4" x14ac:dyDescent="0.25">
      <c r="A334" s="62" t="s">
        <v>58</v>
      </c>
      <c r="B334" s="68" t="s">
        <v>55</v>
      </c>
      <c r="C334" s="62"/>
      <c r="D334" s="63">
        <v>3</v>
      </c>
    </row>
    <row r="335" spans="1:4" ht="15.75" thickBot="1" x14ac:dyDescent="0.3">
      <c r="A335" s="204" t="s">
        <v>18</v>
      </c>
      <c r="B335" s="205"/>
      <c r="C335" s="206"/>
      <c r="D335" s="64">
        <f>D334</f>
        <v>3</v>
      </c>
    </row>
    <row r="336" spans="1:4" x14ac:dyDescent="0.25">
      <c r="A336" s="62" t="str">
        <f>Plan1!A160</f>
        <v>18.4</v>
      </c>
      <c r="B336" s="68" t="str">
        <f>Plan1!D160</f>
        <v xml:space="preserve">JASMIM MANGA </v>
      </c>
      <c r="C336" s="62" t="str">
        <f>Plan1!F160</f>
        <v>und</v>
      </c>
      <c r="D336" s="63" t="s">
        <v>134</v>
      </c>
    </row>
    <row r="337" spans="1:4" x14ac:dyDescent="0.25">
      <c r="A337" s="62" t="s">
        <v>58</v>
      </c>
      <c r="B337" s="68" t="s">
        <v>352</v>
      </c>
      <c r="C337" s="62"/>
      <c r="D337" s="63">
        <v>5</v>
      </c>
    </row>
    <row r="338" spans="1:4" ht="15.75" thickBot="1" x14ac:dyDescent="0.3">
      <c r="A338" s="204" t="s">
        <v>18</v>
      </c>
      <c r="B338" s="205"/>
      <c r="C338" s="206"/>
      <c r="D338" s="64">
        <f>D337</f>
        <v>5</v>
      </c>
    </row>
    <row r="339" spans="1:4" x14ac:dyDescent="0.25">
      <c r="A339" s="62" t="str">
        <f>Plan1!A161</f>
        <v>18.5</v>
      </c>
      <c r="B339" s="68" t="str">
        <f>Plan1!D161</f>
        <v>CICA</v>
      </c>
      <c r="C339" s="62" t="str">
        <f>Plan1!F161</f>
        <v>und</v>
      </c>
      <c r="D339" s="63" t="s">
        <v>134</v>
      </c>
    </row>
    <row r="340" spans="1:4" s="58" customFormat="1" x14ac:dyDescent="0.25">
      <c r="A340" s="62" t="s">
        <v>58</v>
      </c>
      <c r="B340" s="68" t="s">
        <v>353</v>
      </c>
      <c r="C340" s="62"/>
      <c r="D340" s="63">
        <v>9</v>
      </c>
    </row>
    <row r="341" spans="1:4" s="58" customFormat="1" ht="15.75" thickBot="1" x14ac:dyDescent="0.3">
      <c r="A341" s="204" t="s">
        <v>18</v>
      </c>
      <c r="B341" s="205"/>
      <c r="C341" s="206"/>
      <c r="D341" s="64">
        <f>D340</f>
        <v>9</v>
      </c>
    </row>
    <row r="342" spans="1:4" x14ac:dyDescent="0.25">
      <c r="A342" s="62" t="str">
        <f>Plan1!A162</f>
        <v>18.6</v>
      </c>
      <c r="B342" s="68" t="str">
        <f>Plan1!D162</f>
        <v xml:space="preserve">PODOCARPO </v>
      </c>
      <c r="C342" s="62" t="str">
        <f>Plan1!F162</f>
        <v>und</v>
      </c>
      <c r="D342" s="63" t="s">
        <v>134</v>
      </c>
    </row>
    <row r="343" spans="1:4" x14ac:dyDescent="0.25">
      <c r="A343" s="62" t="s">
        <v>58</v>
      </c>
      <c r="B343" s="68" t="s">
        <v>354</v>
      </c>
      <c r="C343" s="62"/>
      <c r="D343" s="63">
        <v>100</v>
      </c>
    </row>
    <row r="344" spans="1:4" s="58" customFormat="1" ht="15.75" thickBot="1" x14ac:dyDescent="0.3">
      <c r="A344" s="204" t="s">
        <v>18</v>
      </c>
      <c r="B344" s="205"/>
      <c r="C344" s="206"/>
      <c r="D344" s="64">
        <f>D343</f>
        <v>100</v>
      </c>
    </row>
    <row r="345" spans="1:4" x14ac:dyDescent="0.25">
      <c r="A345" s="62" t="str">
        <f>Plan1!A163</f>
        <v>18.7</v>
      </c>
      <c r="B345" s="68" t="str">
        <f>Plan1!D163</f>
        <v>PRIMAVERA (BOUGAINVILLEA GLABRA)</v>
      </c>
      <c r="C345" s="62" t="str">
        <f>Plan1!F163</f>
        <v>und</v>
      </c>
      <c r="D345" s="63" t="str">
        <f>Plan2!D342</f>
        <v xml:space="preserve">Quantidade </v>
      </c>
    </row>
    <row r="346" spans="1:4" x14ac:dyDescent="0.25">
      <c r="A346" s="62" t="s">
        <v>58</v>
      </c>
      <c r="B346" s="68" t="s">
        <v>355</v>
      </c>
      <c r="C346" s="62"/>
      <c r="D346" s="63">
        <v>61</v>
      </c>
    </row>
    <row r="347" spans="1:4" s="58" customFormat="1" ht="15.75" thickBot="1" x14ac:dyDescent="0.3">
      <c r="A347" s="204" t="s">
        <v>18</v>
      </c>
      <c r="B347" s="205"/>
      <c r="C347" s="206"/>
      <c r="D347" s="64">
        <f>D346</f>
        <v>61</v>
      </c>
    </row>
    <row r="348" spans="1:4" x14ac:dyDescent="0.25">
      <c r="A348" s="62" t="str">
        <f>Plan1!A164</f>
        <v>18.8</v>
      </c>
      <c r="B348" s="68" t="str">
        <f>Plan1!D164</f>
        <v xml:space="preserve">TERRA VEGETAL </v>
      </c>
      <c r="C348" s="62" t="str">
        <f>Plan1!F164</f>
        <v>m3</v>
      </c>
      <c r="D348" s="63" t="s">
        <v>50</v>
      </c>
    </row>
    <row r="349" spans="1:4" x14ac:dyDescent="0.25">
      <c r="A349" s="62" t="s">
        <v>58</v>
      </c>
      <c r="B349" s="68" t="s">
        <v>354</v>
      </c>
      <c r="C349" s="62"/>
      <c r="D349" s="63">
        <f>47*0.3*0.15</f>
        <v>2.1149999999999998</v>
      </c>
    </row>
    <row r="350" spans="1:4" s="58" customFormat="1" ht="15.75" thickBot="1" x14ac:dyDescent="0.3">
      <c r="A350" s="204" t="s">
        <v>18</v>
      </c>
      <c r="B350" s="205"/>
      <c r="C350" s="206"/>
      <c r="D350" s="64">
        <f>D349</f>
        <v>2.1149999999999998</v>
      </c>
    </row>
    <row r="351" spans="1:4" x14ac:dyDescent="0.25">
      <c r="A351" s="7"/>
      <c r="B351" s="183"/>
      <c r="C351" s="7"/>
      <c r="D351" s="184"/>
    </row>
    <row r="352" spans="1:4" s="58" customFormat="1" x14ac:dyDescent="0.25">
      <c r="A352" s="7"/>
      <c r="B352" s="183"/>
      <c r="C352" s="7"/>
      <c r="D352" s="184"/>
    </row>
    <row r="353" spans="1:7" s="58" customFormat="1" x14ac:dyDescent="0.25">
      <c r="A353" s="7"/>
      <c r="B353" s="183"/>
      <c r="C353" s="7"/>
      <c r="D353" s="184"/>
    </row>
    <row r="354" spans="1:7" s="58" customFormat="1" x14ac:dyDescent="0.25">
      <c r="A354" s="7"/>
      <c r="B354" s="183"/>
      <c r="C354" s="7"/>
      <c r="D354" s="184"/>
    </row>
    <row r="355" spans="1:7" s="58" customFormat="1" x14ac:dyDescent="0.25">
      <c r="A355" s="7"/>
      <c r="B355" s="183"/>
      <c r="C355" s="7"/>
      <c r="D355" s="184"/>
    </row>
    <row r="356" spans="1:7" s="58" customFormat="1" x14ac:dyDescent="0.25">
      <c r="A356" s="7"/>
      <c r="B356" s="183"/>
      <c r="C356" s="7"/>
      <c r="D356" s="184"/>
    </row>
    <row r="357" spans="1:7" s="58" customFormat="1" x14ac:dyDescent="0.25">
      <c r="A357" s="7"/>
      <c r="B357" s="183"/>
      <c r="C357" s="7"/>
      <c r="D357" s="184"/>
    </row>
    <row r="358" spans="1:7" s="58" customFormat="1" x14ac:dyDescent="0.25">
      <c r="A358" s="7"/>
      <c r="B358" s="183"/>
      <c r="C358" s="7"/>
      <c r="D358" s="184"/>
    </row>
    <row r="359" spans="1:7" s="58" customFormat="1" x14ac:dyDescent="0.25">
      <c r="A359" s="149"/>
      <c r="B359" s="150"/>
      <c r="C359" s="108"/>
      <c r="D359" s="150"/>
      <c r="E359" s="150"/>
      <c r="F359" s="152"/>
      <c r="G359" s="153"/>
    </row>
    <row r="360" spans="1:7" x14ac:dyDescent="0.25">
      <c r="A360" s="149"/>
      <c r="B360" s="155"/>
      <c r="C360" s="108"/>
      <c r="D360" s="150"/>
      <c r="E360" s="156"/>
      <c r="F360" s="152"/>
      <c r="G360" s="153"/>
    </row>
    <row r="361" spans="1:7" x14ac:dyDescent="0.25">
      <c r="A361" s="158"/>
      <c r="B361" s="159"/>
      <c r="C361" s="160"/>
      <c r="D361" s="161"/>
      <c r="E361" s="159"/>
      <c r="F361" s="158"/>
      <c r="G361" s="162"/>
    </row>
    <row r="362" spans="1:7" x14ac:dyDescent="0.25">
      <c r="A362" s="158"/>
      <c r="B362" s="159"/>
      <c r="C362" s="160"/>
      <c r="D362" s="161"/>
      <c r="E362" s="163"/>
      <c r="F362" s="158"/>
      <c r="G362" s="162"/>
    </row>
    <row r="363" spans="1:7" x14ac:dyDescent="0.25">
      <c r="A363" s="158"/>
      <c r="B363" s="149"/>
      <c r="C363" s="108"/>
      <c r="D363" s="150"/>
      <c r="E363" s="152"/>
      <c r="F363" s="158"/>
      <c r="G363" s="162"/>
    </row>
    <row r="364" spans="1:7" x14ac:dyDescent="0.25">
      <c r="A364" s="108"/>
      <c r="B364" s="150"/>
      <c r="C364" s="152"/>
      <c r="D364" s="158"/>
      <c r="E364" s="162"/>
    </row>
    <row r="365" spans="1:7" x14ac:dyDescent="0.25">
      <c r="A365" s="62"/>
      <c r="B365" s="68"/>
      <c r="C365" s="62"/>
      <c r="D365" s="63"/>
    </row>
    <row r="366" spans="1:7" x14ac:dyDescent="0.25">
      <c r="A366" s="62"/>
      <c r="B366" s="68"/>
      <c r="C366" s="62"/>
      <c r="D366" s="63"/>
    </row>
    <row r="367" spans="1:7" x14ac:dyDescent="0.25">
      <c r="A367" s="62"/>
      <c r="B367" s="68"/>
      <c r="C367" s="62"/>
      <c r="D367" s="63"/>
    </row>
    <row r="368" spans="1:7" x14ac:dyDescent="0.25">
      <c r="A368" s="62"/>
      <c r="B368" s="68"/>
      <c r="C368" s="62"/>
      <c r="D368" s="63"/>
    </row>
    <row r="369" spans="1:4" x14ac:dyDescent="0.25">
      <c r="A369" s="62"/>
      <c r="B369" s="68"/>
      <c r="C369" s="62"/>
      <c r="D369" s="63"/>
    </row>
    <row r="370" spans="1:4" x14ac:dyDescent="0.25">
      <c r="A370" s="62"/>
      <c r="B370" s="68"/>
      <c r="C370" s="62"/>
      <c r="D370" s="63"/>
    </row>
    <row r="371" spans="1:4" x14ac:dyDescent="0.25">
      <c r="A371" s="62"/>
      <c r="B371" s="68"/>
      <c r="C371" s="62"/>
      <c r="D371" s="63"/>
    </row>
    <row r="372" spans="1:4" x14ac:dyDescent="0.25">
      <c r="A372" s="62"/>
      <c r="B372" s="68"/>
      <c r="C372" s="62"/>
      <c r="D372" s="63"/>
    </row>
    <row r="373" spans="1:4" x14ac:dyDescent="0.25">
      <c r="A373" s="62"/>
      <c r="B373" s="68"/>
      <c r="C373" s="62"/>
      <c r="D373" s="63"/>
    </row>
    <row r="374" spans="1:4" x14ac:dyDescent="0.25">
      <c r="A374" s="62"/>
      <c r="B374" s="68"/>
      <c r="C374" s="62"/>
      <c r="D374" s="63"/>
    </row>
    <row r="375" spans="1:4" x14ac:dyDescent="0.25">
      <c r="A375" s="62"/>
      <c r="B375" s="68"/>
      <c r="C375" s="62"/>
      <c r="D375" s="63"/>
    </row>
    <row r="376" spans="1:4" x14ac:dyDescent="0.25">
      <c r="A376" s="62"/>
      <c r="B376" s="68"/>
      <c r="C376" s="62"/>
      <c r="D376" s="63"/>
    </row>
    <row r="377" spans="1:4" x14ac:dyDescent="0.25">
      <c r="A377" s="62"/>
      <c r="B377" s="68"/>
      <c r="C377" s="62"/>
      <c r="D377" s="63"/>
    </row>
    <row r="378" spans="1:4" x14ac:dyDescent="0.25">
      <c r="A378" s="62"/>
      <c r="B378" s="68"/>
      <c r="C378" s="62"/>
      <c r="D378" s="63"/>
    </row>
    <row r="379" spans="1:4" x14ac:dyDescent="0.25">
      <c r="A379" s="62"/>
      <c r="B379" s="68"/>
      <c r="C379" s="62"/>
      <c r="D379" s="63"/>
    </row>
    <row r="380" spans="1:4" x14ac:dyDescent="0.25">
      <c r="A380" s="62"/>
      <c r="B380" s="68"/>
      <c r="C380" s="62"/>
      <c r="D380" s="63"/>
    </row>
    <row r="381" spans="1:4" x14ac:dyDescent="0.25">
      <c r="A381" s="62"/>
      <c r="B381" s="68"/>
      <c r="C381" s="62"/>
      <c r="D381" s="63"/>
    </row>
    <row r="382" spans="1:4" x14ac:dyDescent="0.25">
      <c r="A382" s="62"/>
      <c r="B382" s="68"/>
      <c r="C382" s="62"/>
      <c r="D382" s="63"/>
    </row>
    <row r="383" spans="1:4" x14ac:dyDescent="0.25">
      <c r="A383" s="62"/>
      <c r="B383" s="68"/>
      <c r="C383" s="62"/>
      <c r="D383" s="63"/>
    </row>
    <row r="384" spans="1:4" x14ac:dyDescent="0.25">
      <c r="A384" s="62"/>
      <c r="B384" s="68"/>
      <c r="C384" s="62"/>
      <c r="D384" s="63"/>
    </row>
    <row r="385" spans="1:3" x14ac:dyDescent="0.25">
      <c r="A385" s="62"/>
      <c r="B385" s="68"/>
      <c r="C385" s="62"/>
    </row>
  </sheetData>
  <mergeCells count="95">
    <mergeCell ref="A76:C76"/>
    <mergeCell ref="A80:C80"/>
    <mergeCell ref="A84:C84"/>
    <mergeCell ref="A59:C59"/>
    <mergeCell ref="A63:C63"/>
    <mergeCell ref="A67:C67"/>
    <mergeCell ref="A71:C71"/>
    <mergeCell ref="B72:D72"/>
    <mergeCell ref="A39:C39"/>
    <mergeCell ref="A47:C47"/>
    <mergeCell ref="A52:C52"/>
    <mergeCell ref="A1:C1"/>
    <mergeCell ref="A2:C2"/>
    <mergeCell ref="A18:C18"/>
    <mergeCell ref="A21:C21"/>
    <mergeCell ref="A25:C25"/>
    <mergeCell ref="A28:C28"/>
    <mergeCell ref="A32:C32"/>
    <mergeCell ref="A14:C14"/>
    <mergeCell ref="A36:C36"/>
    <mergeCell ref="A90:C90"/>
    <mergeCell ref="A96:C96"/>
    <mergeCell ref="A103:C103"/>
    <mergeCell ref="A107:C107"/>
    <mergeCell ref="A112:C112"/>
    <mergeCell ref="A118:C118"/>
    <mergeCell ref="B119:D119"/>
    <mergeCell ref="A123:C123"/>
    <mergeCell ref="A127:C127"/>
    <mergeCell ref="A131:C131"/>
    <mergeCell ref="A136:C136"/>
    <mergeCell ref="A140:C140"/>
    <mergeCell ref="A144:C144"/>
    <mergeCell ref="B145:D145"/>
    <mergeCell ref="B158:D158"/>
    <mergeCell ref="B167:D167"/>
    <mergeCell ref="A171:C171"/>
    <mergeCell ref="B172:D172"/>
    <mergeCell ref="A176:C176"/>
    <mergeCell ref="B177:D177"/>
    <mergeCell ref="A181:C181"/>
    <mergeCell ref="A185:C185"/>
    <mergeCell ref="A188:C188"/>
    <mergeCell ref="B189:D189"/>
    <mergeCell ref="A193:C193"/>
    <mergeCell ref="B197:D197"/>
    <mergeCell ref="A200:C200"/>
    <mergeCell ref="A203:C203"/>
    <mergeCell ref="B204:D204"/>
    <mergeCell ref="A207:C207"/>
    <mergeCell ref="B211:D211"/>
    <mergeCell ref="A210:C210"/>
    <mergeCell ref="A216:C216"/>
    <mergeCell ref="B226:D226"/>
    <mergeCell ref="A267:C267"/>
    <mergeCell ref="A230:C230"/>
    <mergeCell ref="A255:C255"/>
    <mergeCell ref="A239:C239"/>
    <mergeCell ref="A258:C258"/>
    <mergeCell ref="A261:C261"/>
    <mergeCell ref="A264:C264"/>
    <mergeCell ref="A245:C245"/>
    <mergeCell ref="A242:C242"/>
    <mergeCell ref="A271:C271"/>
    <mergeCell ref="A274:C274"/>
    <mergeCell ref="A277:C277"/>
    <mergeCell ref="A280:C280"/>
    <mergeCell ref="A283:C283"/>
    <mergeCell ref="A286:C286"/>
    <mergeCell ref="A289:C289"/>
    <mergeCell ref="A292:C292"/>
    <mergeCell ref="A295:C295"/>
    <mergeCell ref="A298:C298"/>
    <mergeCell ref="A350:C350"/>
    <mergeCell ref="A329:C329"/>
    <mergeCell ref="A332:C332"/>
    <mergeCell ref="A335:C335"/>
    <mergeCell ref="A338:C338"/>
    <mergeCell ref="A341:C341"/>
    <mergeCell ref="A196:C196"/>
    <mergeCell ref="A325:C325"/>
    <mergeCell ref="A344:C344"/>
    <mergeCell ref="A347:C347"/>
    <mergeCell ref="A252:C252"/>
    <mergeCell ref="A225:C225"/>
    <mergeCell ref="A310:C310"/>
    <mergeCell ref="A313:C313"/>
    <mergeCell ref="A316:C316"/>
    <mergeCell ref="A319:C319"/>
    <mergeCell ref="A322:C322"/>
    <mergeCell ref="A301:C301"/>
    <mergeCell ref="A304:C304"/>
    <mergeCell ref="A248:C248"/>
    <mergeCell ref="A221:C221"/>
    <mergeCell ref="A307:C307"/>
  </mergeCells>
  <pageMargins left="0.511811024" right="0.511811024" top="0.78740157499999996" bottom="0.78740157499999996" header="0.31496062000000002" footer="0.31496062000000002"/>
  <pageSetup paperSize="9"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9"/>
  <sheetViews>
    <sheetView workbookViewId="0">
      <selection activeCell="G83" sqref="G83"/>
    </sheetView>
  </sheetViews>
  <sheetFormatPr defaultRowHeight="15" x14ac:dyDescent="0.25"/>
  <cols>
    <col min="1" max="1" width="5.42578125" bestFit="1" customWidth="1"/>
    <col min="2" max="2" width="37" customWidth="1"/>
    <col min="3" max="3" width="13.28515625" bestFit="1" customWidth="1"/>
    <col min="4" max="5" width="18.7109375" customWidth="1"/>
    <col min="6" max="6" width="17.42578125" customWidth="1"/>
    <col min="7" max="7" width="17" customWidth="1"/>
    <col min="8" max="9" width="15.85546875" customWidth="1"/>
  </cols>
  <sheetData>
    <row r="1" spans="1:9" x14ac:dyDescent="0.25">
      <c r="A1" s="103"/>
      <c r="B1" s="104"/>
      <c r="C1" s="230" t="str">
        <f>[1]ORÇAMENTO!C1</f>
        <v>PREFEITURA MUNICIPAL DE CATALÃO</v>
      </c>
      <c r="D1" s="231"/>
      <c r="E1" s="231"/>
      <c r="F1" s="231"/>
      <c r="G1" s="231"/>
      <c r="H1" s="231"/>
      <c r="I1" s="232"/>
    </row>
    <row r="2" spans="1:9" x14ac:dyDescent="0.25">
      <c r="A2" s="105"/>
      <c r="B2" s="106"/>
      <c r="C2" s="233" t="s">
        <v>401</v>
      </c>
      <c r="D2" s="234"/>
      <c r="E2" s="234"/>
      <c r="F2" s="234"/>
      <c r="G2" s="234"/>
      <c r="H2" s="234"/>
      <c r="I2" s="235"/>
    </row>
    <row r="3" spans="1:9" x14ac:dyDescent="0.25">
      <c r="A3" s="105"/>
      <c r="B3" s="106"/>
      <c r="C3" s="107" t="str">
        <f>[1]ORÇAMENTO!C3</f>
        <v>SETOR</v>
      </c>
      <c r="D3" s="108" t="str">
        <f>[1]ORÇAMENTO!D3</f>
        <v>SECRETARIA MUNICIPAL DE OBRAS</v>
      </c>
      <c r="E3" s="108"/>
      <c r="F3" s="108"/>
      <c r="G3" s="108"/>
      <c r="H3" s="108"/>
      <c r="I3" s="106"/>
    </row>
    <row r="4" spans="1:9" x14ac:dyDescent="0.25">
      <c r="A4" s="105"/>
      <c r="B4" s="106"/>
      <c r="C4" s="107" t="str">
        <f>[1]ORÇAMENTO!C4</f>
        <v>OBJETO</v>
      </c>
      <c r="D4" s="108" t="str">
        <f>Plan2!B4</f>
        <v xml:space="preserve">PRAÇA IRCA VICTÓRIA DA FONSECA </v>
      </c>
      <c r="E4" s="108"/>
      <c r="F4" s="108"/>
      <c r="G4" s="108"/>
      <c r="H4" s="108"/>
      <c r="I4" s="106"/>
    </row>
    <row r="5" spans="1:9" x14ac:dyDescent="0.25">
      <c r="A5" s="105"/>
      <c r="B5" s="106"/>
      <c r="C5" s="107" t="str">
        <f>[1]ORÇAMENTO!C5</f>
        <v>PROCESSO</v>
      </c>
      <c r="D5" s="109">
        <f>Plan2!B5</f>
        <v>2021024996</v>
      </c>
      <c r="E5" s="108"/>
      <c r="F5" s="108"/>
      <c r="G5" s="108"/>
      <c r="H5" s="108"/>
      <c r="I5" s="106"/>
    </row>
    <row r="6" spans="1:9" x14ac:dyDescent="0.25">
      <c r="A6" s="105"/>
      <c r="B6" s="106"/>
      <c r="C6" s="107" t="str">
        <f>[1]ORÇAMENTO!C6</f>
        <v>ENDEREÇO</v>
      </c>
      <c r="D6" s="108" t="str">
        <f>Plan2!B6</f>
        <v xml:space="preserve">RUAL ALVINA C. NEVES, ESQUINA COM RUA SEIS </v>
      </c>
      <c r="E6" s="108"/>
      <c r="F6" s="108"/>
      <c r="G6" s="108"/>
      <c r="H6" s="108"/>
      <c r="I6" s="106"/>
    </row>
    <row r="7" spans="1:9" ht="42" customHeight="1" x14ac:dyDescent="0.25">
      <c r="A7" s="105"/>
      <c r="B7" s="106"/>
      <c r="C7" s="107" t="str">
        <f>[1]ORÇAMENTO!C7</f>
        <v>TABELAS</v>
      </c>
      <c r="D7" s="238" t="str">
        <f>Plan1!D7</f>
        <v>TABELA 148 - CUSTOS DE OBRAS CIVIS - JULHO/2021 - DESONERADA; PCI.817.01 - CUSTO DE COMPOSIÇÕES - SINTÉTICO (06-21);  SINAPI - PREÇO DE INSUMOS (06-21); SIURB -Comp Custos Unit INFRA COM Des Jan 2021, SETOP- planilha com desoneração.</v>
      </c>
      <c r="E7" s="238"/>
      <c r="F7" s="238"/>
      <c r="G7" s="238"/>
      <c r="H7" s="238"/>
      <c r="I7" s="239"/>
    </row>
    <row r="8" spans="1:9" ht="15.75" thickBot="1" x14ac:dyDescent="0.3">
      <c r="A8" s="110"/>
      <c r="B8" s="111"/>
      <c r="C8" s="112" t="str">
        <f>[1]ORÇAMENTO!C9</f>
        <v xml:space="preserve">DATA </v>
      </c>
      <c r="D8" s="113" t="str">
        <f>Plan2!B8</f>
        <v>17 de agosto de 2021</v>
      </c>
      <c r="E8" s="113"/>
      <c r="F8" s="113"/>
      <c r="G8" s="113"/>
      <c r="H8" s="113"/>
      <c r="I8" s="111"/>
    </row>
    <row r="9" spans="1:9" x14ac:dyDescent="0.25">
      <c r="A9" s="114"/>
      <c r="B9" s="115"/>
      <c r="C9" s="115"/>
      <c r="D9" s="115"/>
      <c r="E9" s="115"/>
      <c r="F9" s="115"/>
      <c r="G9" s="115"/>
      <c r="H9" s="115"/>
      <c r="I9" s="115"/>
    </row>
    <row r="10" spans="1:9" x14ac:dyDescent="0.25">
      <c r="A10" s="236" t="s">
        <v>10</v>
      </c>
      <c r="B10" s="236" t="s">
        <v>402</v>
      </c>
      <c r="C10" s="236"/>
      <c r="D10" s="237" t="s">
        <v>403</v>
      </c>
      <c r="E10" s="237"/>
      <c r="F10" s="237"/>
      <c r="G10" s="237"/>
      <c r="H10" s="237"/>
      <c r="I10" s="237"/>
    </row>
    <row r="11" spans="1:9" x14ac:dyDescent="0.25">
      <c r="A11" s="236"/>
      <c r="B11" s="236"/>
      <c r="C11" s="236"/>
      <c r="D11" s="116" t="s">
        <v>404</v>
      </c>
      <c r="E11" s="116" t="s">
        <v>405</v>
      </c>
      <c r="F11" s="116" t="s">
        <v>406</v>
      </c>
      <c r="G11" s="116" t="s">
        <v>407</v>
      </c>
      <c r="H11" s="116" t="s">
        <v>408</v>
      </c>
      <c r="I11" s="116" t="s">
        <v>409</v>
      </c>
    </row>
    <row r="12" spans="1:9" x14ac:dyDescent="0.25">
      <c r="A12" s="219">
        <f>1</f>
        <v>1</v>
      </c>
      <c r="B12" s="219" t="s">
        <v>20</v>
      </c>
      <c r="C12" s="117" t="e">
        <f>C14/$I$70</f>
        <v>#DIV/0!</v>
      </c>
      <c r="D12" s="118">
        <v>0.75</v>
      </c>
      <c r="E12" s="118">
        <v>0.05</v>
      </c>
      <c r="F12" s="118">
        <v>0.05</v>
      </c>
      <c r="G12" s="118">
        <v>0.05</v>
      </c>
      <c r="H12" s="118">
        <v>0.05</v>
      </c>
      <c r="I12" s="118">
        <v>0.05</v>
      </c>
    </row>
    <row r="13" spans="1:9" x14ac:dyDescent="0.25">
      <c r="A13" s="219"/>
      <c r="B13" s="228"/>
      <c r="C13" s="119"/>
      <c r="D13" s="120"/>
      <c r="E13" s="120"/>
      <c r="F13" s="120"/>
      <c r="G13" s="120"/>
      <c r="H13" s="120"/>
      <c r="I13" s="120"/>
    </row>
    <row r="14" spans="1:9" x14ac:dyDescent="0.25">
      <c r="A14" s="219"/>
      <c r="B14" s="219"/>
      <c r="C14" s="121">
        <f>Plan1!J21</f>
        <v>0</v>
      </c>
      <c r="D14" s="122">
        <f t="shared" ref="D14:I14" si="0">D12*$C$14</f>
        <v>0</v>
      </c>
      <c r="E14" s="122">
        <f t="shared" si="0"/>
        <v>0</v>
      </c>
      <c r="F14" s="122">
        <f t="shared" si="0"/>
        <v>0</v>
      </c>
      <c r="G14" s="122">
        <f t="shared" si="0"/>
        <v>0</v>
      </c>
      <c r="H14" s="122">
        <f t="shared" si="0"/>
        <v>0</v>
      </c>
      <c r="I14" s="122">
        <f t="shared" si="0"/>
        <v>0</v>
      </c>
    </row>
    <row r="15" spans="1:9" x14ac:dyDescent="0.25">
      <c r="A15" s="219">
        <f>A12+1</f>
        <v>2</v>
      </c>
      <c r="B15" s="225" t="str">
        <f>[1]ORÇAMENTO!D23</f>
        <v>TRANSPORTES</v>
      </c>
      <c r="C15" s="117" t="e">
        <f>C17/$I$70</f>
        <v>#DIV/0!</v>
      </c>
      <c r="D15" s="118">
        <v>0.16669999999999999</v>
      </c>
      <c r="E15" s="118">
        <v>0.16669999999999999</v>
      </c>
      <c r="F15" s="118">
        <v>0.16669999999999999</v>
      </c>
      <c r="G15" s="118">
        <v>0.16669999999999999</v>
      </c>
      <c r="H15" s="118">
        <v>0.16669999999999999</v>
      </c>
      <c r="I15" s="118">
        <v>0.16650000000000001</v>
      </c>
    </row>
    <row r="16" spans="1:9" x14ac:dyDescent="0.25">
      <c r="A16" s="219"/>
      <c r="B16" s="229"/>
      <c r="C16" s="123"/>
      <c r="D16" s="120"/>
      <c r="E16" s="120"/>
      <c r="F16" s="120"/>
      <c r="G16" s="120"/>
      <c r="H16" s="120"/>
      <c r="I16" s="120"/>
    </row>
    <row r="17" spans="1:9" x14ac:dyDescent="0.25">
      <c r="A17" s="219"/>
      <c r="B17" s="227"/>
      <c r="C17" s="121">
        <f>Plan1!J26</f>
        <v>0</v>
      </c>
      <c r="D17" s="122">
        <f t="shared" ref="D17:I17" si="1">D15*$C$17</f>
        <v>0</v>
      </c>
      <c r="E17" s="122">
        <f t="shared" si="1"/>
        <v>0</v>
      </c>
      <c r="F17" s="122">
        <f t="shared" si="1"/>
        <v>0</v>
      </c>
      <c r="G17" s="122">
        <f t="shared" si="1"/>
        <v>0</v>
      </c>
      <c r="H17" s="122">
        <f t="shared" si="1"/>
        <v>0</v>
      </c>
      <c r="I17" s="122">
        <f t="shared" si="1"/>
        <v>0</v>
      </c>
    </row>
    <row r="18" spans="1:9" x14ac:dyDescent="0.25">
      <c r="A18" s="219">
        <f>A15+1</f>
        <v>3</v>
      </c>
      <c r="B18" s="219" t="str">
        <f>[1]ORÇAMENTO!D30</f>
        <v>SERVICO EM TERRA</v>
      </c>
      <c r="C18" s="117" t="e">
        <f>C20/$I$70</f>
        <v>#DIV/0!</v>
      </c>
      <c r="D18" s="124">
        <v>1</v>
      </c>
      <c r="E18" s="124"/>
      <c r="F18" s="124"/>
      <c r="G18" s="124"/>
      <c r="H18" s="124"/>
      <c r="I18" s="124"/>
    </row>
    <row r="19" spans="1:9" x14ac:dyDescent="0.25">
      <c r="A19" s="219"/>
      <c r="B19" s="228"/>
      <c r="C19" s="123"/>
      <c r="D19" s="120"/>
      <c r="E19" s="120"/>
      <c r="F19" s="120"/>
      <c r="G19" s="120"/>
      <c r="H19" s="120"/>
      <c r="I19" s="120"/>
    </row>
    <row r="20" spans="1:9" x14ac:dyDescent="0.25">
      <c r="A20" s="219"/>
      <c r="B20" s="219"/>
      <c r="C20" s="121">
        <f>Plan1!J33</f>
        <v>0</v>
      </c>
      <c r="D20" s="122">
        <f t="shared" ref="D20:I20" si="2">D18*$C$20</f>
        <v>0</v>
      </c>
      <c r="E20" s="122">
        <f t="shared" si="2"/>
        <v>0</v>
      </c>
      <c r="F20" s="122">
        <f t="shared" si="2"/>
        <v>0</v>
      </c>
      <c r="G20" s="122">
        <f t="shared" si="2"/>
        <v>0</v>
      </c>
      <c r="H20" s="122">
        <f t="shared" si="2"/>
        <v>0</v>
      </c>
      <c r="I20" s="122">
        <f t="shared" si="2"/>
        <v>0</v>
      </c>
    </row>
    <row r="21" spans="1:9" x14ac:dyDescent="0.25">
      <c r="A21" s="219">
        <f>A18+1</f>
        <v>4</v>
      </c>
      <c r="B21" s="220" t="str">
        <f>[1]ORÇAMENTO!D39</f>
        <v>FUNDACOES E SONDAGENS</v>
      </c>
      <c r="C21" s="117" t="e">
        <f>C23/$I$70</f>
        <v>#DIV/0!</v>
      </c>
      <c r="D21" s="125">
        <v>1</v>
      </c>
      <c r="E21" s="125"/>
      <c r="F21" s="125"/>
      <c r="G21" s="125"/>
      <c r="H21" s="125"/>
      <c r="I21" s="125"/>
    </row>
    <row r="22" spans="1:9" x14ac:dyDescent="0.25">
      <c r="A22" s="219"/>
      <c r="B22" s="221"/>
      <c r="C22" s="126"/>
      <c r="D22" s="120"/>
      <c r="E22" s="120"/>
      <c r="F22" s="120"/>
      <c r="G22" s="120"/>
      <c r="H22" s="120"/>
      <c r="I22" s="120"/>
    </row>
    <row r="23" spans="1:9" x14ac:dyDescent="0.25">
      <c r="A23" s="219"/>
      <c r="B23" s="220"/>
      <c r="C23" s="121">
        <f>Plan1!J45</f>
        <v>0</v>
      </c>
      <c r="D23" s="122">
        <f t="shared" ref="D23:I23" si="3">D21*$C$23</f>
        <v>0</v>
      </c>
      <c r="E23" s="122">
        <f t="shared" si="3"/>
        <v>0</v>
      </c>
      <c r="F23" s="122">
        <f t="shared" si="3"/>
        <v>0</v>
      </c>
      <c r="G23" s="122">
        <f t="shared" si="3"/>
        <v>0</v>
      </c>
      <c r="H23" s="122">
        <f t="shared" si="3"/>
        <v>0</v>
      </c>
      <c r="I23" s="122">
        <f t="shared" si="3"/>
        <v>0</v>
      </c>
    </row>
    <row r="24" spans="1:9" x14ac:dyDescent="0.25">
      <c r="A24" s="219">
        <f>A21+1</f>
        <v>5</v>
      </c>
      <c r="B24" s="220" t="str">
        <f>[1]ORÇAMENTO!D51</f>
        <v>ESTRUTURA</v>
      </c>
      <c r="C24" s="117" t="e">
        <f>C26/$I$70</f>
        <v>#DIV/0!</v>
      </c>
      <c r="D24" s="127">
        <v>0.5</v>
      </c>
      <c r="E24" s="127">
        <v>0.5</v>
      </c>
      <c r="F24" s="127"/>
      <c r="G24" s="127"/>
      <c r="H24" s="127"/>
      <c r="I24" s="127"/>
    </row>
    <row r="25" spans="1:9" x14ac:dyDescent="0.25">
      <c r="A25" s="219"/>
      <c r="B25" s="221"/>
      <c r="C25" s="126"/>
      <c r="D25" s="120"/>
      <c r="E25" s="120"/>
      <c r="F25" s="120"/>
      <c r="G25" s="120"/>
      <c r="H25" s="120"/>
      <c r="I25" s="120"/>
    </row>
    <row r="26" spans="1:9" x14ac:dyDescent="0.25">
      <c r="A26" s="219"/>
      <c r="B26" s="220"/>
      <c r="C26" s="121">
        <f>Plan1!J54</f>
        <v>0</v>
      </c>
      <c r="D26" s="122">
        <f t="shared" ref="D26:I26" si="4">D24*$C$26</f>
        <v>0</v>
      </c>
      <c r="E26" s="122">
        <f t="shared" si="4"/>
        <v>0</v>
      </c>
      <c r="F26" s="122">
        <f t="shared" si="4"/>
        <v>0</v>
      </c>
      <c r="G26" s="122">
        <f t="shared" si="4"/>
        <v>0</v>
      </c>
      <c r="H26" s="122">
        <f t="shared" si="4"/>
        <v>0</v>
      </c>
      <c r="I26" s="122">
        <f t="shared" si="4"/>
        <v>0</v>
      </c>
    </row>
    <row r="27" spans="1:9" x14ac:dyDescent="0.25">
      <c r="A27" s="219">
        <f>A24+1</f>
        <v>6</v>
      </c>
      <c r="B27" s="222" t="str">
        <f>[1]ORÇAMENTO!D62</f>
        <v>INST. ELET./TELEFONICA/CABEAMENTO ESTRUTURADO</v>
      </c>
      <c r="C27" s="117" t="e">
        <f>C29/$I$70</f>
        <v>#DIV/0!</v>
      </c>
      <c r="D27" s="127"/>
      <c r="E27" s="127"/>
      <c r="F27" s="127"/>
      <c r="G27" s="127">
        <v>0.25</v>
      </c>
      <c r="H27" s="127">
        <v>0.75</v>
      </c>
      <c r="I27" s="127"/>
    </row>
    <row r="28" spans="1:9" x14ac:dyDescent="0.25">
      <c r="A28" s="219"/>
      <c r="B28" s="223"/>
      <c r="C28" s="126"/>
      <c r="D28" s="120"/>
      <c r="E28" s="120"/>
      <c r="F28" s="120"/>
      <c r="G28" s="120"/>
      <c r="H28" s="120"/>
      <c r="I28" s="120"/>
    </row>
    <row r="29" spans="1:9" x14ac:dyDescent="0.25">
      <c r="A29" s="219"/>
      <c r="B29" s="224"/>
      <c r="C29" s="121">
        <f>Plan1!J69</f>
        <v>0</v>
      </c>
      <c r="D29" s="122">
        <f t="shared" ref="D29:I29" si="5">D27*$C$29</f>
        <v>0</v>
      </c>
      <c r="E29" s="122">
        <f t="shared" si="5"/>
        <v>0</v>
      </c>
      <c r="F29" s="122">
        <f t="shared" si="5"/>
        <v>0</v>
      </c>
      <c r="G29" s="122">
        <f t="shared" si="5"/>
        <v>0</v>
      </c>
      <c r="H29" s="122">
        <f t="shared" si="5"/>
        <v>0</v>
      </c>
      <c r="I29" s="122">
        <f t="shared" si="5"/>
        <v>0</v>
      </c>
    </row>
    <row r="30" spans="1:9" x14ac:dyDescent="0.25">
      <c r="A30" s="219">
        <f>A27+1</f>
        <v>7</v>
      </c>
      <c r="B30" s="225" t="str">
        <f>[1]ORÇAMENTO!D106</f>
        <v>INSTALAÇÕES HIDROSSANITÁRIAS</v>
      </c>
      <c r="C30" s="117" t="e">
        <f>C32/$I$70</f>
        <v>#DIV/0!</v>
      </c>
      <c r="D30" s="127"/>
      <c r="E30" s="127"/>
      <c r="F30" s="127">
        <v>1</v>
      </c>
      <c r="G30" s="127"/>
      <c r="H30" s="127"/>
      <c r="I30" s="127"/>
    </row>
    <row r="31" spans="1:9" x14ac:dyDescent="0.25">
      <c r="A31" s="219"/>
      <c r="B31" s="226"/>
      <c r="C31" s="128"/>
      <c r="D31" s="120"/>
      <c r="E31" s="120"/>
      <c r="F31" s="120"/>
      <c r="G31" s="120"/>
      <c r="H31" s="120"/>
      <c r="I31" s="120"/>
    </row>
    <row r="32" spans="1:9" x14ac:dyDescent="0.25">
      <c r="A32" s="219"/>
      <c r="B32" s="227"/>
      <c r="C32" s="129">
        <f>Plan1!J80</f>
        <v>0</v>
      </c>
      <c r="D32" s="122">
        <f t="shared" ref="D32:I32" si="6">D30*$C$32</f>
        <v>0</v>
      </c>
      <c r="E32" s="122">
        <f t="shared" si="6"/>
        <v>0</v>
      </c>
      <c r="F32" s="122">
        <f t="shared" si="6"/>
        <v>0</v>
      </c>
      <c r="G32" s="122">
        <f t="shared" si="6"/>
        <v>0</v>
      </c>
      <c r="H32" s="122">
        <f t="shared" si="6"/>
        <v>0</v>
      </c>
      <c r="I32" s="122">
        <f t="shared" si="6"/>
        <v>0</v>
      </c>
    </row>
    <row r="33" spans="1:9" x14ac:dyDescent="0.25">
      <c r="A33" s="219">
        <f>A30+1</f>
        <v>8</v>
      </c>
      <c r="B33" s="220" t="str">
        <f>[1]ORÇAMENTO!D189</f>
        <v>ALVENARIAS E DIVISORIAS</v>
      </c>
      <c r="C33" s="117" t="e">
        <f>C35/$I$70</f>
        <v>#DIV/0!</v>
      </c>
      <c r="D33" s="127"/>
      <c r="E33" s="127">
        <v>1</v>
      </c>
      <c r="F33" s="127"/>
      <c r="G33" s="127"/>
      <c r="H33" s="127"/>
      <c r="I33" s="127"/>
    </row>
    <row r="34" spans="1:9" x14ac:dyDescent="0.25">
      <c r="A34" s="219"/>
      <c r="B34" s="221"/>
      <c r="C34" s="126"/>
      <c r="D34" s="120"/>
      <c r="E34" s="120"/>
      <c r="F34" s="120"/>
      <c r="G34" s="120"/>
      <c r="H34" s="120"/>
      <c r="I34" s="120"/>
    </row>
    <row r="35" spans="1:9" x14ac:dyDescent="0.25">
      <c r="A35" s="219"/>
      <c r="B35" s="220"/>
      <c r="C35" s="121">
        <f>Plan1!J84</f>
        <v>0</v>
      </c>
      <c r="D35" s="122">
        <f t="shared" ref="D35:I35" si="7">D33*$C$35</f>
        <v>0</v>
      </c>
      <c r="E35" s="122">
        <f t="shared" si="7"/>
        <v>0</v>
      </c>
      <c r="F35" s="122">
        <f t="shared" si="7"/>
        <v>0</v>
      </c>
      <c r="G35" s="122">
        <f t="shared" si="7"/>
        <v>0</v>
      </c>
      <c r="H35" s="122">
        <f t="shared" si="7"/>
        <v>0</v>
      </c>
      <c r="I35" s="122">
        <f t="shared" si="7"/>
        <v>0</v>
      </c>
    </row>
    <row r="36" spans="1:9" x14ac:dyDescent="0.25">
      <c r="A36" s="219">
        <f>A33+1</f>
        <v>9</v>
      </c>
      <c r="B36" s="220" t="str">
        <f>[1]ORÇAMENTO!D194</f>
        <v>IMPERMEABILIZACAO</v>
      </c>
      <c r="C36" s="117" t="e">
        <f>C38/$I$70</f>
        <v>#DIV/0!</v>
      </c>
      <c r="D36" s="127">
        <v>1</v>
      </c>
      <c r="E36" s="127"/>
      <c r="F36" s="127"/>
      <c r="G36" s="127"/>
      <c r="H36" s="127"/>
      <c r="I36" s="127"/>
    </row>
    <row r="37" spans="1:9" x14ac:dyDescent="0.25">
      <c r="A37" s="219"/>
      <c r="B37" s="221"/>
      <c r="C37" s="126"/>
      <c r="D37" s="120"/>
      <c r="E37" s="120"/>
      <c r="F37" s="120"/>
      <c r="G37" s="120"/>
      <c r="H37" s="120"/>
      <c r="I37" s="120"/>
    </row>
    <row r="38" spans="1:9" x14ac:dyDescent="0.25">
      <c r="A38" s="219"/>
      <c r="B38" s="220"/>
      <c r="C38" s="121">
        <f>Plan1!J88</f>
        <v>0</v>
      </c>
      <c r="D38" s="122">
        <f t="shared" ref="D38:I38" si="8">D36*$C$38</f>
        <v>0</v>
      </c>
      <c r="E38" s="122">
        <f t="shared" si="8"/>
        <v>0</v>
      </c>
      <c r="F38" s="122">
        <f t="shared" si="8"/>
        <v>0</v>
      </c>
      <c r="G38" s="122">
        <f t="shared" si="8"/>
        <v>0</v>
      </c>
      <c r="H38" s="122">
        <f t="shared" si="8"/>
        <v>0</v>
      </c>
      <c r="I38" s="122">
        <f t="shared" si="8"/>
        <v>0</v>
      </c>
    </row>
    <row r="39" spans="1:9" x14ac:dyDescent="0.25">
      <c r="A39" s="219">
        <f>A36+1</f>
        <v>10</v>
      </c>
      <c r="B39" s="220" t="str">
        <f>[1]ORÇAMENTO!D199</f>
        <v>ESTRUTURA DE MADEIRA</v>
      </c>
      <c r="C39" s="117" t="e">
        <f>C41/$I$70</f>
        <v>#DIV/0!</v>
      </c>
      <c r="D39" s="127"/>
      <c r="E39" s="127"/>
      <c r="F39" s="127">
        <v>0.5</v>
      </c>
      <c r="G39" s="127">
        <v>0.25</v>
      </c>
      <c r="H39" s="127">
        <v>0.25</v>
      </c>
      <c r="I39" s="127"/>
    </row>
    <row r="40" spans="1:9" x14ac:dyDescent="0.25">
      <c r="A40" s="219"/>
      <c r="B40" s="221"/>
      <c r="C40" s="126"/>
      <c r="D40" s="120"/>
      <c r="E40" s="120"/>
      <c r="F40" s="120"/>
      <c r="G40" s="120"/>
      <c r="H40" s="120"/>
      <c r="I40" s="120"/>
    </row>
    <row r="41" spans="1:9" x14ac:dyDescent="0.25">
      <c r="A41" s="219"/>
      <c r="B41" s="220"/>
      <c r="C41" s="121">
        <f>Plan1!J94</f>
        <v>0</v>
      </c>
      <c r="D41" s="122">
        <f t="shared" ref="D41:I41" si="9">D39*$C$41</f>
        <v>0</v>
      </c>
      <c r="E41" s="122">
        <f t="shared" si="9"/>
        <v>0</v>
      </c>
      <c r="F41" s="122">
        <f t="shared" si="9"/>
        <v>0</v>
      </c>
      <c r="G41" s="122">
        <f t="shared" si="9"/>
        <v>0</v>
      </c>
      <c r="H41" s="122">
        <f t="shared" si="9"/>
        <v>0</v>
      </c>
      <c r="I41" s="122">
        <f t="shared" si="9"/>
        <v>0</v>
      </c>
    </row>
    <row r="42" spans="1:9" x14ac:dyDescent="0.25">
      <c r="A42" s="219">
        <f>A39+1</f>
        <v>11</v>
      </c>
      <c r="B42" s="220" t="str">
        <f>Plan1!D96</f>
        <v>ESQUADRIAS METÁLICAS</v>
      </c>
      <c r="C42" s="117" t="e">
        <f>C44/$I$70</f>
        <v>#DIV/0!</v>
      </c>
      <c r="D42" s="127"/>
      <c r="E42" s="127"/>
      <c r="F42" s="127"/>
      <c r="G42" s="127"/>
      <c r="H42" s="127">
        <v>0.2</v>
      </c>
      <c r="I42" s="127">
        <v>0.8</v>
      </c>
    </row>
    <row r="43" spans="1:9" x14ac:dyDescent="0.25">
      <c r="A43" s="219"/>
      <c r="B43" s="221"/>
      <c r="C43" s="126"/>
      <c r="D43" s="120"/>
      <c r="E43" s="120"/>
      <c r="F43" s="120"/>
      <c r="G43" s="120"/>
      <c r="H43" s="120"/>
      <c r="I43" s="120"/>
    </row>
    <row r="44" spans="1:9" x14ac:dyDescent="0.25">
      <c r="A44" s="219"/>
      <c r="B44" s="220"/>
      <c r="C44" s="121">
        <f>Plan1!J99</f>
        <v>0</v>
      </c>
      <c r="D44" s="122">
        <f t="shared" ref="D44:I44" si="10">D42*$C$44</f>
        <v>0</v>
      </c>
      <c r="E44" s="122">
        <f t="shared" si="10"/>
        <v>0</v>
      </c>
      <c r="F44" s="122">
        <f t="shared" si="10"/>
        <v>0</v>
      </c>
      <c r="G44" s="122">
        <f t="shared" si="10"/>
        <v>0</v>
      </c>
      <c r="H44" s="122">
        <f t="shared" si="10"/>
        <v>0</v>
      </c>
      <c r="I44" s="122">
        <f t="shared" si="10"/>
        <v>0</v>
      </c>
    </row>
    <row r="45" spans="1:9" x14ac:dyDescent="0.25">
      <c r="A45" s="219">
        <f>A42+1</f>
        <v>12</v>
      </c>
      <c r="B45" s="222" t="str">
        <f>Plan1!D101</f>
        <v>REVESTIMENTO DE PAREDES</v>
      </c>
      <c r="C45" s="117" t="e">
        <f>C47/$I$70</f>
        <v>#DIV/0!</v>
      </c>
      <c r="D45" s="127"/>
      <c r="E45" s="127"/>
      <c r="F45" s="127"/>
      <c r="G45" s="127"/>
      <c r="H45" s="127">
        <v>1</v>
      </c>
      <c r="I45" s="127"/>
    </row>
    <row r="46" spans="1:9" x14ac:dyDescent="0.25">
      <c r="A46" s="219"/>
      <c r="B46" s="223"/>
      <c r="C46" s="126"/>
      <c r="D46" s="120"/>
      <c r="E46" s="120"/>
      <c r="F46" s="120"/>
      <c r="G46" s="120"/>
      <c r="H46" s="120"/>
      <c r="I46" s="120"/>
    </row>
    <row r="47" spans="1:9" x14ac:dyDescent="0.25">
      <c r="A47" s="219"/>
      <c r="B47" s="224"/>
      <c r="C47" s="121">
        <f>Plan1!J104</f>
        <v>0</v>
      </c>
      <c r="D47" s="122">
        <f t="shared" ref="D47:I47" si="11">D45*$C$47</f>
        <v>0</v>
      </c>
      <c r="E47" s="122">
        <f t="shared" si="11"/>
        <v>0</v>
      </c>
      <c r="F47" s="122">
        <f t="shared" si="11"/>
        <v>0</v>
      </c>
      <c r="G47" s="122">
        <f t="shared" si="11"/>
        <v>0</v>
      </c>
      <c r="H47" s="122">
        <f t="shared" si="11"/>
        <v>0</v>
      </c>
      <c r="I47" s="122">
        <f t="shared" si="11"/>
        <v>0</v>
      </c>
    </row>
    <row r="48" spans="1:9" x14ac:dyDescent="0.25">
      <c r="A48" s="219">
        <f>A45+1</f>
        <v>13</v>
      </c>
      <c r="B48" s="220" t="str">
        <f>Plan1!D106</f>
        <v>REVESTIMENTO DE PISO</v>
      </c>
      <c r="C48" s="117" t="e">
        <f>C50/$I$70</f>
        <v>#DIV/0!</v>
      </c>
      <c r="D48" s="127">
        <v>0.25</v>
      </c>
      <c r="E48" s="127">
        <v>0.75</v>
      </c>
      <c r="F48" s="127"/>
      <c r="G48" s="127"/>
      <c r="H48" s="127"/>
      <c r="I48" s="127"/>
    </row>
    <row r="49" spans="1:10" x14ac:dyDescent="0.25">
      <c r="A49" s="219"/>
      <c r="B49" s="221"/>
      <c r="C49" s="126"/>
      <c r="D49" s="120"/>
      <c r="E49" s="120"/>
      <c r="F49" s="120"/>
      <c r="G49" s="120"/>
      <c r="H49" s="120"/>
      <c r="I49" s="120"/>
    </row>
    <row r="50" spans="1:10" x14ac:dyDescent="0.25">
      <c r="A50" s="219"/>
      <c r="B50" s="220"/>
      <c r="C50" s="121">
        <f>Plan1!J109</f>
        <v>0</v>
      </c>
      <c r="D50" s="122">
        <f t="shared" ref="D50:I50" si="12">D48*$C$50</f>
        <v>0</v>
      </c>
      <c r="E50" s="122">
        <f t="shared" si="12"/>
        <v>0</v>
      </c>
      <c r="F50" s="122">
        <f t="shared" si="12"/>
        <v>0</v>
      </c>
      <c r="G50" s="122">
        <f t="shared" si="12"/>
        <v>0</v>
      </c>
      <c r="H50" s="122">
        <f t="shared" si="12"/>
        <v>0</v>
      </c>
      <c r="I50" s="122">
        <f t="shared" si="12"/>
        <v>0</v>
      </c>
    </row>
    <row r="51" spans="1:10" x14ac:dyDescent="0.25">
      <c r="A51" s="219">
        <f>A48+1</f>
        <v>14</v>
      </c>
      <c r="B51" s="220" t="str">
        <f>Plan1!D111</f>
        <v>ADMINISTRAÇÃO - MENSALISTAS</v>
      </c>
      <c r="C51" s="117" t="e">
        <f>C53/$I$70</f>
        <v>#DIV/0!</v>
      </c>
      <c r="D51" s="127">
        <v>0.17</v>
      </c>
      <c r="E51" s="127">
        <v>0.17</v>
      </c>
      <c r="F51" s="127">
        <v>0.17</v>
      </c>
      <c r="G51" s="127">
        <v>0.17</v>
      </c>
      <c r="H51" s="127">
        <v>0.16</v>
      </c>
      <c r="I51" s="127">
        <v>0.16</v>
      </c>
      <c r="J51" s="168"/>
    </row>
    <row r="52" spans="1:10" x14ac:dyDescent="0.25">
      <c r="A52" s="219"/>
      <c r="B52" s="221"/>
      <c r="C52" s="126"/>
      <c r="D52" s="120"/>
      <c r="E52" s="120"/>
      <c r="F52" s="120"/>
      <c r="G52" s="120"/>
      <c r="H52" s="120"/>
      <c r="I52" s="120"/>
    </row>
    <row r="53" spans="1:10" x14ac:dyDescent="0.25">
      <c r="A53" s="219"/>
      <c r="B53" s="220"/>
      <c r="C53" s="121">
        <f>Plan1!J115</f>
        <v>0</v>
      </c>
      <c r="D53" s="122">
        <f t="shared" ref="D53:I53" si="13">D51*$C$53</f>
        <v>0</v>
      </c>
      <c r="E53" s="122">
        <f t="shared" si="13"/>
        <v>0</v>
      </c>
      <c r="F53" s="122">
        <f t="shared" si="13"/>
        <v>0</v>
      </c>
      <c r="G53" s="122">
        <f t="shared" si="13"/>
        <v>0</v>
      </c>
      <c r="H53" s="122">
        <f t="shared" si="13"/>
        <v>0</v>
      </c>
      <c r="I53" s="122">
        <f t="shared" si="13"/>
        <v>0</v>
      </c>
    </row>
    <row r="54" spans="1:10" x14ac:dyDescent="0.25">
      <c r="A54" s="219">
        <f>A51+1</f>
        <v>15</v>
      </c>
      <c r="B54" s="222" t="str">
        <f>Plan1!D117</f>
        <v>PINTURA</v>
      </c>
      <c r="C54" s="117" t="e">
        <f>C56/$I$70</f>
        <v>#DIV/0!</v>
      </c>
      <c r="D54" s="127"/>
      <c r="E54" s="127"/>
      <c r="F54" s="127"/>
      <c r="G54" s="127"/>
      <c r="H54" s="127"/>
      <c r="I54" s="127">
        <v>1</v>
      </c>
    </row>
    <row r="55" spans="1:10" x14ac:dyDescent="0.25">
      <c r="A55" s="219"/>
      <c r="B55" s="223"/>
      <c r="C55" s="126"/>
      <c r="D55" s="120"/>
      <c r="E55" s="120"/>
      <c r="F55" s="120"/>
      <c r="G55" s="120"/>
      <c r="H55" s="120"/>
      <c r="I55" s="120"/>
    </row>
    <row r="56" spans="1:10" x14ac:dyDescent="0.25">
      <c r="A56" s="219"/>
      <c r="B56" s="224"/>
      <c r="C56" s="121">
        <f>Plan1!J123</f>
        <v>0</v>
      </c>
      <c r="D56" s="122">
        <f t="shared" ref="D56:I56" si="14">D54*$C$56</f>
        <v>0</v>
      </c>
      <c r="E56" s="122">
        <f t="shared" si="14"/>
        <v>0</v>
      </c>
      <c r="F56" s="122">
        <f t="shared" si="14"/>
        <v>0</v>
      </c>
      <c r="G56" s="122">
        <f t="shared" si="14"/>
        <v>0</v>
      </c>
      <c r="H56" s="122">
        <f t="shared" si="14"/>
        <v>0</v>
      </c>
      <c r="I56" s="122">
        <f t="shared" si="14"/>
        <v>0</v>
      </c>
    </row>
    <row r="57" spans="1:10" x14ac:dyDescent="0.25">
      <c r="A57" s="219">
        <f>A54+1</f>
        <v>16</v>
      </c>
      <c r="B57" s="220" t="str">
        <f>Plan1!D125</f>
        <v>DIVERSOS</v>
      </c>
      <c r="C57" s="117" t="e">
        <f>C59/$I$70</f>
        <v>#DIV/0!</v>
      </c>
      <c r="D57" s="127"/>
      <c r="E57" s="127"/>
      <c r="F57" s="127"/>
      <c r="G57" s="127"/>
      <c r="H57" s="127">
        <v>0.75</v>
      </c>
      <c r="I57" s="127">
        <v>0.25</v>
      </c>
    </row>
    <row r="58" spans="1:10" x14ac:dyDescent="0.25">
      <c r="A58" s="219"/>
      <c r="B58" s="221"/>
      <c r="C58" s="126"/>
      <c r="D58" s="120"/>
      <c r="E58" s="120"/>
      <c r="F58" s="120"/>
      <c r="G58" s="120"/>
      <c r="H58" s="120"/>
      <c r="I58" s="120"/>
    </row>
    <row r="59" spans="1:10" x14ac:dyDescent="0.25">
      <c r="A59" s="219"/>
      <c r="B59" s="220"/>
      <c r="C59" s="121">
        <f>Plan1!J132</f>
        <v>0</v>
      </c>
      <c r="D59" s="122">
        <f t="shared" ref="D59:I59" si="15">D57*$C$59</f>
        <v>0</v>
      </c>
      <c r="E59" s="122">
        <f t="shared" si="15"/>
        <v>0</v>
      </c>
      <c r="F59" s="122">
        <f t="shared" si="15"/>
        <v>0</v>
      </c>
      <c r="G59" s="122">
        <f t="shared" si="15"/>
        <v>0</v>
      </c>
      <c r="H59" s="122">
        <f t="shared" si="15"/>
        <v>0</v>
      </c>
      <c r="I59" s="122">
        <f t="shared" si="15"/>
        <v>0</v>
      </c>
    </row>
    <row r="60" spans="1:10" x14ac:dyDescent="0.25">
      <c r="A60" s="219">
        <f>A57+1</f>
        <v>17</v>
      </c>
      <c r="B60" s="220" t="str">
        <f>Plan1!D134</f>
        <v>MOBILIÁRIO URBANO</v>
      </c>
      <c r="C60" s="117" t="e">
        <f>C62/$I$70</f>
        <v>#DIV/0!</v>
      </c>
      <c r="D60" s="127"/>
      <c r="E60" s="127"/>
      <c r="F60" s="127"/>
      <c r="G60" s="127"/>
      <c r="H60" s="127"/>
      <c r="I60" s="127">
        <v>1</v>
      </c>
    </row>
    <row r="61" spans="1:10" x14ac:dyDescent="0.25">
      <c r="A61" s="219"/>
      <c r="B61" s="221"/>
      <c r="C61" s="126"/>
      <c r="D61" s="120"/>
      <c r="E61" s="120"/>
      <c r="F61" s="120"/>
      <c r="G61" s="120"/>
      <c r="H61" s="120"/>
      <c r="I61" s="120"/>
    </row>
    <row r="62" spans="1:10" x14ac:dyDescent="0.25">
      <c r="A62" s="219"/>
      <c r="B62" s="220"/>
      <c r="C62" s="121">
        <f>Plan1!J154</f>
        <v>0</v>
      </c>
      <c r="D62" s="122">
        <f t="shared" ref="D62:I62" si="16">D60*$C$62</f>
        <v>0</v>
      </c>
      <c r="E62" s="122">
        <f t="shared" si="16"/>
        <v>0</v>
      </c>
      <c r="F62" s="122">
        <f t="shared" si="16"/>
        <v>0</v>
      </c>
      <c r="G62" s="122">
        <f t="shared" si="16"/>
        <v>0</v>
      </c>
      <c r="H62" s="122">
        <f t="shared" si="16"/>
        <v>0</v>
      </c>
      <c r="I62" s="122">
        <f t="shared" si="16"/>
        <v>0</v>
      </c>
    </row>
    <row r="63" spans="1:10" x14ac:dyDescent="0.25">
      <c r="A63" s="219">
        <f>A60+1</f>
        <v>18</v>
      </c>
      <c r="B63" s="220" t="str">
        <f>Plan1!D156</f>
        <v xml:space="preserve">PAISAGISMO </v>
      </c>
      <c r="C63" s="117" t="e">
        <f>C65/$I$70</f>
        <v>#DIV/0!</v>
      </c>
      <c r="D63" s="127"/>
      <c r="E63" s="127"/>
      <c r="F63" s="127"/>
      <c r="G63" s="127"/>
      <c r="H63" s="127"/>
      <c r="I63" s="124">
        <v>1</v>
      </c>
    </row>
    <row r="64" spans="1:10" x14ac:dyDescent="0.25">
      <c r="A64" s="219"/>
      <c r="B64" s="221"/>
      <c r="C64" s="126"/>
      <c r="D64" s="120"/>
      <c r="E64" s="120"/>
      <c r="F64" s="120"/>
      <c r="G64" s="120"/>
      <c r="H64" s="120"/>
      <c r="I64" s="120"/>
    </row>
    <row r="65" spans="1:9" x14ac:dyDescent="0.25">
      <c r="A65" s="219"/>
      <c r="B65" s="220"/>
      <c r="C65" s="121">
        <f>Plan1!J165</f>
        <v>0</v>
      </c>
      <c r="D65" s="122">
        <f t="shared" ref="D65:I65" si="17">D63*$C$65</f>
        <v>0</v>
      </c>
      <c r="E65" s="122">
        <f t="shared" si="17"/>
        <v>0</v>
      </c>
      <c r="F65" s="122">
        <f t="shared" si="17"/>
        <v>0</v>
      </c>
      <c r="G65" s="122">
        <f t="shared" si="17"/>
        <v>0</v>
      </c>
      <c r="H65" s="122">
        <f t="shared" si="17"/>
        <v>0</v>
      </c>
      <c r="I65" s="122">
        <f t="shared" si="17"/>
        <v>0</v>
      </c>
    </row>
    <row r="66" spans="1:9" x14ac:dyDescent="0.25">
      <c r="A66" s="130"/>
      <c r="B66" s="218"/>
      <c r="C66" s="218"/>
      <c r="D66" s="218"/>
      <c r="E66" s="218"/>
      <c r="F66" s="218"/>
      <c r="G66" s="218"/>
      <c r="H66" s="218"/>
      <c r="I66" s="218"/>
    </row>
    <row r="67" spans="1:9" x14ac:dyDescent="0.25">
      <c r="A67" s="215" t="s">
        <v>410</v>
      </c>
      <c r="B67" s="216"/>
      <c r="C67" s="217"/>
      <c r="D67" s="131" t="e">
        <f>D69/I70</f>
        <v>#DIV/0!</v>
      </c>
      <c r="E67" s="131" t="e">
        <f>E69/I70</f>
        <v>#DIV/0!</v>
      </c>
      <c r="F67" s="131" t="e">
        <f>F69/I70</f>
        <v>#DIV/0!</v>
      </c>
      <c r="G67" s="131" t="e">
        <f>G69/I70</f>
        <v>#DIV/0!</v>
      </c>
      <c r="H67" s="131" t="e">
        <f>H69/I70</f>
        <v>#DIV/0!</v>
      </c>
      <c r="I67" s="131" t="e">
        <f>I69/I70</f>
        <v>#DIV/0!</v>
      </c>
    </row>
    <row r="68" spans="1:9" x14ac:dyDescent="0.25">
      <c r="A68" s="215" t="s">
        <v>411</v>
      </c>
      <c r="B68" s="216"/>
      <c r="C68" s="217"/>
      <c r="D68" s="132" t="e">
        <f>D67</f>
        <v>#DIV/0!</v>
      </c>
      <c r="E68" s="132" t="e">
        <f>D68+E67</f>
        <v>#DIV/0!</v>
      </c>
      <c r="F68" s="132" t="e">
        <f>E68+F67</f>
        <v>#DIV/0!</v>
      </c>
      <c r="G68" s="132" t="e">
        <f>F68+G67</f>
        <v>#DIV/0!</v>
      </c>
      <c r="H68" s="132" t="e">
        <f>G68+H67</f>
        <v>#DIV/0!</v>
      </c>
      <c r="I68" s="132" t="e">
        <f>H68+I67</f>
        <v>#DIV/0!</v>
      </c>
    </row>
    <row r="69" spans="1:9" x14ac:dyDescent="0.25">
      <c r="A69" s="215" t="s">
        <v>412</v>
      </c>
      <c r="B69" s="216"/>
      <c r="C69" s="217"/>
      <c r="D69" s="133">
        <f t="shared" ref="D69:I69" si="18">D23+D14+D17+D20+D26+D29+D32+D35+D38+D41+D44+D47+D50+D53+D56+D59+D62+D65</f>
        <v>0</v>
      </c>
      <c r="E69" s="133">
        <f t="shared" si="18"/>
        <v>0</v>
      </c>
      <c r="F69" s="133">
        <f t="shared" si="18"/>
        <v>0</v>
      </c>
      <c r="G69" s="133">
        <f t="shared" si="18"/>
        <v>0</v>
      </c>
      <c r="H69" s="133">
        <f t="shared" si="18"/>
        <v>0</v>
      </c>
      <c r="I69" s="133">
        <f t="shared" si="18"/>
        <v>0</v>
      </c>
    </row>
    <row r="70" spans="1:9" x14ac:dyDescent="0.25">
      <c r="A70" s="215" t="s">
        <v>413</v>
      </c>
      <c r="B70" s="216"/>
      <c r="C70" s="217"/>
      <c r="D70" s="133">
        <f>D69</f>
        <v>0</v>
      </c>
      <c r="E70" s="133">
        <f>D70+E69</f>
        <v>0</v>
      </c>
      <c r="F70" s="133">
        <f>E70+F69</f>
        <v>0</v>
      </c>
      <c r="G70" s="133">
        <f>F70+G69</f>
        <v>0</v>
      </c>
      <c r="H70" s="133">
        <f>G70+H69</f>
        <v>0</v>
      </c>
      <c r="I70" s="133">
        <f>H70+I69</f>
        <v>0</v>
      </c>
    </row>
    <row r="75" spans="1:9" x14ac:dyDescent="0.25">
      <c r="B75" s="149"/>
      <c r="C75" s="150" t="s">
        <v>426</v>
      </c>
      <c r="D75" s="108"/>
      <c r="E75" s="150"/>
      <c r="F75" s="150" t="s">
        <v>426</v>
      </c>
      <c r="G75" s="152"/>
      <c r="H75" s="153"/>
    </row>
    <row r="76" spans="1:9" x14ac:dyDescent="0.25">
      <c r="B76" s="149"/>
      <c r="C76" s="155" t="s">
        <v>427</v>
      </c>
      <c r="D76" s="108"/>
      <c r="E76" s="150"/>
      <c r="F76" s="156" t="s">
        <v>439</v>
      </c>
      <c r="G76" s="152"/>
      <c r="H76" s="153"/>
    </row>
    <row r="77" spans="1:9" x14ac:dyDescent="0.25">
      <c r="B77" s="158"/>
      <c r="C77" s="159" t="s">
        <v>428</v>
      </c>
      <c r="D77" s="160"/>
      <c r="E77" s="161"/>
      <c r="F77" s="159" t="s">
        <v>429</v>
      </c>
      <c r="G77" s="158"/>
      <c r="H77" s="162"/>
    </row>
    <row r="78" spans="1:9" x14ac:dyDescent="0.25">
      <c r="B78" s="158"/>
      <c r="C78" s="159" t="s">
        <v>430</v>
      </c>
      <c r="D78" s="160"/>
      <c r="E78" s="161"/>
      <c r="F78" s="163" t="s">
        <v>440</v>
      </c>
      <c r="G78" s="158"/>
      <c r="H78" s="162"/>
    </row>
    <row r="79" spans="1:9" x14ac:dyDescent="0.25">
      <c r="B79" s="158"/>
      <c r="C79" s="149"/>
      <c r="D79" s="108"/>
      <c r="E79" s="150"/>
      <c r="F79" s="152"/>
      <c r="G79" s="158"/>
      <c r="H79" s="162"/>
    </row>
  </sheetData>
  <mergeCells count="47">
    <mergeCell ref="C1:I1"/>
    <mergeCell ref="C2:I2"/>
    <mergeCell ref="A10:A11"/>
    <mergeCell ref="B10:C11"/>
    <mergeCell ref="D10:I10"/>
    <mergeCell ref="D7:I7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A51:A53"/>
    <mergeCell ref="B51:B53"/>
    <mergeCell ref="A54:A56"/>
    <mergeCell ref="B54:B56"/>
    <mergeCell ref="A57:A59"/>
    <mergeCell ref="B57:B59"/>
    <mergeCell ref="A60:A62"/>
    <mergeCell ref="B60:B62"/>
    <mergeCell ref="A63:A65"/>
    <mergeCell ref="B63:B65"/>
    <mergeCell ref="A68:C68"/>
    <mergeCell ref="A69:C69"/>
    <mergeCell ref="A70:C70"/>
    <mergeCell ref="B66:I66"/>
    <mergeCell ref="A67:C67"/>
  </mergeCells>
  <conditionalFormatting sqref="D16:I16">
    <cfRule type="expression" dxfId="18" priority="21">
      <formula>IF(D15="",0,1)</formula>
    </cfRule>
  </conditionalFormatting>
  <conditionalFormatting sqref="D13:I13">
    <cfRule type="expression" dxfId="17" priority="20">
      <formula>IF(D12="",0,1)</formula>
    </cfRule>
  </conditionalFormatting>
  <conditionalFormatting sqref="D19:I19">
    <cfRule type="expression" dxfId="16" priority="19">
      <formula>IF(D18="",0,1)</formula>
    </cfRule>
  </conditionalFormatting>
  <conditionalFormatting sqref="D22:I22">
    <cfRule type="expression" dxfId="15" priority="18">
      <formula>IF(D21="",0,1)</formula>
    </cfRule>
  </conditionalFormatting>
  <conditionalFormatting sqref="D25:I25">
    <cfRule type="expression" dxfId="14" priority="17">
      <formula>IF(D24="",0,1)</formula>
    </cfRule>
  </conditionalFormatting>
  <conditionalFormatting sqref="D28:I28">
    <cfRule type="expression" dxfId="13" priority="16">
      <formula>IF(D27="",0,1)</formula>
    </cfRule>
  </conditionalFormatting>
  <conditionalFormatting sqref="D31:I31">
    <cfRule type="expression" dxfId="12" priority="15">
      <formula>IF(D30="",0,1)</formula>
    </cfRule>
  </conditionalFormatting>
  <conditionalFormatting sqref="D34:I34">
    <cfRule type="expression" dxfId="11" priority="14">
      <formula>IF(D33="",0,1)</formula>
    </cfRule>
  </conditionalFormatting>
  <conditionalFormatting sqref="D37:I37">
    <cfRule type="expression" dxfId="10" priority="13">
      <formula>IF(D36="",0,1)</formula>
    </cfRule>
  </conditionalFormatting>
  <conditionalFormatting sqref="D40:I40">
    <cfRule type="expression" dxfId="9" priority="12">
      <formula>IF(D39="",0,1)</formula>
    </cfRule>
  </conditionalFormatting>
  <conditionalFormatting sqref="D43:I43">
    <cfRule type="expression" dxfId="8" priority="11">
      <formula>IF(D42="",0,1)</formula>
    </cfRule>
  </conditionalFormatting>
  <conditionalFormatting sqref="D46:I46">
    <cfRule type="expression" dxfId="7" priority="10">
      <formula>IF(D45="",0,1)</formula>
    </cfRule>
  </conditionalFormatting>
  <conditionalFormatting sqref="D49:I49">
    <cfRule type="expression" dxfId="6" priority="9">
      <formula>IF(D48="",0,1)</formula>
    </cfRule>
  </conditionalFormatting>
  <conditionalFormatting sqref="D52:I52">
    <cfRule type="expression" dxfId="5" priority="8">
      <formula>IF(D51="",0,1)</formula>
    </cfRule>
  </conditionalFormatting>
  <conditionalFormatting sqref="D55:I55">
    <cfRule type="expression" dxfId="4" priority="7">
      <formula>IF(D54="",0,1)</formula>
    </cfRule>
  </conditionalFormatting>
  <conditionalFormatting sqref="D58:I58">
    <cfRule type="expression" dxfId="3" priority="6">
      <formula>IF(D57="",0,1)</formula>
    </cfRule>
  </conditionalFormatting>
  <conditionalFormatting sqref="D61:I61">
    <cfRule type="expression" dxfId="2" priority="5">
      <formula>IF(D60="",0,1)</formula>
    </cfRule>
  </conditionalFormatting>
  <conditionalFormatting sqref="I64">
    <cfRule type="expression" dxfId="1" priority="4">
      <formula>IF(I63="",0,1)</formula>
    </cfRule>
  </conditionalFormatting>
  <conditionalFormatting sqref="D64:H64">
    <cfRule type="expression" dxfId="0" priority="1">
      <formula>IF(D63="",0,1)</formula>
    </cfRule>
  </conditionalFormatting>
  <pageMargins left="0.511811024" right="0.511811024" top="0.78740157499999996" bottom="0.78740157499999996" header="0.31496062000000002" footer="0.31496062000000002"/>
  <pageSetup paperSize="9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C24" sqref="C24"/>
    </sheetView>
  </sheetViews>
  <sheetFormatPr defaultRowHeight="15" x14ac:dyDescent="0.25"/>
  <cols>
    <col min="2" max="2" width="13.5703125" customWidth="1"/>
    <col min="3" max="3" width="13.7109375" customWidth="1"/>
    <col min="4" max="4" width="13.5703125" customWidth="1"/>
    <col min="5" max="5" width="13" customWidth="1"/>
    <col min="6" max="7" width="13.5703125" customWidth="1"/>
    <col min="8" max="8" width="12.5703125" customWidth="1"/>
    <col min="9" max="9" width="13.85546875" customWidth="1"/>
    <col min="10" max="10" width="16.7109375" customWidth="1"/>
  </cols>
  <sheetData>
    <row r="1" spans="1:10" x14ac:dyDescent="0.25">
      <c r="A1" s="169"/>
      <c r="B1" s="170"/>
      <c r="C1" s="240" t="str">
        <f>[1]ORÇAMENTO!C1</f>
        <v>PREFEITURA MUNICIPAL DE CATALÃO</v>
      </c>
      <c r="D1" s="240"/>
      <c r="E1" s="240"/>
      <c r="F1" s="240"/>
      <c r="G1" s="240"/>
      <c r="H1" s="240"/>
      <c r="I1" s="240"/>
      <c r="J1" s="241"/>
    </row>
    <row r="2" spans="1:10" x14ac:dyDescent="0.25">
      <c r="A2" s="171"/>
      <c r="B2" s="134"/>
      <c r="C2" s="234" t="s">
        <v>414</v>
      </c>
      <c r="D2" s="234"/>
      <c r="E2" s="234"/>
      <c r="F2" s="234"/>
      <c r="G2" s="234"/>
      <c r="H2" s="234"/>
      <c r="I2" s="234"/>
      <c r="J2" s="242"/>
    </row>
    <row r="3" spans="1:10" x14ac:dyDescent="0.25">
      <c r="A3" s="171"/>
      <c r="B3" s="134"/>
      <c r="C3" s="135" t="str">
        <f>[1]ORÇAMENTO!C3</f>
        <v>SETOR</v>
      </c>
      <c r="D3" s="136" t="str">
        <f>[1]ORÇAMENTO!D3</f>
        <v>SECRETARIA MUNICIPAL DE OBRAS</v>
      </c>
      <c r="E3" s="135"/>
      <c r="F3" s="135"/>
      <c r="G3" s="135"/>
      <c r="H3" s="135"/>
      <c r="I3" s="135"/>
      <c r="J3" s="172"/>
    </row>
    <row r="4" spans="1:10" x14ac:dyDescent="0.25">
      <c r="A4" s="173"/>
      <c r="B4" s="137"/>
      <c r="C4" s="135" t="str">
        <f>[1]ORÇAMENTO!C4</f>
        <v>OBJETO</v>
      </c>
      <c r="D4" s="136" t="str">
        <f>Plan3!D4</f>
        <v xml:space="preserve">PRAÇA IRCA VICTÓRIA DA FONSECA </v>
      </c>
      <c r="E4" s="138"/>
      <c r="F4" s="138"/>
      <c r="G4" s="138"/>
      <c r="H4" s="138"/>
      <c r="I4" s="138"/>
      <c r="J4" s="174"/>
    </row>
    <row r="5" spans="1:10" x14ac:dyDescent="0.25">
      <c r="A5" s="175"/>
      <c r="B5" s="139"/>
      <c r="C5" s="135" t="str">
        <f>[1]ORÇAMENTO!C5</f>
        <v>PROCESSO</v>
      </c>
      <c r="D5" s="136">
        <f>Plan3!D5</f>
        <v>2021024996</v>
      </c>
      <c r="E5" s="140"/>
      <c r="F5" s="140"/>
      <c r="G5" s="140"/>
      <c r="H5" s="140"/>
      <c r="I5" s="140"/>
      <c r="J5" s="176"/>
    </row>
    <row r="6" spans="1:10" x14ac:dyDescent="0.25">
      <c r="A6" s="175"/>
      <c r="B6" s="139"/>
      <c r="C6" s="135" t="str">
        <f>[1]ORÇAMENTO!C6</f>
        <v>ENDEREÇO</v>
      </c>
      <c r="D6" s="136" t="str">
        <f>Plan3!D6</f>
        <v xml:space="preserve">RUAL ALVINA C. NEVES, ESQUINA COM RUA SEIS </v>
      </c>
      <c r="E6" s="140"/>
      <c r="F6" s="140"/>
      <c r="G6" s="140"/>
      <c r="H6" s="140"/>
      <c r="I6" s="140"/>
      <c r="J6" s="176"/>
    </row>
    <row r="7" spans="1:10" ht="43.5" customHeight="1" x14ac:dyDescent="0.25">
      <c r="A7" s="175"/>
      <c r="B7" s="139"/>
      <c r="C7" s="135" t="str">
        <f>[1]ORÇAMENTO!C7</f>
        <v>TABELAS</v>
      </c>
      <c r="D7" s="246" t="str">
        <f>Plan3!D7</f>
        <v>TABELA 148 - CUSTOS DE OBRAS CIVIS - JULHO/2021 - DESONERADA; PCI.817.01 - CUSTO DE COMPOSIÇÕES - SINTÉTICO (06-21);  SINAPI - PREÇO DE INSUMOS (06-21); SIURB -Comp Custos Unit INFRA COM Des Jan 2021, SETOP- planilha com desoneração.</v>
      </c>
      <c r="E7" s="246"/>
      <c r="F7" s="246"/>
      <c r="G7" s="246"/>
      <c r="H7" s="246"/>
      <c r="I7" s="246"/>
      <c r="J7" s="247"/>
    </row>
    <row r="8" spans="1:10" x14ac:dyDescent="0.25">
      <c r="A8" s="177"/>
      <c r="B8" s="178"/>
      <c r="C8" s="179" t="str">
        <f>[1]ORÇAMENTO!C9</f>
        <v xml:space="preserve">DATA </v>
      </c>
      <c r="D8" s="180" t="str">
        <f>Plan3!D8</f>
        <v>17 de agosto de 2021</v>
      </c>
      <c r="E8" s="181"/>
      <c r="F8" s="181"/>
      <c r="G8" s="181"/>
      <c r="H8" s="181"/>
      <c r="I8" s="181"/>
      <c r="J8" s="182"/>
    </row>
    <row r="9" spans="1:10" x14ac:dyDescent="0.25">
      <c r="A9" s="243"/>
      <c r="B9" s="244"/>
      <c r="C9" s="244"/>
      <c r="D9" s="244"/>
      <c r="E9" s="244"/>
      <c r="F9" s="244"/>
      <c r="G9" s="244"/>
      <c r="H9" s="244"/>
      <c r="I9" s="244"/>
      <c r="J9" s="245"/>
    </row>
    <row r="10" spans="1:10" ht="66" x14ac:dyDescent="0.25">
      <c r="A10" s="141" t="s">
        <v>415</v>
      </c>
      <c r="B10" s="142" t="s">
        <v>416</v>
      </c>
      <c r="C10" s="142" t="s">
        <v>417</v>
      </c>
      <c r="D10" s="142" t="s">
        <v>418</v>
      </c>
      <c r="E10" s="142" t="s">
        <v>419</v>
      </c>
      <c r="F10" s="142" t="s">
        <v>420</v>
      </c>
      <c r="G10" s="142" t="s">
        <v>421</v>
      </c>
      <c r="H10" s="142" t="s">
        <v>422</v>
      </c>
      <c r="I10" s="142" t="s">
        <v>423</v>
      </c>
      <c r="J10" s="143" t="s">
        <v>424</v>
      </c>
    </row>
    <row r="11" spans="1:10" ht="17.25" thickBot="1" x14ac:dyDescent="0.3">
      <c r="A11" s="144">
        <v>3</v>
      </c>
      <c r="B11" s="145">
        <v>6.16</v>
      </c>
      <c r="C11" s="145">
        <v>0.28000000000000003</v>
      </c>
      <c r="D11" s="145">
        <v>0.12</v>
      </c>
      <c r="E11" s="145">
        <v>0.97</v>
      </c>
      <c r="F11" s="145">
        <v>2.4</v>
      </c>
      <c r="G11" s="145">
        <v>0.65</v>
      </c>
      <c r="H11" s="145">
        <v>3</v>
      </c>
      <c r="I11" s="145">
        <v>4.5</v>
      </c>
      <c r="J11" s="146">
        <v>23.88</v>
      </c>
    </row>
    <row r="12" spans="1:10" x14ac:dyDescent="0.25">
      <c r="A12" s="147" t="s">
        <v>425</v>
      </c>
      <c r="B12" s="108"/>
      <c r="C12" s="108"/>
      <c r="D12" s="108"/>
      <c r="E12" s="108"/>
      <c r="F12" s="108"/>
      <c r="G12" s="108"/>
      <c r="H12" s="108"/>
      <c r="I12" s="108"/>
      <c r="J12" s="106"/>
    </row>
    <row r="13" spans="1:10" x14ac:dyDescent="0.25">
      <c r="A13" s="148"/>
      <c r="B13" s="149"/>
      <c r="C13" s="149"/>
      <c r="D13" s="108"/>
      <c r="E13" s="150"/>
      <c r="F13" s="151"/>
      <c r="G13" s="152"/>
      <c r="H13" s="153"/>
      <c r="I13" s="108"/>
      <c r="J13" s="106"/>
    </row>
    <row r="14" spans="1:10" x14ac:dyDescent="0.25">
      <c r="A14" s="148"/>
      <c r="B14" s="149"/>
      <c r="C14" s="149"/>
      <c r="D14" s="108"/>
      <c r="E14" s="150"/>
      <c r="F14" s="151"/>
      <c r="G14" s="152"/>
      <c r="H14" s="153"/>
      <c r="I14" s="108"/>
      <c r="J14" s="106"/>
    </row>
    <row r="15" spans="1:10" x14ac:dyDescent="0.25">
      <c r="A15" s="148"/>
      <c r="B15" s="149"/>
      <c r="C15" s="150" t="s">
        <v>426</v>
      </c>
      <c r="D15" s="108"/>
      <c r="E15" s="150"/>
      <c r="F15" s="150" t="s">
        <v>426</v>
      </c>
      <c r="G15" s="152"/>
      <c r="H15" s="153"/>
      <c r="I15" s="150"/>
      <c r="J15" s="154"/>
    </row>
    <row r="16" spans="1:10" x14ac:dyDescent="0.25">
      <c r="A16" s="148"/>
      <c r="B16" s="149"/>
      <c r="C16" s="155" t="s">
        <v>427</v>
      </c>
      <c r="D16" s="108"/>
      <c r="E16" s="150"/>
      <c r="F16" s="156" t="str">
        <f>[1]ORÇAMENTO!F281</f>
        <v>STEPHANIE PRADO DE PAIVA</v>
      </c>
      <c r="G16" s="152"/>
      <c r="H16" s="153"/>
      <c r="I16" s="155"/>
      <c r="J16" s="106"/>
    </row>
    <row r="17" spans="1:10" x14ac:dyDescent="0.25">
      <c r="A17" s="157"/>
      <c r="B17" s="158"/>
      <c r="C17" s="159" t="s">
        <v>428</v>
      </c>
      <c r="D17" s="160"/>
      <c r="E17" s="161"/>
      <c r="F17" s="159" t="s">
        <v>429</v>
      </c>
      <c r="G17" s="158"/>
      <c r="H17" s="162"/>
      <c r="I17" s="155"/>
      <c r="J17" s="106"/>
    </row>
    <row r="18" spans="1:10" x14ac:dyDescent="0.25">
      <c r="A18" s="148"/>
      <c r="B18" s="158"/>
      <c r="C18" s="159" t="s">
        <v>430</v>
      </c>
      <c r="D18" s="160"/>
      <c r="E18" s="161"/>
      <c r="F18" s="163" t="str">
        <f>[1]ORÇAMENTO!F283</f>
        <v>CREA 1018824561/D-GO</v>
      </c>
      <c r="G18" s="158"/>
      <c r="H18" s="162"/>
      <c r="I18" s="155"/>
      <c r="J18" s="106"/>
    </row>
    <row r="19" spans="1:10" x14ac:dyDescent="0.25">
      <c r="A19" s="148"/>
      <c r="B19" s="158"/>
      <c r="C19" s="149"/>
      <c r="D19" s="108"/>
      <c r="E19" s="150"/>
      <c r="F19" s="152"/>
      <c r="G19" s="158"/>
      <c r="H19" s="162"/>
      <c r="I19" s="108"/>
      <c r="J19" s="106"/>
    </row>
    <row r="20" spans="1:10" ht="15.75" thickBot="1" x14ac:dyDescent="0.3">
      <c r="A20" s="164"/>
      <c r="B20" s="165"/>
      <c r="C20" s="165"/>
      <c r="D20" s="166"/>
      <c r="E20" s="165"/>
      <c r="F20" s="165"/>
      <c r="G20" s="165"/>
      <c r="H20" s="167"/>
      <c r="I20" s="113"/>
      <c r="J20" s="111"/>
    </row>
  </sheetData>
  <mergeCells count="4">
    <mergeCell ref="C1:J1"/>
    <mergeCell ref="C2:J2"/>
    <mergeCell ref="A9:J9"/>
    <mergeCell ref="D7:J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Pedro Paulo Borges</cp:lastModifiedBy>
  <cp:lastPrinted>2021-08-23T12:14:24Z</cp:lastPrinted>
  <dcterms:created xsi:type="dcterms:W3CDTF">2021-08-03T13:47:58Z</dcterms:created>
  <dcterms:modified xsi:type="dcterms:W3CDTF">2021-09-16T13:49:37Z</dcterms:modified>
</cp:coreProperties>
</file>