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Dados\4 - Concorrências\CP 2019\006 - 2ª ETAPA - CÓRREGO - 2019\"/>
    </mc:Choice>
  </mc:AlternateContent>
  <bookViews>
    <workbookView xWindow="0" yWindow="0" windowWidth="20490" windowHeight="7755"/>
  </bookViews>
  <sheets>
    <sheet name="CÁLCULO" sheetId="7" r:id="rId1"/>
    <sheet name="ORÇAMENTO" sheetId="4" r:id="rId2"/>
    <sheet name="COMPOSIÇÃO" sheetId="6" r:id="rId3"/>
    <sheet name="CRONOGRAMA FÍSICO FINANCEIRO" sheetId="3" r:id="rId4"/>
    <sheet name="BDI" sheetId="8" r:id="rId5"/>
  </sheets>
  <externalReferences>
    <externalReference r:id="rId6"/>
    <externalReference r:id="rId7"/>
  </externalReferences>
  <definedNames>
    <definedName name="ABC_SERVIÇOS">[1]ABC_SERVIÇOS!$A:$M</definedName>
    <definedName name="_xlnm.Print_Area" localSheetId="0">CÁLCULO!$A$1:$H$1082</definedName>
    <definedName name="_xlnm.Print_Area" localSheetId="1">ORÇAMENTO!$A$1:$J$229</definedName>
    <definedName name="_xlnm.Print_Titles" localSheetId="1">ORÇAMENTO!$1:$12</definedName>
  </definedNames>
  <calcPr calcId="162913"/>
</workbook>
</file>

<file path=xl/calcChain.xml><?xml version="1.0" encoding="utf-8"?>
<calcChain xmlns="http://schemas.openxmlformats.org/spreadsheetml/2006/main">
  <c r="A114" i="6" l="1"/>
  <c r="I113" i="6" l="1"/>
  <c r="B18" i="3" l="1"/>
  <c r="B7" i="3"/>
  <c r="J181" i="4" l="1"/>
  <c r="J180" i="4"/>
  <c r="J176" i="4"/>
  <c r="J173" i="4"/>
  <c r="J171" i="4"/>
  <c r="J170" i="4"/>
  <c r="J163" i="4"/>
  <c r="J158" i="4"/>
  <c r="J53" i="4"/>
  <c r="J52" i="4"/>
  <c r="J51" i="4"/>
  <c r="J50" i="4"/>
  <c r="J49" i="4"/>
  <c r="J45" i="4"/>
  <c r="J44" i="4"/>
  <c r="J43" i="4"/>
  <c r="J42" i="4"/>
  <c r="J41" i="4"/>
  <c r="J46" i="4" s="1"/>
  <c r="Q10" i="3" s="1"/>
  <c r="J37" i="4"/>
  <c r="J36" i="4"/>
  <c r="J35" i="4"/>
  <c r="J34" i="4"/>
  <c r="J38" i="4" s="1"/>
  <c r="Q9" i="3" s="1"/>
  <c r="J33" i="4"/>
  <c r="J25" i="4"/>
  <c r="J24" i="4"/>
  <c r="J23" i="4"/>
  <c r="J22" i="4"/>
  <c r="J20" i="4"/>
  <c r="J19" i="4"/>
  <c r="J18" i="4"/>
  <c r="J17" i="4"/>
  <c r="I97" i="6"/>
  <c r="I96" i="6"/>
  <c r="I95" i="6"/>
  <c r="I94" i="6"/>
  <c r="I85" i="6"/>
  <c r="I82" i="6"/>
  <c r="I81" i="6"/>
  <c r="I77" i="6"/>
  <c r="I76" i="6"/>
  <c r="I75" i="6"/>
  <c r="I74" i="6"/>
  <c r="I64" i="6"/>
  <c r="I216" i="6"/>
  <c r="I217" i="6"/>
  <c r="I219" i="6"/>
  <c r="I220" i="6"/>
  <c r="I221" i="6"/>
  <c r="I222" i="6"/>
  <c r="I223" i="6"/>
  <c r="I224" i="6"/>
  <c r="I225" i="6"/>
  <c r="I226" i="6"/>
  <c r="I227" i="6"/>
  <c r="I228" i="6"/>
  <c r="I229" i="6"/>
  <c r="I230" i="6"/>
  <c r="I231" i="6"/>
  <c r="I232" i="6"/>
  <c r="I233" i="6"/>
  <c r="I234" i="6"/>
  <c r="I235" i="6"/>
  <c r="I236" i="6"/>
  <c r="I238" i="6"/>
  <c r="I239" i="6"/>
  <c r="I240" i="6"/>
  <c r="I241" i="6"/>
  <c r="I242" i="6"/>
  <c r="I243" i="6"/>
  <c r="I215" i="6"/>
  <c r="I203" i="6"/>
  <c r="I204" i="6"/>
  <c r="I205" i="6"/>
  <c r="I206" i="6"/>
  <c r="I207" i="6"/>
  <c r="I208" i="6"/>
  <c r="I209" i="6"/>
  <c r="I210" i="6"/>
  <c r="I202" i="6"/>
  <c r="I201" i="6"/>
  <c r="I178" i="6"/>
  <c r="I179" i="6"/>
  <c r="I177" i="6"/>
  <c r="I176" i="6"/>
  <c r="I175" i="6"/>
  <c r="I161" i="6"/>
  <c r="I162" i="6"/>
  <c r="I163" i="6"/>
  <c r="I164" i="6"/>
  <c r="I165" i="6"/>
  <c r="I166" i="6"/>
  <c r="I167" i="6"/>
  <c r="I168" i="6"/>
  <c r="I160" i="6"/>
  <c r="I159" i="6"/>
  <c r="I157" i="6"/>
  <c r="I158" i="6"/>
  <c r="I156" i="6"/>
  <c r="I155" i="6"/>
  <c r="I154" i="6"/>
  <c r="I147" i="6"/>
  <c r="I146" i="6"/>
  <c r="I145" i="6"/>
  <c r="I144" i="6"/>
  <c r="I142" i="6"/>
  <c r="I143" i="6"/>
  <c r="I141" i="6"/>
  <c r="I134" i="6"/>
  <c r="I133" i="6"/>
  <c r="I132" i="6"/>
  <c r="I131" i="6"/>
  <c r="I105" i="6"/>
  <c r="I107" i="6"/>
  <c r="I111" i="6"/>
  <c r="I122" i="6"/>
  <c r="I121" i="6"/>
  <c r="I123" i="6" s="1"/>
  <c r="I130" i="6"/>
  <c r="I129" i="6"/>
  <c r="I112" i="6"/>
  <c r="I90" i="6"/>
  <c r="I70" i="6"/>
  <c r="I66" i="6"/>
  <c r="I65" i="6"/>
  <c r="I61" i="6"/>
  <c r="I62" i="6"/>
  <c r="I63" i="6"/>
  <c r="I60" i="6"/>
  <c r="I54" i="6"/>
  <c r="H360" i="7"/>
  <c r="E237" i="6"/>
  <c r="I237" i="6" s="1"/>
  <c r="E244" i="6"/>
  <c r="I244" i="6" s="1"/>
  <c r="H783" i="7"/>
  <c r="E245" i="6" s="1"/>
  <c r="I245" i="6" s="1"/>
  <c r="B782" i="7"/>
  <c r="H694" i="7"/>
  <c r="H692" i="7" s="1"/>
  <c r="F204" i="4" s="1"/>
  <c r="J204" i="4" s="1"/>
  <c r="H690" i="7"/>
  <c r="H689" i="7"/>
  <c r="H686" i="7"/>
  <c r="H684" i="7" s="1"/>
  <c r="F202" i="4" s="1"/>
  <c r="J202" i="4" s="1"/>
  <c r="A698" i="7"/>
  <c r="A695" i="7"/>
  <c r="A692" i="7"/>
  <c r="A687" i="7"/>
  <c r="A684" i="7"/>
  <c r="B698" i="7"/>
  <c r="B695" i="7"/>
  <c r="B692" i="7"/>
  <c r="B687" i="7"/>
  <c r="B684" i="7"/>
  <c r="I169" i="6" l="1"/>
  <c r="I148" i="6"/>
  <c r="I135" i="6"/>
  <c r="I98" i="6"/>
  <c r="I78" i="6"/>
  <c r="I67" i="6"/>
  <c r="J54" i="4"/>
  <c r="Q11" i="3" s="1"/>
  <c r="H687" i="7"/>
  <c r="F203" i="4" s="1"/>
  <c r="J203" i="4" s="1"/>
  <c r="H691" i="7"/>
  <c r="F728" i="7"/>
  <c r="H728" i="7" s="1"/>
  <c r="E727" i="7"/>
  <c r="F727" i="7" s="1"/>
  <c r="H727" i="7" s="1"/>
  <c r="H729" i="7" l="1"/>
  <c r="E218" i="6" s="1"/>
  <c r="I218" i="6" s="1"/>
  <c r="I246" i="6" s="1"/>
  <c r="J172" i="4" l="1"/>
  <c r="J21" i="4"/>
  <c r="H787" i="7" l="1"/>
  <c r="F215" i="4" s="1"/>
  <c r="J215" i="4" s="1"/>
  <c r="B787" i="7"/>
  <c r="A787" i="7"/>
  <c r="G451" i="7" l="1"/>
  <c r="H450" i="7"/>
  <c r="H448" i="7" s="1"/>
  <c r="F135" i="4" s="1"/>
  <c r="J135" i="4" s="1"/>
  <c r="A448" i="7"/>
  <c r="B448" i="7"/>
  <c r="B451" i="7"/>
  <c r="B645" i="7" l="1"/>
  <c r="F644" i="7"/>
  <c r="A645" i="7"/>
  <c r="F191" i="4"/>
  <c r="J191" i="4" s="1"/>
  <c r="A308" i="7"/>
  <c r="B308" i="7"/>
  <c r="F98" i="4"/>
  <c r="J98" i="4" s="1"/>
  <c r="H306" i="7"/>
  <c r="H308" i="7"/>
  <c r="B309" i="7"/>
  <c r="F168" i="4"/>
  <c r="F167" i="4"/>
  <c r="A718" i="7"/>
  <c r="H612" i="7"/>
  <c r="F179" i="4" s="1"/>
  <c r="J179" i="4" s="1"/>
  <c r="H609" i="7"/>
  <c r="F178" i="4" s="1"/>
  <c r="J178" i="4" s="1"/>
  <c r="H606" i="7"/>
  <c r="H605" i="7" s="1"/>
  <c r="F598" i="7"/>
  <c r="H598" i="7" s="1"/>
  <c r="H597" i="7" s="1"/>
  <c r="F174" i="4" s="1"/>
  <c r="J174" i="4" s="1"/>
  <c r="H591" i="7"/>
  <c r="J281" i="7"/>
  <c r="J282" i="7" s="1"/>
  <c r="H39" i="7"/>
  <c r="H37" i="7" s="1"/>
  <c r="F177" i="4" l="1"/>
  <c r="J177" i="4" s="1"/>
  <c r="H608" i="7"/>
  <c r="H611" i="7"/>
  <c r="H69" i="7"/>
  <c r="H71" i="7" s="1"/>
  <c r="H68" i="7" s="1"/>
  <c r="H65" i="7"/>
  <c r="H67" i="7" s="1"/>
  <c r="H64" i="7" s="1"/>
  <c r="B122" i="7"/>
  <c r="B115" i="7"/>
  <c r="B145" i="7"/>
  <c r="B153" i="7" s="1"/>
  <c r="B161" i="7" s="1"/>
  <c r="B169" i="7" s="1"/>
  <c r="H73" i="7"/>
  <c r="H87" i="7"/>
  <c r="H89" i="7" s="1"/>
  <c r="H85" i="7"/>
  <c r="H671" i="7"/>
  <c r="F197" i="4" s="1"/>
  <c r="J197" i="4" s="1"/>
  <c r="A669" i="7"/>
  <c r="B669" i="7"/>
  <c r="A34" i="7"/>
  <c r="A30" i="7"/>
  <c r="A27" i="7"/>
  <c r="A24" i="7"/>
  <c r="A21" i="7"/>
  <c r="A20" i="7"/>
  <c r="A16" i="7"/>
  <c r="A12" i="7"/>
  <c r="A10" i="7"/>
  <c r="A37" i="7"/>
  <c r="B37" i="7"/>
  <c r="B40" i="7"/>
  <c r="H33" i="7"/>
  <c r="H669" i="7" l="1"/>
  <c r="H74" i="7" l="1"/>
  <c r="B43" i="7"/>
  <c r="H349" i="7"/>
  <c r="F108" i="4" s="1"/>
  <c r="J108" i="4" s="1"/>
  <c r="H351" i="7"/>
  <c r="F109" i="4" s="1"/>
  <c r="J109" i="4" s="1"/>
  <c r="D213" i="4" l="1"/>
  <c r="B718" i="7" s="1"/>
  <c r="C213" i="4"/>
  <c r="J213" i="4" l="1"/>
  <c r="B566" i="7"/>
  <c r="A566" i="7"/>
  <c r="H363" i="7"/>
  <c r="H361" i="7" s="1"/>
  <c r="F114" i="4" s="1"/>
  <c r="J114" i="4" s="1"/>
  <c r="H286" i="7"/>
  <c r="G277" i="7"/>
  <c r="B289" i="7"/>
  <c r="A289" i="7"/>
  <c r="B283" i="7"/>
  <c r="A283" i="7"/>
  <c r="B280" i="7"/>
  <c r="A280" i="7"/>
  <c r="H285" i="7"/>
  <c r="B285" i="7"/>
  <c r="B84" i="7"/>
  <c r="A84" i="7"/>
  <c r="H84" i="7"/>
  <c r="H72" i="7"/>
  <c r="H76" i="7" s="1"/>
  <c r="B68" i="7"/>
  <c r="A68" i="7"/>
  <c r="G68" i="7"/>
  <c r="H674" i="7"/>
  <c r="H672" i="7" s="1"/>
  <c r="F198" i="4" s="1"/>
  <c r="J198" i="4" s="1"/>
  <c r="H665" i="7"/>
  <c r="H663" i="7" s="1"/>
  <c r="F195" i="4" s="1"/>
  <c r="J195" i="4" s="1"/>
  <c r="H662" i="7"/>
  <c r="H660" i="7" s="1"/>
  <c r="F194" i="4" s="1"/>
  <c r="J194" i="4" s="1"/>
  <c r="H650" i="7"/>
  <c r="H649" i="7"/>
  <c r="H643" i="7"/>
  <c r="H644" i="7"/>
  <c r="H640" i="7"/>
  <c r="H638" i="7" s="1"/>
  <c r="H637" i="7"/>
  <c r="H635" i="7" s="1"/>
  <c r="F188" i="4" s="1"/>
  <c r="J188" i="4" s="1"/>
  <c r="H634" i="7"/>
  <c r="H633" i="7"/>
  <c r="H630" i="7"/>
  <c r="H628" i="7" s="1"/>
  <c r="B681" i="7"/>
  <c r="A681" i="7"/>
  <c r="H683" i="7"/>
  <c r="H681" i="7" s="1"/>
  <c r="F201" i="4" s="1"/>
  <c r="J201" i="4" s="1"/>
  <c r="H680" i="7"/>
  <c r="H678" i="7" s="1"/>
  <c r="F200" i="4" s="1"/>
  <c r="B678" i="7"/>
  <c r="A678" i="7"/>
  <c r="H677" i="7"/>
  <c r="H675" i="7" s="1"/>
  <c r="F199" i="4" s="1"/>
  <c r="B675" i="7"/>
  <c r="A675" i="7"/>
  <c r="B672" i="7"/>
  <c r="A672" i="7"/>
  <c r="B666" i="7"/>
  <c r="A666" i="7"/>
  <c r="H666" i="7"/>
  <c r="F196" i="4" s="1"/>
  <c r="J196" i="4" s="1"/>
  <c r="B663" i="7"/>
  <c r="A663" i="7"/>
  <c r="B660" i="7"/>
  <c r="A660" i="7"/>
  <c r="B653" i="7"/>
  <c r="A653" i="7"/>
  <c r="B647" i="7"/>
  <c r="A647" i="7"/>
  <c r="B641" i="7"/>
  <c r="A641" i="7"/>
  <c r="B638" i="7"/>
  <c r="A638" i="7"/>
  <c r="B635" i="7"/>
  <c r="A635" i="7"/>
  <c r="B633" i="7"/>
  <c r="B637" i="7" s="1"/>
  <c r="B640" i="7" s="1"/>
  <c r="B643" i="7" s="1"/>
  <c r="B649" i="7" s="1"/>
  <c r="B632" i="7"/>
  <c r="B636" i="7" s="1"/>
  <c r="B639" i="7" s="1"/>
  <c r="B642" i="7" s="1"/>
  <c r="B648" i="7" s="1"/>
  <c r="B631" i="7"/>
  <c r="A631" i="7"/>
  <c r="B628" i="7"/>
  <c r="A628" i="7"/>
  <c r="H625" i="7"/>
  <c r="H626" i="7"/>
  <c r="H627" i="7"/>
  <c r="H624" i="7"/>
  <c r="B622" i="7"/>
  <c r="A622" i="7"/>
  <c r="B621" i="7"/>
  <c r="H641" i="7" l="1"/>
  <c r="H631" i="7"/>
  <c r="F187" i="4" s="1"/>
  <c r="J187" i="4" s="1"/>
  <c r="F189" i="4"/>
  <c r="J189" i="4" s="1"/>
  <c r="H651" i="7"/>
  <c r="H652" i="7" s="1"/>
  <c r="H647" i="7" s="1"/>
  <c r="H655" i="7" s="1"/>
  <c r="H659" i="7" s="1"/>
  <c r="H653" i="7" s="1"/>
  <c r="F193" i="4" s="1"/>
  <c r="J193" i="4" s="1"/>
  <c r="H622" i="7"/>
  <c r="F185" i="4" s="1"/>
  <c r="J185" i="4" s="1"/>
  <c r="F186" i="4"/>
  <c r="J186" i="4" s="1"/>
  <c r="I200" i="6"/>
  <c r="I199" i="6"/>
  <c r="I198" i="6"/>
  <c r="I197" i="6"/>
  <c r="I196" i="6"/>
  <c r="I189" i="6"/>
  <c r="I188" i="6"/>
  <c r="I187" i="6"/>
  <c r="I186" i="6"/>
  <c r="I185" i="6"/>
  <c r="I184" i="6"/>
  <c r="I183" i="6"/>
  <c r="I182" i="6"/>
  <c r="I181" i="6"/>
  <c r="I180" i="6"/>
  <c r="I91" i="6"/>
  <c r="I71" i="6"/>
  <c r="F86" i="6"/>
  <c r="I86" i="6" s="1"/>
  <c r="F84" i="6"/>
  <c r="I84" i="6" s="1"/>
  <c r="F83" i="6"/>
  <c r="I83" i="6" s="1"/>
  <c r="I87" i="6" l="1"/>
  <c r="I99" i="6" s="1"/>
  <c r="F190" i="4"/>
  <c r="J190" i="4" s="1"/>
  <c r="F697" i="7"/>
  <c r="I211" i="6"/>
  <c r="I190" i="6"/>
  <c r="F192" i="4"/>
  <c r="J192" i="4" s="1"/>
  <c r="H300" i="7"/>
  <c r="H303" i="7" s="1"/>
  <c r="H305" i="7" s="1"/>
  <c r="F279" i="7"/>
  <c r="H717" i="7"/>
  <c r="H716" i="7"/>
  <c r="H715" i="7"/>
  <c r="H714" i="7"/>
  <c r="B713" i="7"/>
  <c r="A713" i="7"/>
  <c r="G713" i="7"/>
  <c r="G710" i="7"/>
  <c r="B710" i="7"/>
  <c r="A710" i="7"/>
  <c r="H711" i="7"/>
  <c r="H201" i="7"/>
  <c r="H203" i="7"/>
  <c r="H202" i="7"/>
  <c r="E200" i="7"/>
  <c r="H200" i="7" s="1"/>
  <c r="F700" i="7" l="1"/>
  <c r="H700" i="7" s="1"/>
  <c r="H698" i="7" s="1"/>
  <c r="F206" i="4" s="1"/>
  <c r="J206" i="4" s="1"/>
  <c r="F699" i="7"/>
  <c r="H697" i="7"/>
  <c r="H695" i="7" s="1"/>
  <c r="F205" i="4" s="1"/>
  <c r="J205" i="4" s="1"/>
  <c r="J207" i="4" s="1"/>
  <c r="Q18" i="3" s="1"/>
  <c r="H713" i="7"/>
  <c r="F212" i="4" s="1"/>
  <c r="J212" i="4" s="1"/>
  <c r="B181" i="7"/>
  <c r="G75" i="7"/>
  <c r="A75" i="7"/>
  <c r="B75" i="7"/>
  <c r="B72" i="7"/>
  <c r="A72" i="7"/>
  <c r="G72" i="7"/>
  <c r="B63" i="7"/>
  <c r="H79" i="7" l="1"/>
  <c r="H75" i="7" s="1"/>
  <c r="H82" i="7"/>
  <c r="H86" i="7"/>
  <c r="H91" i="7" s="1"/>
  <c r="H138" i="7"/>
  <c r="H137" i="7"/>
  <c r="H136" i="7"/>
  <c r="H135" i="7"/>
  <c r="H134" i="7"/>
  <c r="H133" i="7"/>
  <c r="B140" i="7"/>
  <c r="G140" i="7"/>
  <c r="J29" i="4" l="1"/>
  <c r="J30" i="4" s="1"/>
  <c r="Q8" i="3" s="1"/>
  <c r="H564" i="7"/>
  <c r="H484" i="7" l="1"/>
  <c r="H465" i="7"/>
  <c r="H464" i="7"/>
  <c r="H463" i="7"/>
  <c r="H462" i="7"/>
  <c r="E427" i="7"/>
  <c r="H427" i="7" s="1"/>
  <c r="H425" i="7" s="1"/>
  <c r="B447" i="7"/>
  <c r="A439" i="7"/>
  <c r="B439" i="7"/>
  <c r="H443" i="7"/>
  <c r="H446" i="7" s="1"/>
  <c r="H439" i="7" s="1"/>
  <c r="G439" i="7"/>
  <c r="F421" i="7"/>
  <c r="H421" i="7" s="1"/>
  <c r="H424" i="7" s="1"/>
  <c r="B419" i="7"/>
  <c r="A419" i="7"/>
  <c r="A407" i="7"/>
  <c r="H411" i="7"/>
  <c r="H410" i="7"/>
  <c r="H409" i="7"/>
  <c r="B407" i="7"/>
  <c r="B404" i="7"/>
  <c r="A413" i="7"/>
  <c r="B413" i="7"/>
  <c r="G413" i="7"/>
  <c r="G417" i="7"/>
  <c r="A404" i="7"/>
  <c r="H406" i="7"/>
  <c r="H404" i="7" s="1"/>
  <c r="F122" i="4" s="1"/>
  <c r="J122" i="4" s="1"/>
  <c r="A401" i="7"/>
  <c r="A398" i="7"/>
  <c r="A383" i="7"/>
  <c r="A376" i="7"/>
  <c r="A373" i="7"/>
  <c r="A364" i="7"/>
  <c r="H403" i="7"/>
  <c r="F402" i="7"/>
  <c r="A113" i="6"/>
  <c r="I106" i="6"/>
  <c r="I108" i="6"/>
  <c r="I110" i="6"/>
  <c r="I9" i="6"/>
  <c r="I10" i="6"/>
  <c r="I11" i="6"/>
  <c r="I12" i="6"/>
  <c r="I13" i="6"/>
  <c r="I14" i="6"/>
  <c r="I15" i="6"/>
  <c r="I16" i="6"/>
  <c r="I17" i="6"/>
  <c r="I18" i="6"/>
  <c r="E109" i="6"/>
  <c r="I109" i="6" s="1"/>
  <c r="I114" i="6" l="1"/>
  <c r="I19" i="6"/>
  <c r="H460" i="7"/>
  <c r="H419" i="7"/>
  <c r="F125" i="4" s="1"/>
  <c r="J125" i="4" s="1"/>
  <c r="H412" i="7"/>
  <c r="H407" i="7" s="1"/>
  <c r="F123" i="4" s="1"/>
  <c r="J123" i="4" s="1"/>
  <c r="F417" i="7"/>
  <c r="H417" i="7" s="1"/>
  <c r="B102" i="6" l="1"/>
  <c r="H400" i="7"/>
  <c r="H398" i="7" s="1"/>
  <c r="B398" i="7"/>
  <c r="H396" i="7"/>
  <c r="H390" i="7"/>
  <c r="H389" i="7"/>
  <c r="H392" i="7"/>
  <c r="H394" i="7"/>
  <c r="H387" i="7"/>
  <c r="H386" i="7"/>
  <c r="H378" i="7"/>
  <c r="B383" i="7"/>
  <c r="H379" i="7"/>
  <c r="B376" i="7"/>
  <c r="H375" i="7"/>
  <c r="H366" i="7"/>
  <c r="H365" i="7"/>
  <c r="F374" i="7"/>
  <c r="E374" i="7"/>
  <c r="D374" i="7"/>
  <c r="B373" i="7"/>
  <c r="G370" i="7"/>
  <c r="A370" i="7"/>
  <c r="B370" i="7"/>
  <c r="B364" i="7"/>
  <c r="A361" i="7"/>
  <c r="B361" i="7"/>
  <c r="F120" i="4" l="1"/>
  <c r="J120" i="4" s="1"/>
  <c r="F416" i="7"/>
  <c r="H416" i="7" s="1"/>
  <c r="H397" i="7"/>
  <c r="H383" i="7" s="1"/>
  <c r="F119" i="4" s="1"/>
  <c r="J119" i="4" s="1"/>
  <c r="H380" i="7"/>
  <c r="H382" i="7" s="1"/>
  <c r="H376" i="7" s="1"/>
  <c r="F118" i="4" s="1"/>
  <c r="J118" i="4" s="1"/>
  <c r="F257" i="6"/>
  <c r="F258" i="6"/>
  <c r="F259" i="6"/>
  <c r="F256" i="6"/>
  <c r="G599" i="7"/>
  <c r="H601" i="7"/>
  <c r="F175" i="4" s="1"/>
  <c r="J175" i="4" s="1"/>
  <c r="H256" i="6" l="1"/>
  <c r="G256" i="6"/>
  <c r="I256" i="6" s="1"/>
  <c r="H259" i="6"/>
  <c r="H258" i="6"/>
  <c r="H257" i="6"/>
  <c r="G257" i="6"/>
  <c r="I257" i="6" s="1"/>
  <c r="G259" i="6"/>
  <c r="I259" i="6" s="1"/>
  <c r="G258" i="6"/>
  <c r="I258" i="6" s="1"/>
  <c r="B618" i="7"/>
  <c r="B613" i="7"/>
  <c r="A618" i="7"/>
  <c r="A613" i="7"/>
  <c r="B610" i="7"/>
  <c r="B607" i="7"/>
  <c r="A610" i="7"/>
  <c r="A607" i="7"/>
  <c r="B604" i="7"/>
  <c r="A604" i="7"/>
  <c r="B602" i="7"/>
  <c r="A602" i="7"/>
  <c r="B599" i="7"/>
  <c r="A599" i="7"/>
  <c r="B596" i="7"/>
  <c r="A596" i="7"/>
  <c r="B593" i="7"/>
  <c r="A593" i="7"/>
  <c r="A590" i="7"/>
  <c r="B584" i="7"/>
  <c r="B587" i="7"/>
  <c r="A587" i="7"/>
  <c r="G584" i="7"/>
  <c r="A584" i="7"/>
  <c r="B590" i="7"/>
  <c r="A582" i="7"/>
  <c r="A580" i="7"/>
  <c r="A578" i="7"/>
  <c r="A576" i="7"/>
  <c r="A574" i="7"/>
  <c r="A572" i="7"/>
  <c r="B569" i="7"/>
  <c r="A569" i="7"/>
  <c r="B349" i="7"/>
  <c r="A349" i="7"/>
  <c r="G349" i="7"/>
  <c r="G296" i="7"/>
  <c r="B296" i="7"/>
  <c r="B277" i="7"/>
  <c r="A296" i="7"/>
  <c r="A277" i="7"/>
  <c r="G181" i="7"/>
  <c r="G178" i="7"/>
  <c r="G175" i="7"/>
  <c r="G172" i="7"/>
  <c r="B188" i="7"/>
  <c r="B178" i="7"/>
  <c r="B175" i="7"/>
  <c r="B172" i="7"/>
  <c r="A181" i="7"/>
  <c r="A178" i="7"/>
  <c r="A175" i="7"/>
  <c r="A172" i="7"/>
  <c r="B131" i="7"/>
  <c r="A131" i="7"/>
  <c r="H163" i="7" l="1"/>
  <c r="H155" i="7"/>
  <c r="H162" i="7"/>
  <c r="H161" i="7"/>
  <c r="H160" i="7"/>
  <c r="H159" i="7"/>
  <c r="H158" i="7"/>
  <c r="H151" i="7"/>
  <c r="H152" i="7"/>
  <c r="H153" i="7"/>
  <c r="H154" i="7"/>
  <c r="H150" i="7"/>
  <c r="H124" i="7"/>
  <c r="H123" i="7"/>
  <c r="H122" i="7"/>
  <c r="H121" i="7"/>
  <c r="H120" i="7"/>
  <c r="H119" i="7"/>
  <c r="B64" i="7"/>
  <c r="B51" i="7"/>
  <c r="G51" i="7"/>
  <c r="H118" i="7" l="1"/>
  <c r="H127" i="7" s="1"/>
  <c r="H93" i="7"/>
  <c r="E57" i="7" l="1"/>
  <c r="H57" i="7" s="1"/>
  <c r="A8" i="7" l="1"/>
  <c r="D16" i="4"/>
  <c r="B10" i="7" s="1"/>
  <c r="I47" i="6"/>
  <c r="I42" i="6"/>
  <c r="I41" i="6"/>
  <c r="I43" i="6"/>
  <c r="I44" i="6"/>
  <c r="I45" i="6"/>
  <c r="I46" i="6"/>
  <c r="I48" i="6"/>
  <c r="I49" i="6"/>
  <c r="I50" i="6"/>
  <c r="I51" i="6"/>
  <c r="I52" i="6"/>
  <c r="I53" i="6"/>
  <c r="I55" i="6" l="1"/>
  <c r="J16" i="4" s="1"/>
  <c r="B107" i="7" l="1"/>
  <c r="A107" i="7"/>
  <c r="G61" i="7"/>
  <c r="B61" i="7"/>
  <c r="B54" i="7"/>
  <c r="H459" i="7" l="1"/>
  <c r="I35" i="6" l="1"/>
  <c r="I28" i="6"/>
  <c r="I27" i="6"/>
  <c r="I23" i="6"/>
  <c r="I22" i="6"/>
  <c r="I24" i="6" s="1"/>
  <c r="I33" i="6"/>
  <c r="I34" i="6"/>
  <c r="I32" i="6"/>
  <c r="I36" i="6" l="1"/>
  <c r="I29" i="6"/>
  <c r="I37" i="6" s="1"/>
  <c r="J26" i="4" l="1"/>
  <c r="Q7" i="3" s="1"/>
  <c r="J168" i="4"/>
  <c r="A4" i="3"/>
  <c r="B19" i="3"/>
  <c r="B17" i="3"/>
  <c r="B16" i="3"/>
  <c r="B15" i="3"/>
  <c r="B14" i="3"/>
  <c r="B13" i="3"/>
  <c r="B12" i="3"/>
  <c r="B11" i="3"/>
  <c r="B10" i="3"/>
  <c r="B9" i="3"/>
  <c r="B8" i="3"/>
  <c r="A4" i="8"/>
  <c r="A4" i="7"/>
  <c r="H330" i="7"/>
  <c r="H331" i="7"/>
  <c r="H332" i="7"/>
  <c r="H333" i="7"/>
  <c r="H334" i="7"/>
  <c r="H336" i="7"/>
  <c r="H337" i="7"/>
  <c r="H338" i="7"/>
  <c r="H339" i="7"/>
  <c r="H340" i="7"/>
  <c r="H329" i="7"/>
  <c r="H328" i="7"/>
  <c r="F106" i="4"/>
  <c r="J106" i="4" s="1"/>
  <c r="F335" i="7"/>
  <c r="H335" i="7" s="1"/>
  <c r="H327" i="7" l="1"/>
  <c r="F104" i="4" s="1"/>
  <c r="J104" i="4" s="1"/>
  <c r="H543" i="7"/>
  <c r="F152" i="4" s="1"/>
  <c r="J152" i="4" s="1"/>
  <c r="H438" i="7"/>
  <c r="H437" i="7" s="1"/>
  <c r="F130" i="4" s="1"/>
  <c r="J130" i="4" s="1"/>
  <c r="H372" i="7"/>
  <c r="H347" i="7"/>
  <c r="F107" i="4" s="1"/>
  <c r="J107" i="4" s="1"/>
  <c r="H345" i="7"/>
  <c r="H252" i="7"/>
  <c r="F81" i="4" s="1"/>
  <c r="J81" i="4" s="1"/>
  <c r="H212" i="7"/>
  <c r="F75" i="4" s="1"/>
  <c r="J75" i="4" s="1"/>
  <c r="H245" i="7"/>
  <c r="F80" i="4" s="1"/>
  <c r="J80" i="4" s="1"/>
  <c r="H233" i="7"/>
  <c r="F78" i="4" s="1"/>
  <c r="J78" i="4" s="1"/>
  <c r="H226" i="7"/>
  <c r="F77" i="4" s="1"/>
  <c r="J77" i="4" s="1"/>
  <c r="H219" i="7"/>
  <c r="F76" i="4" s="1"/>
  <c r="J76" i="4" s="1"/>
  <c r="H703" i="7"/>
  <c r="D561" i="7"/>
  <c r="D560" i="7"/>
  <c r="H560" i="7" s="1"/>
  <c r="H786" i="7"/>
  <c r="H784" i="7" s="1"/>
  <c r="F214" i="4" s="1"/>
  <c r="J214" i="4" s="1"/>
  <c r="G784" i="7"/>
  <c r="G702" i="7"/>
  <c r="B702" i="7"/>
  <c r="H551" i="7"/>
  <c r="H545" i="7" s="1"/>
  <c r="F153" i="4" s="1"/>
  <c r="J153" i="4" s="1"/>
  <c r="G562" i="7"/>
  <c r="H522" i="7"/>
  <c r="F148" i="4" s="1"/>
  <c r="J148" i="4" s="1"/>
  <c r="H315" i="7"/>
  <c r="H314" i="7"/>
  <c r="H313" i="7"/>
  <c r="H530" i="7"/>
  <c r="F149" i="4" s="1"/>
  <c r="J149" i="4" s="1"/>
  <c r="H536" i="7"/>
  <c r="F150" i="4" s="1"/>
  <c r="J150" i="4" s="1"/>
  <c r="H519" i="7"/>
  <c r="F147" i="4" s="1"/>
  <c r="J147" i="4" s="1"/>
  <c r="G519" i="7"/>
  <c r="B519" i="7"/>
  <c r="A519" i="7"/>
  <c r="G556" i="7"/>
  <c r="G552" i="7"/>
  <c r="G545" i="7"/>
  <c r="G543" i="7"/>
  <c r="G540" i="7"/>
  <c r="G536" i="7"/>
  <c r="G530" i="7"/>
  <c r="G522" i="7"/>
  <c r="G514" i="7"/>
  <c r="H507" i="7"/>
  <c r="H481" i="7"/>
  <c r="D494" i="7" s="1"/>
  <c r="H494" i="7" s="1"/>
  <c r="B481" i="7"/>
  <c r="A481" i="7"/>
  <c r="H474" i="7"/>
  <c r="H473" i="7"/>
  <c r="H472" i="7"/>
  <c r="G501" i="7"/>
  <c r="G490" i="7"/>
  <c r="G485" i="7"/>
  <c r="G475" i="7"/>
  <c r="G470" i="7"/>
  <c r="G466" i="7"/>
  <c r="G456" i="7"/>
  <c r="B784" i="7"/>
  <c r="A784" i="7"/>
  <c r="A702" i="7"/>
  <c r="G34" i="7"/>
  <c r="G30" i="7"/>
  <c r="G27" i="7"/>
  <c r="G24" i="7"/>
  <c r="G21" i="7"/>
  <c r="G20" i="7"/>
  <c r="G16" i="7"/>
  <c r="H702" i="7" l="1"/>
  <c r="F210" i="4" s="1"/>
  <c r="J210" i="4" s="1"/>
  <c r="F142" i="4"/>
  <c r="J142" i="4" s="1"/>
  <c r="H562" i="7"/>
  <c r="H561" i="7"/>
  <c r="H310" i="7"/>
  <c r="F99" i="4" l="1"/>
  <c r="J99" i="4" s="1"/>
  <c r="F157" i="4"/>
  <c r="J157" i="4" s="1"/>
  <c r="H712" i="7"/>
  <c r="H710" i="7" s="1"/>
  <c r="F211" i="4" s="1"/>
  <c r="J211" i="4" s="1"/>
  <c r="J216" i="4" s="1"/>
  <c r="Q19" i="3" s="1"/>
  <c r="H436" i="7"/>
  <c r="H431" i="7"/>
  <c r="H428" i="7"/>
  <c r="F127" i="4" s="1"/>
  <c r="J127" i="4" s="1"/>
  <c r="G401" i="7"/>
  <c r="B401" i="7"/>
  <c r="H373" i="7"/>
  <c r="F117" i="4" s="1"/>
  <c r="J117" i="4" s="1"/>
  <c r="B354" i="7"/>
  <c r="G437" i="7"/>
  <c r="G434" i="7"/>
  <c r="G431" i="7"/>
  <c r="G428" i="7"/>
  <c r="G354" i="7"/>
  <c r="G316" i="7"/>
  <c r="G351" i="7"/>
  <c r="G347" i="7"/>
  <c r="G345" i="7"/>
  <c r="G341" i="7"/>
  <c r="G327" i="7"/>
  <c r="G310" i="7"/>
  <c r="H325" i="7"/>
  <c r="H324" i="7"/>
  <c r="H323" i="7"/>
  <c r="H322" i="7"/>
  <c r="H321" i="7"/>
  <c r="H320" i="7"/>
  <c r="H319" i="7"/>
  <c r="E318" i="7"/>
  <c r="H318" i="7" s="1"/>
  <c r="F282" i="7"/>
  <c r="H282" i="7" s="1"/>
  <c r="B263" i="7"/>
  <c r="A263" i="7"/>
  <c r="H263" i="7"/>
  <c r="F84" i="4" s="1"/>
  <c r="J84" i="4" s="1"/>
  <c r="G263" i="7"/>
  <c r="G240" i="7"/>
  <c r="H240" i="7"/>
  <c r="F79" i="4" s="1"/>
  <c r="J79" i="4" s="1"/>
  <c r="B240" i="7"/>
  <c r="A240" i="7"/>
  <c r="G260" i="7"/>
  <c r="G257" i="7"/>
  <c r="G252" i="7"/>
  <c r="G245" i="7"/>
  <c r="G233" i="7"/>
  <c r="G226" i="7"/>
  <c r="G219" i="7"/>
  <c r="G212" i="7"/>
  <c r="B210" i="7"/>
  <c r="E279" i="7" l="1"/>
  <c r="H298" i="7"/>
  <c r="F128" i="4"/>
  <c r="J128" i="4" s="1"/>
  <c r="H316" i="7"/>
  <c r="H401" i="7"/>
  <c r="F121" i="4" s="1"/>
  <c r="J121" i="4" s="1"/>
  <c r="B260" i="7"/>
  <c r="B257" i="7"/>
  <c r="B252" i="7"/>
  <c r="B245" i="7"/>
  <c r="B233" i="7"/>
  <c r="B226" i="7"/>
  <c r="B219" i="7"/>
  <c r="B212" i="7"/>
  <c r="A260" i="7"/>
  <c r="A257" i="7"/>
  <c r="A252" i="7"/>
  <c r="A245" i="7"/>
  <c r="A233" i="7"/>
  <c r="A226" i="7"/>
  <c r="A219" i="7"/>
  <c r="A212" i="7"/>
  <c r="H260" i="7"/>
  <c r="F83" i="4" s="1"/>
  <c r="J83" i="4" s="1"/>
  <c r="H257" i="7"/>
  <c r="F82" i="4" s="1"/>
  <c r="J82" i="4" s="1"/>
  <c r="H207" i="7"/>
  <c r="H206" i="7"/>
  <c r="H205" i="7"/>
  <c r="H199" i="7"/>
  <c r="H198" i="7"/>
  <c r="H197" i="7"/>
  <c r="E190" i="7"/>
  <c r="H171" i="7"/>
  <c r="H167" i="7"/>
  <c r="H168" i="7"/>
  <c r="H169" i="7"/>
  <c r="H170" i="7"/>
  <c r="H166" i="7"/>
  <c r="H147" i="7"/>
  <c r="H143" i="7"/>
  <c r="H144" i="7"/>
  <c r="H145" i="7"/>
  <c r="H146" i="7"/>
  <c r="H142" i="7"/>
  <c r="H117" i="7"/>
  <c r="H279" i="7" l="1"/>
  <c r="H277" i="7" s="1"/>
  <c r="F90" i="4" s="1"/>
  <c r="J90" i="4" s="1"/>
  <c r="H140" i="7"/>
  <c r="F63" i="4" s="1"/>
  <c r="J63" i="4" s="1"/>
  <c r="F100" i="4"/>
  <c r="J100" i="4" s="1"/>
  <c r="H204" i="7"/>
  <c r="F72" i="4" s="1"/>
  <c r="J72" i="4" s="1"/>
  <c r="H342" i="7"/>
  <c r="H148" i="7"/>
  <c r="H156" i="7"/>
  <c r="F65" i="4" s="1"/>
  <c r="J65" i="4" s="1"/>
  <c r="H164" i="7"/>
  <c r="F66" i="4" s="1"/>
  <c r="J66" i="4" s="1"/>
  <c r="H113" i="7"/>
  <c r="H114" i="7"/>
  <c r="H115" i="7"/>
  <c r="H116" i="7"/>
  <c r="H112" i="7"/>
  <c r="H47" i="7"/>
  <c r="H46" i="7"/>
  <c r="G306" i="7"/>
  <c r="G302" i="7"/>
  <c r="G300" i="7"/>
  <c r="G272" i="7"/>
  <c r="G267" i="7"/>
  <c r="G210" i="7"/>
  <c r="G208" i="7"/>
  <c r="G204" i="7"/>
  <c r="G188" i="7"/>
  <c r="G164" i="7"/>
  <c r="G156" i="7"/>
  <c r="G148" i="7"/>
  <c r="G125" i="7"/>
  <c r="G109" i="7"/>
  <c r="G105" i="7"/>
  <c r="G102" i="7"/>
  <c r="G93" i="7"/>
  <c r="G90" i="7"/>
  <c r="G86" i="7"/>
  <c r="G80" i="7"/>
  <c r="G64" i="7"/>
  <c r="G54" i="7"/>
  <c r="G48" i="7"/>
  <c r="G44" i="7"/>
  <c r="E36" i="7"/>
  <c r="F36" i="7"/>
  <c r="B34" i="7"/>
  <c r="H32" i="7"/>
  <c r="B30" i="7"/>
  <c r="H29" i="7"/>
  <c r="H27" i="7" s="1"/>
  <c r="H26" i="7"/>
  <c r="H24" i="7" s="1"/>
  <c r="H23" i="7"/>
  <c r="H21" i="7" s="1"/>
  <c r="E174" i="7" l="1"/>
  <c r="H174" i="7" s="1"/>
  <c r="H172" i="7" s="1"/>
  <c r="F67" i="4" s="1"/>
  <c r="J67" i="4" s="1"/>
  <c r="F64" i="4"/>
  <c r="J64" i="4" s="1"/>
  <c r="E180" i="7"/>
  <c r="E177" i="7"/>
  <c r="H131" i="7"/>
  <c r="F62" i="4" s="1"/>
  <c r="J62" i="4" s="1"/>
  <c r="H111" i="7"/>
  <c r="E53" i="7"/>
  <c r="H53" i="7" s="1"/>
  <c r="H36" i="7"/>
  <c r="B27" i="7"/>
  <c r="E19" i="7"/>
  <c r="H19" i="7" s="1"/>
  <c r="H18" i="7"/>
  <c r="B564" i="7"/>
  <c r="B562" i="7"/>
  <c r="B558" i="7"/>
  <c r="B556" i="7"/>
  <c r="B552" i="7"/>
  <c r="B545" i="7"/>
  <c r="B543" i="7"/>
  <c r="B540" i="7"/>
  <c r="B536" i="7"/>
  <c r="B530" i="7"/>
  <c r="A564" i="7"/>
  <c r="A562" i="7"/>
  <c r="A558" i="7"/>
  <c r="A556" i="7"/>
  <c r="A552" i="7"/>
  <c r="A545" i="7"/>
  <c r="A543" i="7"/>
  <c r="A540" i="7"/>
  <c r="A536" i="7"/>
  <c r="A530" i="7"/>
  <c r="B522" i="7"/>
  <c r="B514" i="7"/>
  <c r="B501" i="7"/>
  <c r="B490" i="7"/>
  <c r="B485" i="7"/>
  <c r="B475" i="7"/>
  <c r="B470" i="7"/>
  <c r="B466" i="7"/>
  <c r="B460" i="7"/>
  <c r="B456" i="7"/>
  <c r="B99" i="7"/>
  <c r="B93" i="7"/>
  <c r="B90" i="7"/>
  <c r="B86" i="7"/>
  <c r="B80" i="7"/>
  <c r="A522" i="7"/>
  <c r="A514" i="7"/>
  <c r="A501" i="7"/>
  <c r="A490" i="7"/>
  <c r="A485" i="7"/>
  <c r="A475" i="7"/>
  <c r="A470" i="7"/>
  <c r="A466" i="7"/>
  <c r="A460" i="7"/>
  <c r="A456" i="7"/>
  <c r="A451" i="7"/>
  <c r="B437" i="7"/>
  <c r="B434" i="7"/>
  <c r="B431" i="7"/>
  <c r="B428" i="7"/>
  <c r="B425" i="7"/>
  <c r="A437" i="7"/>
  <c r="A434" i="7"/>
  <c r="A431" i="7"/>
  <c r="A428" i="7"/>
  <c r="A425" i="7"/>
  <c r="A354" i="7"/>
  <c r="A353" i="7"/>
  <c r="B351" i="7"/>
  <c r="B347" i="7"/>
  <c r="B345" i="7"/>
  <c r="B341" i="7"/>
  <c r="B327" i="7"/>
  <c r="A351" i="7"/>
  <c r="A347" i="7"/>
  <c r="A345" i="7"/>
  <c r="A341" i="7"/>
  <c r="A327" i="7"/>
  <c r="A326" i="7"/>
  <c r="B316" i="7"/>
  <c r="B310" i="7"/>
  <c r="B306" i="7"/>
  <c r="B302" i="7"/>
  <c r="B300" i="7"/>
  <c r="B272" i="7"/>
  <c r="B267" i="7"/>
  <c r="A316" i="7"/>
  <c r="A310" i="7"/>
  <c r="A306" i="7"/>
  <c r="A302" i="7"/>
  <c r="A300" i="7"/>
  <c r="A272" i="7"/>
  <c r="A267" i="7"/>
  <c r="A266" i="7"/>
  <c r="B208" i="7"/>
  <c r="B204" i="7"/>
  <c r="B164" i="7"/>
  <c r="B156" i="7"/>
  <c r="B148" i="7"/>
  <c r="B125" i="7"/>
  <c r="B109" i="7"/>
  <c r="B105" i="7"/>
  <c r="B102" i="7"/>
  <c r="H182" i="7" l="1"/>
  <c r="H177" i="7"/>
  <c r="H175" i="7" s="1"/>
  <c r="F68" i="4" s="1"/>
  <c r="J68" i="4" s="1"/>
  <c r="H180" i="7"/>
  <c r="H178" i="7" s="1"/>
  <c r="F69" i="4" s="1"/>
  <c r="J69" i="4" s="1"/>
  <c r="H109" i="7"/>
  <c r="H126" i="7"/>
  <c r="H130" i="7" s="1"/>
  <c r="H51" i="7"/>
  <c r="A210" i="7"/>
  <c r="A208" i="7"/>
  <c r="A204" i="7"/>
  <c r="A188" i="7"/>
  <c r="A164" i="7"/>
  <c r="A156" i="7"/>
  <c r="A148" i="7"/>
  <c r="A140" i="7"/>
  <c r="A125" i="7"/>
  <c r="A109" i="7"/>
  <c r="A105" i="7"/>
  <c r="A102" i="7"/>
  <c r="A101" i="7"/>
  <c r="A99" i="7"/>
  <c r="A93" i="7"/>
  <c r="A90" i="7"/>
  <c r="A86" i="7"/>
  <c r="A83" i="7"/>
  <c r="A80" i="7"/>
  <c r="A64" i="7"/>
  <c r="A63" i="7"/>
  <c r="A48" i="7"/>
  <c r="A44" i="7"/>
  <c r="B48" i="7"/>
  <c r="B44" i="7"/>
  <c r="B20" i="7"/>
  <c r="B24" i="7"/>
  <c r="B21" i="7"/>
  <c r="B16" i="7"/>
  <c r="G12" i="7"/>
  <c r="B12" i="7"/>
  <c r="B8" i="7"/>
  <c r="H104" i="7" l="1"/>
  <c r="H102" i="7" s="1"/>
  <c r="F60" i="4"/>
  <c r="J60" i="4" s="1"/>
  <c r="H184" i="7"/>
  <c r="H183" i="7"/>
  <c r="H125" i="7"/>
  <c r="F61" i="4" s="1"/>
  <c r="J61" i="4" s="1"/>
  <c r="H558" i="7"/>
  <c r="H468" i="7" s="1"/>
  <c r="H542" i="7"/>
  <c r="H540" i="7" s="1"/>
  <c r="H516" i="7"/>
  <c r="H518" i="7" s="1"/>
  <c r="H514" i="7" s="1"/>
  <c r="H513" i="7"/>
  <c r="H489" i="7"/>
  <c r="H485" i="7" s="1"/>
  <c r="H456" i="7"/>
  <c r="F137" i="4" s="1"/>
  <c r="J137" i="4" s="1"/>
  <c r="H455" i="7"/>
  <c r="H434" i="7"/>
  <c r="H370" i="7"/>
  <c r="H275" i="7"/>
  <c r="H196" i="7"/>
  <c r="H195" i="7"/>
  <c r="H194" i="7"/>
  <c r="H193" i="7"/>
  <c r="H192" i="7"/>
  <c r="H191" i="7"/>
  <c r="H190" i="7"/>
  <c r="H48" i="7"/>
  <c r="H106" i="7" l="1"/>
  <c r="H105" i="7" s="1"/>
  <c r="F58" i="4" s="1"/>
  <c r="J58" i="4" s="1"/>
  <c r="F57" i="4"/>
  <c r="J57" i="4" s="1"/>
  <c r="H492" i="7"/>
  <c r="E492" i="7"/>
  <c r="H451" i="7"/>
  <c r="H188" i="7"/>
  <c r="F71" i="4" s="1"/>
  <c r="J71" i="4" s="1"/>
  <c r="H185" i="7"/>
  <c r="H187" i="7" s="1"/>
  <c r="F138" i="4"/>
  <c r="J138" i="4" s="1"/>
  <c r="H467" i="7"/>
  <c r="H469" i="7" s="1"/>
  <c r="H466" i="7" s="1"/>
  <c r="F116" i="4"/>
  <c r="J116" i="4" s="1"/>
  <c r="F415" i="7"/>
  <c r="H415" i="7" s="1"/>
  <c r="H367" i="7"/>
  <c r="F156" i="4"/>
  <c r="J156" i="4" s="1"/>
  <c r="F143" i="4"/>
  <c r="J143" i="4" s="1"/>
  <c r="F129" i="4"/>
  <c r="J129" i="4" s="1"/>
  <c r="F97" i="4"/>
  <c r="J97" i="4" s="1"/>
  <c r="F146" i="4"/>
  <c r="J146" i="4" s="1"/>
  <c r="F151" i="4"/>
  <c r="J151" i="4" s="1"/>
  <c r="H354" i="7"/>
  <c r="F113" i="4" s="1"/>
  <c r="J113" i="4" s="1"/>
  <c r="G460" i="7"/>
  <c r="H553" i="7"/>
  <c r="H555" i="7" s="1"/>
  <c r="H552" i="7" s="1"/>
  <c r="F154" i="4" s="1"/>
  <c r="J154" i="4" s="1"/>
  <c r="H44" i="7"/>
  <c r="H344" i="7"/>
  <c r="H341" i="7" s="1"/>
  <c r="H470" i="7"/>
  <c r="H480" i="7"/>
  <c r="H475" i="7" s="1"/>
  <c r="H501" i="7"/>
  <c r="D495" i="7" s="1"/>
  <c r="H495" i="7" s="1"/>
  <c r="H16" i="7"/>
  <c r="F136" i="4" l="1"/>
  <c r="J136" i="4" s="1"/>
  <c r="E493" i="7"/>
  <c r="H493" i="7"/>
  <c r="H496" i="7" s="1"/>
  <c r="H418" i="7"/>
  <c r="H413" i="7" s="1"/>
  <c r="F124" i="4" s="1"/>
  <c r="J124" i="4" s="1"/>
  <c r="F140" i="4"/>
  <c r="J140" i="4" s="1"/>
  <c r="F126" i="4"/>
  <c r="J126" i="4" s="1"/>
  <c r="F145" i="4"/>
  <c r="J145" i="4" s="1"/>
  <c r="F105" i="4"/>
  <c r="J105" i="4" s="1"/>
  <c r="J110" i="4" s="1"/>
  <c r="Q14" i="3" s="1"/>
  <c r="F131" i="4"/>
  <c r="J131" i="4" s="1"/>
  <c r="E56" i="7"/>
  <c r="H56" i="7" s="1"/>
  <c r="H557" i="7"/>
  <c r="F95" i="4"/>
  <c r="J95" i="4" s="1"/>
  <c r="H108" i="7"/>
  <c r="H107" i="7" s="1"/>
  <c r="F59" i="4" s="1"/>
  <c r="J59" i="4" s="1"/>
  <c r="H211" i="7"/>
  <c r="H210" i="7" s="1"/>
  <c r="F74" i="4" s="1"/>
  <c r="J74" i="4" s="1"/>
  <c r="H209" i="7"/>
  <c r="H556" i="7" l="1"/>
  <c r="F155" i="4" s="1"/>
  <c r="J155" i="4" s="1"/>
  <c r="H567" i="7"/>
  <c r="H566" i="7" s="1"/>
  <c r="F159" i="4" s="1"/>
  <c r="J159" i="4" s="1"/>
  <c r="H62" i="7"/>
  <c r="H60" i="7"/>
  <c r="F141" i="4"/>
  <c r="J141" i="4" s="1"/>
  <c r="F139" i="4"/>
  <c r="J139" i="4" s="1"/>
  <c r="H208" i="7"/>
  <c r="F73" i="4" s="1"/>
  <c r="J73" i="4" s="1"/>
  <c r="H81" i="7"/>
  <c r="H80" i="7" s="1"/>
  <c r="H302" i="7"/>
  <c r="F96" i="4" s="1"/>
  <c r="J96" i="4" s="1"/>
  <c r="H271" i="7"/>
  <c r="H273" i="7"/>
  <c r="H276" i="7" s="1"/>
  <c r="H267" i="7" l="1"/>
  <c r="F88" i="4" s="1"/>
  <c r="J88" i="4" s="1"/>
  <c r="H272" i="7"/>
  <c r="F89" i="4" s="1"/>
  <c r="J89" i="4" s="1"/>
  <c r="H181" i="7"/>
  <c r="F70" i="4" s="1"/>
  <c r="J70" i="4" s="1"/>
  <c r="J85" i="4" s="1"/>
  <c r="Q12" i="3" s="1"/>
  <c r="H61" i="7"/>
  <c r="H90" i="7"/>
  <c r="H100" i="7"/>
  <c r="H99" i="7" s="1"/>
  <c r="H297" i="7" l="1"/>
  <c r="H299" i="7" s="1"/>
  <c r="H296" i="7" s="1"/>
  <c r="F94" i="4" s="1"/>
  <c r="J94" i="4" s="1"/>
  <c r="H280" i="7"/>
  <c r="F91" i="4" s="1"/>
  <c r="J91" i="4" s="1"/>
  <c r="H287" i="7"/>
  <c r="H288" i="7" s="1"/>
  <c r="H283" i="7" s="1"/>
  <c r="H291" i="7" l="1"/>
  <c r="F92" i="4"/>
  <c r="J92" i="4" s="1"/>
  <c r="H295" i="7" l="1"/>
  <c r="H289" i="7" s="1"/>
  <c r="F93" i="4" s="1"/>
  <c r="J93" i="4" s="1"/>
  <c r="J101" i="4" s="1"/>
  <c r="Q13" i="3" s="1"/>
  <c r="A135" i="6" l="1"/>
  <c r="J164" i="4" l="1"/>
  <c r="J166" i="4" l="1"/>
  <c r="J167" i="4"/>
  <c r="J165" i="4"/>
  <c r="J169" i="4"/>
  <c r="J182" i="4" l="1"/>
  <c r="Q17" i="3" s="1"/>
  <c r="H369" i="7"/>
  <c r="H364" i="7" l="1"/>
  <c r="F115" i="4" s="1"/>
  <c r="J115" i="4" s="1"/>
  <c r="J132" i="4" s="1"/>
  <c r="Q15" i="3" s="1"/>
  <c r="H500" i="7" l="1"/>
  <c r="H490" i="7" s="1"/>
  <c r="F144" i="4" s="1"/>
  <c r="J144" i="4" s="1"/>
  <c r="J160" i="4" s="1"/>
  <c r="Q16" i="3" s="1"/>
  <c r="D20" i="3" s="1"/>
  <c r="M20" i="3" l="1"/>
  <c r="P20" i="3"/>
  <c r="J218" i="4"/>
  <c r="J20" i="3"/>
  <c r="I20" i="3"/>
  <c r="L20" i="3"/>
  <c r="N20" i="3"/>
  <c r="O20" i="3"/>
  <c r="F20" i="3"/>
  <c r="E20" i="3"/>
  <c r="H20" i="3"/>
  <c r="K20" i="3"/>
  <c r="C20" i="3"/>
  <c r="G20" i="3"/>
  <c r="Q20" i="3"/>
  <c r="R18" i="3" s="1"/>
  <c r="R17" i="3" l="1"/>
  <c r="R15" i="3"/>
  <c r="R7" i="3"/>
  <c r="R9" i="3"/>
  <c r="R12" i="3"/>
  <c r="R13" i="3"/>
  <c r="R14" i="3"/>
  <c r="R8" i="3"/>
  <c r="R11" i="3"/>
  <c r="R19" i="3"/>
  <c r="R10" i="3"/>
  <c r="C21" i="3"/>
  <c r="D21" i="3" s="1"/>
  <c r="E21" i="3" s="1"/>
  <c r="F21" i="3" s="1"/>
  <c r="G21" i="3" s="1"/>
  <c r="H21" i="3" s="1"/>
  <c r="I21" i="3" s="1"/>
  <c r="J21" i="3" s="1"/>
  <c r="K21" i="3" s="1"/>
  <c r="L21" i="3" s="1"/>
  <c r="M21" i="3" s="1"/>
  <c r="N21" i="3" s="1"/>
  <c r="O21" i="3" s="1"/>
  <c r="P21" i="3" s="1"/>
  <c r="R16" i="3"/>
  <c r="R20" i="3" l="1"/>
</calcChain>
</file>

<file path=xl/sharedStrings.xml><?xml version="1.0" encoding="utf-8"?>
<sst xmlns="http://schemas.openxmlformats.org/spreadsheetml/2006/main" count="3272" uniqueCount="1030">
  <si>
    <t>SUBTOTAL</t>
  </si>
  <si>
    <t>m3</t>
  </si>
  <si>
    <t>M</t>
  </si>
  <si>
    <t>PREFEITURA MUNICIPAL DE CATALÃO</t>
  </si>
  <si>
    <t>SECRETARIA MUNICIPAL DE OBRAS</t>
  </si>
  <si>
    <t>ITEM</t>
  </si>
  <si>
    <t>DESCRIÇÃO</t>
  </si>
  <si>
    <t>UND</t>
  </si>
  <si>
    <t>QUANT.</t>
  </si>
  <si>
    <t>MATERIAL</t>
  </si>
  <si>
    <t>MÃO DE OBRA</t>
  </si>
  <si>
    <t>TOTAL</t>
  </si>
  <si>
    <t>AGETOP</t>
  </si>
  <si>
    <t>CÓDIGO</t>
  </si>
  <si>
    <t>GRUPO DE SERVIÇO</t>
  </si>
  <si>
    <t>MÊS 1</t>
  </si>
  <si>
    <t>MÊS 2</t>
  </si>
  <si>
    <t>1.1</t>
  </si>
  <si>
    <t>1.2</t>
  </si>
  <si>
    <t>VALOR DO SERVIÇO</t>
  </si>
  <si>
    <t>% DO SERVIÇO</t>
  </si>
  <si>
    <t>VALOR DO SERVIÇO EXECUTADO</t>
  </si>
  <si>
    <t>H</t>
  </si>
  <si>
    <t xml:space="preserve">LEONARDO MARTINS DE CASTRO TEIXEIRA </t>
  </si>
  <si>
    <t>SECRETÁRIO MUNICIPAL DE OBRAS</t>
  </si>
  <si>
    <t>ENGENHEIRO CIVIL</t>
  </si>
  <si>
    <t>SINAPI - I</t>
  </si>
  <si>
    <t xml:space="preserve">FONTE </t>
  </si>
  <si>
    <t xml:space="preserve">CÓDIGO </t>
  </si>
  <si>
    <t xml:space="preserve">SERVIÇOS </t>
  </si>
  <si>
    <t>IMPLANTAÇÃO DE ESTRUTURA DE DERIVAÇÃO EM 3 POSTES EXISTENTES</t>
  </si>
  <si>
    <t>SERVIÇOS</t>
  </si>
  <si>
    <t>POSTE/TRAFO - CAMINHÃO MUCK 12 TON. (MÍNIMO 4H/DIA)</t>
  </si>
  <si>
    <t xml:space="preserve">COTAÇÃO </t>
  </si>
  <si>
    <t>-</t>
  </si>
  <si>
    <t>SERVIÇO DE LINHA VIVA, MÍNIMO 5 HORAS</t>
  </si>
  <si>
    <t xml:space="preserve">SUBTOTAL SERVIÇOS </t>
  </si>
  <si>
    <t>DERIVAÇÃO  ATÉ CHAVE DE ILUMINAÇÃO EM POSTE</t>
  </si>
  <si>
    <t xml:space="preserve">DESCRIÇÃO </t>
  </si>
  <si>
    <t>COTAÇÃO</t>
  </si>
  <si>
    <t>CABO MULTIPLEXADO DE ALUMÍNIO, ISOLAÇÃO XLPE 1KV, #2X16,0+1X16mm², NEUTRO NÚ</t>
  </si>
  <si>
    <t>CHAVE DE ILUMINAÇÃO (QUADRO DE DISTRIBUIÇÃO)</t>
  </si>
  <si>
    <t>REFERÊNCIA: SINAP DEZEMBRO DE 2018 / AGETOP DEZEMBRO 2018</t>
  </si>
  <si>
    <t>SINAPI</t>
  </si>
  <si>
    <t>DISJUNTOR TIPO DIN/IEC, BIPOLAR 40 ATE 50A</t>
  </si>
  <si>
    <t>PRENSA CABOS TERMOPLÁSTICO 2"</t>
  </si>
  <si>
    <t>CONJUNTO DE ILUMINAÇÃO COMPOSTO POR POSTE METÁLICO GALVANIZADO TELECÔNICO RETO DE ENGASTAR, 12 METROS TOTAIS, COM 01 CONJUNTO DE 01 BRAÇO ORNAMENTAL GALVANIZADOS E PINTADOS, COM 04 METROS DE COMPRIMENTO E 01 LUMINÁRIA LED DE 150W, INCLUINDO CONECTORES ISOLADOS PERFURANTES, ELETRODUTOS, PARAFUSOS, ATERRAMENTO, CABO ELÉTRICOS E SERVIÇOS DE INSTALAÇÃO.</t>
  </si>
  <si>
    <t xml:space="preserve"> </t>
  </si>
  <si>
    <t>POSTE METÁLICO DE FERRO GALVANIZADO A FOGO, RETO TELECÔNICO, 04 ESTÁGIOS, ESPESSURA DE 3,0MM, DIÂMETRO DA BASE DE 5,1/2", DIÂMETRO DO TOPO DE 4", COMPRIMENTO TOTAL 12 METROS, PARA ENGASTAR</t>
  </si>
  <si>
    <t>NÚCLEO GALVANIZADO DE 01 ELEMENTOS PARA POSTE CIRCULAR, DIÂMETRO DO TUBO CENTRAL DE 4,1/2", COM ENTRADA PARA 1 BRAÇOS DE 250MMX 60,3MM.</t>
  </si>
  <si>
    <t>BRAÇO, CONFECCIONADOS EM TUBO DE AÇO CARBONO SAE 1010/1020, COM DIÂMETRO 2" COM ESPESSURA DE 3MM APRESENTANDO COMPRIMENTO TOTAL DE PROJEÇÃO HORIZONTAL DE 4 METROS, TENDO EM UMA DAS EXTREMIDADES CURVA DE 115º  E NA OUTRA EXTREMIDADE LEVE INCLINAÇÃO DE 5º PARA MELHOR POSICIONAMENTO DO APARELHO DE ILUMINAÇÃO, GALVANIZADA A FOGO E PINTURA ELETROSTÁTICA.</t>
  </si>
  <si>
    <t>CONECTOR PERFURANTE ISOLADO CDP-70</t>
  </si>
  <si>
    <t xml:space="preserve">M </t>
  </si>
  <si>
    <t>FONTE</t>
  </si>
  <si>
    <t>ORÇAMENTO BÁSICO</t>
  </si>
  <si>
    <t>COMPOSIÇÕES DOS SERVIÇOS</t>
  </si>
  <si>
    <t>REFERÊNCIA: AGETOP - DEZEMBRO DE 2018 E COTAÇÃO</t>
  </si>
  <si>
    <t>SUBTOTAL SERVIÇOS</t>
  </si>
  <si>
    <t>REFERÊNCIA: SINAPI MAIO DE 2019 / AGETOP DEZEMBRO 2018 / COTAÇÃO</t>
  </si>
  <si>
    <t xml:space="preserve">LUMINÁRIA PÚBLICA LED DE 200W, CARCAÇA EM ALUMÍNIO INJETADO E VIDRO APÓS LENTE,  FLUXO LUMINOSO EFETIVO MÍNIMO DE 22.000 LUMENS, FATOR DE POTÊNCIA IGUAL OU SUPERIOR A 0,95, THD MENOR QUE 10%, TEMPERATURA DE COR CORRELATADA (TCC) DE 6500k, ÍNDICE DE REPRODUÇÃO DE COR IGUAL OU SUPERIOR A 70, GRAU DE PROTEÇÃO MÍNIMO DA LUMINÁRIA IP66. </t>
  </si>
  <si>
    <t xml:space="preserve">CONJUNTO DE ILUMINAÇÃO COMPOSTO POR POSTE METÁLICO GALVANIZADO TELECÔNICO RETO DE ENGASTAR, 12 METROS TOTAIS, COM 01 CONJUNTO DE 02 BRAÇOS ORNAMENTAIS GALVANIZADOS E PINTADOS DO TIPO BORBOLETA, COM 04 METROS DE COMPRIMENTO E 02 LUMINÁRIAS LED DE 200W, INCLUINDO CONECTORES ISOLADOS PERFURANTES, ELETRODUTOS, PARAFUSOS, ATERRAMENTO, CABOS ELÉTRICOS E SERVIÇOS DE INSTALAÇÃO. </t>
  </si>
  <si>
    <t>CONJUNTO ILUMINAÇÃO COMPOSTO POR POSTE METÁLICO GALVANIZADO TELECÔNICO RETO DE ENGASTAR, 12 METROS TOTAIS, COM 01 NÚCLEO GALVANIZADO DE 04 ELEMENTOS E 04 LUMINÁRIAS LED 200W, INCLUINDO RELÉS FOTOELÉTRICOS, CABOS ELÉTRICOS, ELETRODUTOS. ATERRAMENTO E SERVIÇOS DE INSTALAÇÃO.</t>
  </si>
  <si>
    <t>COMPOSIÇÃO 2</t>
  </si>
  <si>
    <t>COMPOSIÇÃO 3</t>
  </si>
  <si>
    <t>COMPOSIÇÃO 4</t>
  </si>
  <si>
    <t>COMPOSIÇÃO 5</t>
  </si>
  <si>
    <t>COMPOSIÇÃO 6</t>
  </si>
  <si>
    <t>TABELA</t>
  </si>
  <si>
    <t>KG</t>
  </si>
  <si>
    <t>CORTADORA DE PISO COM MOTOR 4 TEMPOS A GASOLINA, POTÊNCIA DE 13 HP, COM DISCO DE CORTE DIAMANTADO SEGMENTADO PARA CONCRETO, DIÂMETRO DE 350MM, FURO DE 1"(14 X 1") - CHP DIURNO. AF_08/2015</t>
  </si>
  <si>
    <t>CHP</t>
  </si>
  <si>
    <t>MEMORIAL DE CÁLCULO</t>
  </si>
  <si>
    <t>_________________________________________</t>
  </si>
  <si>
    <t>CRONOGRAMA FISICO-FINANCEIRO</t>
  </si>
  <si>
    <t>Administração Central (%)</t>
  </si>
  <si>
    <t>Lucro (%)</t>
  </si>
  <si>
    <t>Despesas financeiras (%)</t>
  </si>
  <si>
    <t>Seguros + garantias (%)</t>
  </si>
  <si>
    <t>Riscos (%)</t>
  </si>
  <si>
    <t>ISS (%)</t>
  </si>
  <si>
    <t>PIS (%)</t>
  </si>
  <si>
    <t>COFINS (%)</t>
  </si>
  <si>
    <t>CPRB (%)</t>
  </si>
  <si>
    <t>Resultado (%)</t>
  </si>
  <si>
    <t>* A fórmula para estipulação da taxa de BDI estimado adotado é a mesma que foi aplicada para a obtenção das tabelas contidas no Acórdão n. 2.622/2013 – TCUPlenário</t>
  </si>
  <si>
    <t>1.3</t>
  </si>
  <si>
    <t>1.4</t>
  </si>
  <si>
    <t>1.5</t>
  </si>
  <si>
    <t>1.6</t>
  </si>
  <si>
    <t>1.7</t>
  </si>
  <si>
    <t>1.8</t>
  </si>
  <si>
    <t>1.9</t>
  </si>
  <si>
    <t>1.10</t>
  </si>
  <si>
    <t>ELETRICISTA</t>
  </si>
  <si>
    <t>CODIGO</t>
  </si>
  <si>
    <t>MOBILIZAÇÃO /DESMOBILIZAÇÃO (MÃO DE OBRA / EQUIPAMENTO)</t>
  </si>
  <si>
    <t>M2</t>
  </si>
  <si>
    <t>TRANSPORTE DE EQUIPAMENTO DE SONDAGEM</t>
  </si>
  <si>
    <t>TKM</t>
  </si>
  <si>
    <t>2.1</t>
  </si>
  <si>
    <t>MES</t>
  </si>
  <si>
    <t>SUPRESSÃO VEGETAL</t>
  </si>
  <si>
    <t>3.1</t>
  </si>
  <si>
    <t>3.2</t>
  </si>
  <si>
    <t>3.3</t>
  </si>
  <si>
    <t>3.4</t>
  </si>
  <si>
    <t>M3</t>
  </si>
  <si>
    <t>3.5</t>
  </si>
  <si>
    <t>ESPALHAMENTO DE MATERIAL EM BOTA FORA, COM UTILIZACAO DE TRATOR DE ESTEIRAS DE 165 HP</t>
  </si>
  <si>
    <t>4.1</t>
  </si>
  <si>
    <t>4.2</t>
  </si>
  <si>
    <t>4.3</t>
  </si>
  <si>
    <t>4.4</t>
  </si>
  <si>
    <t>5.1</t>
  </si>
  <si>
    <t>5.4</t>
  </si>
  <si>
    <t>6.1</t>
  </si>
  <si>
    <t>6.2</t>
  </si>
  <si>
    <t>6.4</t>
  </si>
  <si>
    <t>6.5</t>
  </si>
  <si>
    <t>6.6</t>
  </si>
  <si>
    <t xml:space="preserve">74022/010 </t>
  </si>
  <si>
    <t>6.7</t>
  </si>
  <si>
    <t xml:space="preserve">74022/015 </t>
  </si>
  <si>
    <t>7.1</t>
  </si>
  <si>
    <t>7.2</t>
  </si>
  <si>
    <t>7.3</t>
  </si>
  <si>
    <t>7.4</t>
  </si>
  <si>
    <t>7.6</t>
  </si>
  <si>
    <t>7.7</t>
  </si>
  <si>
    <t>7.8</t>
  </si>
  <si>
    <t>7.9</t>
  </si>
  <si>
    <t>7.10</t>
  </si>
  <si>
    <t>TXKM</t>
  </si>
  <si>
    <t xml:space="preserve">74021/003 </t>
  </si>
  <si>
    <t xml:space="preserve">ENSAIOS DE REGULARIZACAO DO SUBLEITO </t>
  </si>
  <si>
    <t xml:space="preserve">74021/006 </t>
  </si>
  <si>
    <t>ENSAIOS DE BASE ESTABILIZADA GRANULOMETRICAMENTE</t>
  </si>
  <si>
    <t>8.1</t>
  </si>
  <si>
    <t>8.2</t>
  </si>
  <si>
    <t>8.3</t>
  </si>
  <si>
    <t>8.4</t>
  </si>
  <si>
    <t>8.5</t>
  </si>
  <si>
    <t xml:space="preserve">M3 </t>
  </si>
  <si>
    <t>9.1</t>
  </si>
  <si>
    <t xml:space="preserve"> M2</t>
  </si>
  <si>
    <t>9.3</t>
  </si>
  <si>
    <t xml:space="preserve">73916/002 </t>
  </si>
  <si>
    <t>PLACA ESMALTADA PARA IDENTIFICAÇÃO NR DE RUA, DIMENSÕES 45X25CM</t>
  </si>
  <si>
    <t>9.4</t>
  </si>
  <si>
    <t>9.5</t>
  </si>
  <si>
    <t>10.1</t>
  </si>
  <si>
    <t>10.2</t>
  </si>
  <si>
    <t>10.3</t>
  </si>
  <si>
    <t>10.4</t>
  </si>
  <si>
    <t>10.5</t>
  </si>
  <si>
    <t>10.6</t>
  </si>
  <si>
    <t>10.7</t>
  </si>
  <si>
    <t>10.8</t>
  </si>
  <si>
    <t>10.9</t>
  </si>
  <si>
    <t>10.10</t>
  </si>
  <si>
    <t>10.11</t>
  </si>
  <si>
    <t>10.12</t>
  </si>
  <si>
    <t>10.13</t>
  </si>
  <si>
    <t>10.14</t>
  </si>
  <si>
    <t>10.15</t>
  </si>
  <si>
    <t>10.16</t>
  </si>
  <si>
    <t>10.17</t>
  </si>
  <si>
    <t>10.18</t>
  </si>
  <si>
    <t>10.19</t>
  </si>
  <si>
    <t>BOMBA SUBMERSÍVEL ELÉTRICA TRIFÁSICA, POTÊNCIA 2,96 HP, Ø ROTOR 144 MM SEMI-ABERTO, BOCAL DE SAÍDA Ø 2, HM/Q = 2 MCA / 38,8 M3/H A 28 MCA /5 M3/H - CHP DIURNO. AF_06/2014</t>
  </si>
  <si>
    <t xml:space="preserve">73898/001 </t>
  </si>
  <si>
    <t>JUNTA DE DILATACAO ELASTICA (PVC) O-220/6 PRESSAO ATE 30 MCA</t>
  </si>
  <si>
    <t>12.1</t>
  </si>
  <si>
    <t>SECRETARIA DE OBRAS</t>
  </si>
  <si>
    <t>PRAZO DE EXECUÇÃO DA OBRA: 14 MESES</t>
  </si>
  <si>
    <t xml:space="preserve">UND. </t>
  </si>
  <si>
    <t>QUANT</t>
  </si>
  <si>
    <t>1.</t>
  </si>
  <si>
    <t>SERVIÇOS PRELIMINARES / INICIAIS</t>
  </si>
  <si>
    <t>UND.</t>
  </si>
  <si>
    <t>COMPRIMENTO</t>
  </si>
  <si>
    <t>LARGURA</t>
  </si>
  <si>
    <t>QUANTIDADE DE PLACAS</t>
  </si>
  <si>
    <t>COMP</t>
  </si>
  <si>
    <t>LARG</t>
  </si>
  <si>
    <t>CANTEIRO ADM</t>
  </si>
  <si>
    <t>OBRA</t>
  </si>
  <si>
    <t>MÊS</t>
  </si>
  <si>
    <t>2.</t>
  </si>
  <si>
    <t>3.</t>
  </si>
  <si>
    <t>LARGURA MÉDIA</t>
  </si>
  <si>
    <t>LATERAL DIREITA</t>
  </si>
  <si>
    <t>LATERAL ESQUERDA</t>
  </si>
  <si>
    <t>ÁREA</t>
  </si>
  <si>
    <t>EMPOLAMENTO DO MATERIAL</t>
  </si>
  <si>
    <t>%</t>
  </si>
  <si>
    <t>DISTANCIA MÉDIA ( OBRA X  BOTA FORA )</t>
  </si>
  <si>
    <t>KM</t>
  </si>
  <si>
    <t>LADOS</t>
  </si>
  <si>
    <t>ALT</t>
  </si>
  <si>
    <t>CONFORME LEVANTAMENTO TOPOGRÁFICO</t>
  </si>
  <si>
    <t>CORPO DE ATERRO</t>
  </si>
  <si>
    <t>EMPOLAMENTO</t>
  </si>
  <si>
    <t>TERRAPLENAGEM E PAVIMENTAÇÃO</t>
  </si>
  <si>
    <t>IMPRIMAÇÃO  - 1,2l/m2</t>
  </si>
  <si>
    <t>MASSA ASFALTICA – 5,2% /t</t>
  </si>
  <si>
    <t>TOTAL A SER TRANSPORTADO</t>
  </si>
  <si>
    <t xml:space="preserve">TOTAL </t>
  </si>
  <si>
    <t>TOTAL DE SUB LEITO</t>
  </si>
  <si>
    <t>TOTAL DE VOLUME DE BASE = SUB BASE</t>
  </si>
  <si>
    <t>DRENAGEM</t>
  </si>
  <si>
    <t>TUBULAÇÃO DN 600mm - EXTENSÃO</t>
  </si>
  <si>
    <t>ALTURA DA ESCAVAÇÃO</t>
  </si>
  <si>
    <t>VOLUME TOTAL</t>
  </si>
  <si>
    <t xml:space="preserve">ALTURA </t>
  </si>
  <si>
    <t xml:space="preserve">SINALIZACAO </t>
  </si>
  <si>
    <t>COMPRIMENTO TOTAL DO MEIO FIO</t>
  </si>
  <si>
    <t>FACE DO MEIO FIO A SER PINTADA</t>
  </si>
  <si>
    <t>TOTAL DE PLACAS</t>
  </si>
  <si>
    <t>TOTAL DE BLOCOS - P1 / P2 / .....P14 ( 14x )</t>
  </si>
  <si>
    <t>TOTAL DE ESTACAS P/ BLOCO</t>
  </si>
  <si>
    <t>COMPRIMENTO DE CADA ESTACA – CONFORME PROJETO</t>
  </si>
  <si>
    <t>QUANTIDADE  DE PONTES ( AV. RAULINA E AV. MARGON )</t>
  </si>
  <si>
    <t xml:space="preserve">Altura </t>
  </si>
  <si>
    <t>SUB TOTAL</t>
  </si>
  <si>
    <t>PONTES</t>
  </si>
  <si>
    <t>VOLUME</t>
  </si>
  <si>
    <t>QTD.</t>
  </si>
  <si>
    <t>KG/M3</t>
  </si>
  <si>
    <t>TOTAL DE VIGAS PARA UMA PONTE</t>
  </si>
  <si>
    <t>TOTAL DE PONTES</t>
  </si>
  <si>
    <t>ALTURA</t>
  </si>
  <si>
    <t>GUARDA CORPO</t>
  </si>
  <si>
    <t>LAJE FUNDO</t>
  </si>
  <si>
    <t>PAREDES</t>
  </si>
  <si>
    <t>DEGRAU</t>
  </si>
  <si>
    <t>REVESTIMENTO DO CANAL</t>
  </si>
  <si>
    <t xml:space="preserve">LARGURA </t>
  </si>
  <si>
    <t xml:space="preserve">QUANTIDADE </t>
  </si>
  <si>
    <t>DISTANCIA ( PEDREIRA / OBRA )</t>
  </si>
  <si>
    <t>FUNDO DO CANAL</t>
  </si>
  <si>
    <t>DISTANCIA ENTRE TUBOS</t>
  </si>
  <si>
    <t>LINHAS DE DRENO</t>
  </si>
  <si>
    <t>COPRIMENTO DO TUBO</t>
  </si>
  <si>
    <t>PAREDES LATERAIS</t>
  </si>
  <si>
    <t>PRAZO DE EXECUÇÃO DO CANAL</t>
  </si>
  <si>
    <t>MESES</t>
  </si>
  <si>
    <t>HORAS DE TRABALHO/MÊS</t>
  </si>
  <si>
    <t>QUANTIDADE DE BOMBAS</t>
  </si>
  <si>
    <t>HP</t>
  </si>
  <si>
    <t>fundo</t>
  </si>
  <si>
    <t>modulos</t>
  </si>
  <si>
    <t>VOLUME DE CONCRETO</t>
  </si>
  <si>
    <t>PISTA LADO DIREITO</t>
  </si>
  <si>
    <t>PISTA LADO ESQUERDO</t>
  </si>
  <si>
    <t>PESO</t>
  </si>
  <si>
    <t>BLOCOS</t>
  </si>
  <si>
    <t>BASE</t>
  </si>
  <si>
    <t>LIMPEZA FINAL E ENTREGA DE OBRA</t>
  </si>
  <si>
    <t>MOBILIZAÇÃO /DESMOBILIZAÇAO ( MÃO DE OBRA / EQUIPAMENTO )</t>
  </si>
  <si>
    <t>VIAGENS</t>
  </si>
  <si>
    <t>CUSTO</t>
  </si>
  <si>
    <t>CONFORME COMPOSIÇÃO 1</t>
  </si>
  <si>
    <t>PERÍMETRO</t>
  </si>
  <si>
    <t xml:space="preserve">SONDAGEM MAT. 1ª CAT. - SOLO </t>
  </si>
  <si>
    <t>SONDAGEM MAT. 2ª CAT. - PEDREGULHO</t>
  </si>
  <si>
    <t xml:space="preserve">SONDAGEM MAT. 3ª CAT. - ROCHA POUCO ABRASIVA </t>
  </si>
  <si>
    <t>FUNDAÇÃO DAS PONTES</t>
  </si>
  <si>
    <t>AGETOP - T137</t>
  </si>
  <si>
    <t>QUANTIDADE</t>
  </si>
  <si>
    <t>PROFUNDIDADE</t>
  </si>
  <si>
    <t>LEITO E SUBLEITO DAS VIAS MARGINAIS</t>
  </si>
  <si>
    <t>LAJE DO FUNDO DO CANAL</t>
  </si>
  <si>
    <t xml:space="preserve">PROJETO EXECUTIVO DE ENGENHARIA PARA REGIÃO ONDULADA </t>
  </si>
  <si>
    <t>EXTENSÃO DO CANAL</t>
  </si>
  <si>
    <t>COMPRIMENTO(KM)</t>
  </si>
  <si>
    <t xml:space="preserve">PROJETO EXECUTIVO DE ENGENHARIA PARA REGIÃO ONDULADA - PISTA DUPLA </t>
  </si>
  <si>
    <t>EXECUÇÃO DAS VIAS MARGINAIS (MARGEM ESQUERDA E DIREITA)</t>
  </si>
  <si>
    <t>COMP. (KM) DIR.</t>
  </si>
  <si>
    <t>COMP.(KM) ESQ.</t>
  </si>
  <si>
    <t>CANALIZAÇÃO</t>
  </si>
  <si>
    <t>EXTENSÃO DA AVENIDA LEOPOLDO EVANGELISTA DA COSTA</t>
  </si>
  <si>
    <t>ESPESSURA</t>
  </si>
  <si>
    <t>6.8</t>
  </si>
  <si>
    <t>6.9</t>
  </si>
  <si>
    <t>6.10</t>
  </si>
  <si>
    <t>6.11</t>
  </si>
  <si>
    <t>6.12</t>
  </si>
  <si>
    <t>6.13</t>
  </si>
  <si>
    <t>6.14</t>
  </si>
  <si>
    <t>6.15</t>
  </si>
  <si>
    <t>6.17</t>
  </si>
  <si>
    <t>6.18</t>
  </si>
  <si>
    <t>6.19</t>
  </si>
  <si>
    <t>9.6</t>
  </si>
  <si>
    <t>9.7</t>
  </si>
  <si>
    <t>9.8</t>
  </si>
  <si>
    <t>9.9</t>
  </si>
  <si>
    <t>9.10</t>
  </si>
  <si>
    <t>9.11</t>
  </si>
  <si>
    <t>9.12</t>
  </si>
  <si>
    <t>9.13</t>
  </si>
  <si>
    <t>9.14</t>
  </si>
  <si>
    <t>9.15</t>
  </si>
  <si>
    <t>9.16</t>
  </si>
  <si>
    <t>9.17</t>
  </si>
  <si>
    <t>9.18</t>
  </si>
  <si>
    <t>10.20</t>
  </si>
  <si>
    <t>10.21</t>
  </si>
  <si>
    <t>10.22</t>
  </si>
  <si>
    <t>10.23</t>
  </si>
  <si>
    <t>MARGEM ESQUERDA</t>
  </si>
  <si>
    <t>MARGEM DIREITA</t>
  </si>
  <si>
    <t xml:space="preserve">PROLONGAMENTO DA RUA 28 </t>
  </si>
  <si>
    <t>PISTA DA DIREITA (E0 ATÉ E24+8,70)</t>
  </si>
  <si>
    <t>PISTA DA ESQUERDA (E0 ATÉ E23+7,7)</t>
  </si>
  <si>
    <t>RUA 28 C/ PISTA LADO DIREITO</t>
  </si>
  <si>
    <t>AVENIDA LEOPOLDO EVANGELISTA DA ROCHA</t>
  </si>
  <si>
    <t xml:space="preserve">ROTATÓRIAS </t>
  </si>
  <si>
    <t>ÁREA:</t>
  </si>
  <si>
    <t>PINTURA DE LIGAÇÃO – 0,5L/m2</t>
  </si>
  <si>
    <t>CALÇADA MARGEM ESQUERDA ENTRE AVENIDA MARGON E RUA ONOFRE DA ROCHA</t>
  </si>
  <si>
    <t xml:space="preserve">CALÇADA MARGEM ESQUERDA ENTRE RUA ONOFRE ATE AVENIDA LEOPOLDO EVANGELISTA DA COSTA </t>
  </si>
  <si>
    <t>CALÇADA MARGEM ESQUERDA LADO DO CANAL</t>
  </si>
  <si>
    <t>CALÇADA MARGEM DIREITA LADO DO CANAL</t>
  </si>
  <si>
    <t>CALÇADA MARGEM DIREITA DA RUA AVENIDA MARGON ATÉ A RUA 29</t>
  </si>
  <si>
    <t>CALÇADA MARGEM DIREITA DA RUA 29 ATÉ A RUA F</t>
  </si>
  <si>
    <t>CALÇADA DA PONTE LADO ESQUERDO</t>
  </si>
  <si>
    <t>CALÇADA DA PONTE E ROTATÓRIA LADO DIREITO</t>
  </si>
  <si>
    <t>CALÇADA AVENIDA LEOPOLDO EVANGELISTA DA ROCHA LADO DIREITO</t>
  </si>
  <si>
    <t>CALÇADA AVENIDA LEOPOLDO EVANGELISTA DA ROCHA LADO ESQUERDO</t>
  </si>
  <si>
    <t>12*0,54</t>
  </si>
  <si>
    <t>RAMPAS (QUANTIDADE X COMPRIMENTO)</t>
  </si>
  <si>
    <t xml:space="preserve">74022/006 </t>
  </si>
  <si>
    <t>ENSAIO DE GRANULOMETRIA POR PENEIRAMENTO - SOLOS</t>
  </si>
  <si>
    <t xml:space="preserve">74022/008 </t>
  </si>
  <si>
    <t>ENSAIO DE LIMITE DE LIQUIDEZ - SOLOS</t>
  </si>
  <si>
    <t xml:space="preserve">74022/009 </t>
  </si>
  <si>
    <t>ENSAIO DE LIMITE DE PLASTICIDADE - SOLOS</t>
  </si>
  <si>
    <t>6.20</t>
  </si>
  <si>
    <t>6.21</t>
  </si>
  <si>
    <t>6.22</t>
  </si>
  <si>
    <t>6.23</t>
  </si>
  <si>
    <t>6.24</t>
  </si>
  <si>
    <t xml:space="preserve">74022/019 </t>
  </si>
  <si>
    <t>ENSAIO DE INDICE DE SUPORTE CALIFORNIA - AMOSTRAS NAO TRABALHADAS - ENERGIA NORMAL - SOLOS</t>
  </si>
  <si>
    <t xml:space="preserve">74022/023 </t>
  </si>
  <si>
    <t>ENSAIO DE TEOR DE UMIDADE - PROCESSO SPEEDY - SOLOS E AGREGADOS MIUDOS</t>
  </si>
  <si>
    <t xml:space="preserve">74022/025 </t>
  </si>
  <si>
    <t>ENSAIO DE PONTO DE FULGOR - MATERIAL BETUMINOSO</t>
  </si>
  <si>
    <t xml:space="preserve">74022/027 </t>
  </si>
  <si>
    <t>ENSAIO DE CONTROLE DE TAXA DE APLICACAO DE LIGANTE BETUMINOSO</t>
  </si>
  <si>
    <t>CONFORME MÉTODO DNER ME 49/94</t>
  </si>
  <si>
    <t>SUBLEITO</t>
  </si>
  <si>
    <t>SUB BASE E BASE</t>
  </si>
  <si>
    <t>CONFORME MÉTODO DNER ME 83/98</t>
  </si>
  <si>
    <t>6.25</t>
  </si>
  <si>
    <t>ENSAIO DE MASSA ESPECIFICA - IN SITU - METODO BALAO DE BORRACHA - SOLOS DE BORRACHA - SOLOS</t>
  </si>
  <si>
    <t>CONFORME MÉTODO DNER ME 092/94</t>
  </si>
  <si>
    <t>REVESTIMENTO ASFÁLTICO</t>
  </si>
  <si>
    <t xml:space="preserve">74022/042 </t>
  </si>
  <si>
    <t>ENSAIO DE EQUIVALENTE EM AREIA - SOLOS</t>
  </si>
  <si>
    <t>6.26</t>
  </si>
  <si>
    <t>CONFORME MÉTODO DNER ME 129/94</t>
  </si>
  <si>
    <t>1 PARA CADA 1000 M³</t>
  </si>
  <si>
    <t>1 PARA CADA 10 DE COMPACTAÇÃO</t>
  </si>
  <si>
    <t>CONFORME O DNIT 108/2009 - ES</t>
  </si>
  <si>
    <t>1 PARA CADA 4 DE COMPACTAÇÃO</t>
  </si>
  <si>
    <t>RUA 28</t>
  </si>
  <si>
    <t>MARGEM ESQUERDA ENTRE AVENIDA MARGON E RUA ONOFRE DA ROCHA</t>
  </si>
  <si>
    <t xml:space="preserve">MARGEM ESQUERDA ENTRE RUA ONOFRE ATE AVENIDA LEOPOLDO EVANGELISTA DA COSTA </t>
  </si>
  <si>
    <t>MARGEM ESQUERDA LADO DO CANAL</t>
  </si>
  <si>
    <t>MARGEM DIREITA DA RUA AVENIDA MARGON ATÉ A RUA 29</t>
  </si>
  <si>
    <t>MARGEM DIREITA DA RUA 29 ATÉ A RUA F</t>
  </si>
  <si>
    <t>MARGEM DIREITA LADO DO CANAL</t>
  </si>
  <si>
    <t>PONTE LADO ESQUERDO</t>
  </si>
  <si>
    <t>PONTE E ROTATÓRIA LADO DIREITO</t>
  </si>
  <si>
    <t>AVENIDA LEOPOLDO EVANGELISTA DA ROCHA LADO DIREITO</t>
  </si>
  <si>
    <t>AVENIDA LEOPOLDO EVANGELISTA DA ROCHA LADO ESQUERDO</t>
  </si>
  <si>
    <t>RUA ONOFRE DA ROCHA</t>
  </si>
  <si>
    <t>CONFORME PROJETO ESTRUTURAL</t>
  </si>
  <si>
    <t>PILARES/BLOCOS</t>
  </si>
  <si>
    <t>CORTINAS</t>
  </si>
  <si>
    <t>CONFORME PROJETO EXECUTIVO CORTINAS DA PONTE</t>
  </si>
  <si>
    <t>FUNDAÇÃO (BLOCOS)</t>
  </si>
  <si>
    <t>COMPRIMETO DA PONTE</t>
  </si>
  <si>
    <t xml:space="preserve">74022/030 </t>
  </si>
  <si>
    <t>ENSAIO DE RESISTENCIA A COMPRESSAO SIMPLES - CONCRETO</t>
  </si>
  <si>
    <t>QUANTIDADE CONFORME NBR 6118/2014</t>
  </si>
  <si>
    <t>QUANTIDADE DE VIGAS</t>
  </si>
  <si>
    <t>11.1</t>
  </si>
  <si>
    <t>11.2</t>
  </si>
  <si>
    <t>11.3</t>
  </si>
  <si>
    <t>11.4</t>
  </si>
  <si>
    <t>11.5</t>
  </si>
  <si>
    <t>11.6</t>
  </si>
  <si>
    <t>11.7</t>
  </si>
  <si>
    <t>11.8</t>
  </si>
  <si>
    <t>11.9</t>
  </si>
  <si>
    <t>11.10</t>
  </si>
  <si>
    <t>11.11</t>
  </si>
  <si>
    <t>11.12</t>
  </si>
  <si>
    <t>11.13</t>
  </si>
  <si>
    <t>11.14</t>
  </si>
  <si>
    <t>11.15</t>
  </si>
  <si>
    <t>11.16</t>
  </si>
  <si>
    <t>11.17</t>
  </si>
  <si>
    <t>12.2</t>
  </si>
  <si>
    <t>COMPRIMENTO ( E 0 à E 25+ 16,00m)</t>
  </si>
  <si>
    <t>LAJE DE FUNDO</t>
  </si>
  <si>
    <t>DESVIO CORTA RIO (E 16+8,00)</t>
  </si>
  <si>
    <t>DESVIO CORTA RIO (E 12)</t>
  </si>
  <si>
    <t>CONFORME O PROJETO ESTRUTURAL</t>
  </si>
  <si>
    <t>LAJE DE FUNDO E PAREDES</t>
  </si>
  <si>
    <t>DEGRAUS</t>
  </si>
  <si>
    <t>QUANTIDADE DE MODULOS</t>
  </si>
  <si>
    <t>QUANTIDADE DE DEGRAUS</t>
  </si>
  <si>
    <t>PERÍMETRO DOS MÓDULOS DO CANAL</t>
  </si>
  <si>
    <t>paredes</t>
  </si>
  <si>
    <t>ALVENARIA DE BLOCOS DE CONCRETO ESTRUTURAL 14X19X39 CM, (ESPESSURA 14CM), FBK = 4,5 MPA, PARA PAREDES COM ÁREA LÍQUIDA MAIOR OU IGUAL A 6M², SEM VÃOS, UTILIZANDO PALHETA. AF_12/2014VÃOS, UTILIZANDO PALHETA. AF_12/2014</t>
  </si>
  <si>
    <t>CONCRETO USINADO BOMBEAVEL, CLASSE DE RESISTENCIA C50, COM BRITA 0 E 1, SLUMP = 100 +/- 20 MM, INCLUI SERVICO DE BOMBEAMENTO (NBR 8953)</t>
  </si>
  <si>
    <t>TALUDE MARGEM ESQUERDA</t>
  </si>
  <si>
    <t>TALUDE MARGEM DIREITA</t>
  </si>
  <si>
    <t>1:2.</t>
  </si>
  <si>
    <t>INCLINAÇÃO MÉDIA</t>
  </si>
  <si>
    <t>MURETAS</t>
  </si>
  <si>
    <t>AMARRAÇÃO DAS CANALETAS</t>
  </si>
  <si>
    <t>COMPRIMENTO:</t>
  </si>
  <si>
    <t>958 METROS (2 BARRAS)</t>
  </si>
  <si>
    <t>ÁREA DOS TALUDES</t>
  </si>
  <si>
    <t>MURETAS DE PROTEÇÃO</t>
  </si>
  <si>
    <t xml:space="preserve">DISSIPADOR DE ENERGIA  </t>
  </si>
  <si>
    <t>COMPRIMENTO DO CANAL</t>
  </si>
  <si>
    <t>COMPRMENTO</t>
  </si>
  <si>
    <t>TALUDES ALÇA DE CONTORNO</t>
  </si>
  <si>
    <t>ROTATÓRIAS</t>
  </si>
  <si>
    <t>CONFORME RELATÓRIO DE VOLUME POR SEÇÕES - VOLUME DE ATERRO</t>
  </si>
  <si>
    <t>DISTANCIA MÉDIA ( OBRA X JAZIDA)</t>
  </si>
  <si>
    <t xml:space="preserve">COMPRIMENTO  </t>
  </si>
  <si>
    <t>ESCAVAÇÃO MANUAL COM REATERRO E COMPACTAÇÃO EM MATERIAL DE 2ª CATEGORIA</t>
  </si>
  <si>
    <t>COMPOSIÇÃO 7</t>
  </si>
  <si>
    <t>ILUMINAÇÃO PÚBLICA</t>
  </si>
  <si>
    <t>CONFORME PROJETO EXECUTIVO</t>
  </si>
  <si>
    <t>PROF.</t>
  </si>
  <si>
    <t>Extensão dos eletrodutos subterrâneos</t>
  </si>
  <si>
    <t>VIDE COMPOSIÇÃO Nº 2</t>
  </si>
  <si>
    <t>VIDE COMPOSIÇÃO Nº 3</t>
  </si>
  <si>
    <t>VIDE COMPOSIÇÃO Nº 4</t>
  </si>
  <si>
    <t>VIDE COMPOSIÇÃO Nº 5</t>
  </si>
  <si>
    <t>VIDE COMPOSIÇÃO Nº 6</t>
  </si>
  <si>
    <t>VIDE COMPOSIÇÃO Nº 7</t>
  </si>
  <si>
    <t>Extensão dos eletordutos subterrâneos</t>
  </si>
  <si>
    <t>Uma unidade para cada poste</t>
  </si>
  <si>
    <t>COMPOSIÇÃO Nº 7</t>
  </si>
  <si>
    <t>Três fios (Fase, Neuto e Terra)</t>
  </si>
  <si>
    <t>Dois fios (Fase e Neuto)</t>
  </si>
  <si>
    <t>Postes com 1 pétala</t>
  </si>
  <si>
    <t>Postes com 2 pétalas</t>
  </si>
  <si>
    <t>Postes com 3 pétalas</t>
  </si>
  <si>
    <t>Valas no asfalto</t>
  </si>
  <si>
    <t>5 dias de trabalho</t>
  </si>
  <si>
    <t>REFERÊNCIA: SINAPI MAIO/2019</t>
  </si>
  <si>
    <t>REFERÊNCIA: SINAPI MAIO DE 2019 / COTAÇÃO</t>
  </si>
  <si>
    <t>TABELA DE REFERENCIA: SICRO 01/2019, AGETOP DEZEMBRO2018, COTAÇÃO, SINAPI MAIO/2019</t>
  </si>
  <si>
    <t>PAULO CESAR FERREIRA JUNIOR</t>
  </si>
  <si>
    <t>CREA 1015638210/D-GO</t>
  </si>
  <si>
    <t>PHILIPJOHN RIBEIRO SILVA</t>
  </si>
  <si>
    <t>CREA 1017528098/D-GO</t>
  </si>
  <si>
    <t>CREA 1016927460/D-GO</t>
  </si>
  <si>
    <t>CREA 7455/D-GO</t>
  </si>
  <si>
    <t>MARGEM ESQUERDA CANAL</t>
  </si>
  <si>
    <t>MARGEM DIREITA CANAL</t>
  </si>
  <si>
    <t>AV. LEOPOLDO E. DA COSTA ESQUERDO</t>
  </si>
  <si>
    <t>AV. LEOPOLDO E. DA COSTA DIRIETO</t>
  </si>
  <si>
    <t>PROLO. AV. 20 DE AGOSTO</t>
  </si>
  <si>
    <t>RUA 29</t>
  </si>
  <si>
    <t>INSTERSCÇÕES</t>
  </si>
  <si>
    <t>M4</t>
  </si>
  <si>
    <t>M5</t>
  </si>
  <si>
    <t>M6</t>
  </si>
  <si>
    <t>M7</t>
  </si>
  <si>
    <t>M8</t>
  </si>
  <si>
    <t>SEGUNDA ETAPA CANALIZAÇÃO DO RIBEIRÃO PIRAPITINGA E VIAS MARGINAIS</t>
  </si>
  <si>
    <t>15 DE JULHO DE 2019</t>
  </si>
  <si>
    <t>ESTACAS TRIPLO TRILHO TR 37 - COM EMENDA - FORNECIMENTO E CRAVAÇÃO</t>
  </si>
  <si>
    <t>LANÇAMENTO DE VIGA PRÉ-MOLDADA DE 980 A 1.225 KN COM UTILIZAÇÃO DE TRALIÇA LANÇADEIRA E CARRELONE</t>
  </si>
  <si>
    <t>Placas de Pare, Velocidade, Dê a preferência</t>
  </si>
  <si>
    <t>COMPOSIÇÃO BDI</t>
  </si>
  <si>
    <t>DESCRIÇÃO DO SERVIÇO</t>
  </si>
  <si>
    <t>QTD. PONTES</t>
  </si>
  <si>
    <t>MÊS 3</t>
  </si>
  <si>
    <t>MÊS 4</t>
  </si>
  <si>
    <t>MÊS 5</t>
  </si>
  <si>
    <t>MÊS 6</t>
  </si>
  <si>
    <t>MÊS 7</t>
  </si>
  <si>
    <t>MÊS 8</t>
  </si>
  <si>
    <t>MÊS 9</t>
  </si>
  <si>
    <t>MÊS 10</t>
  </si>
  <si>
    <t>MÊS 11</t>
  </si>
  <si>
    <t>MÊS 12</t>
  </si>
  <si>
    <t>MÊS 13</t>
  </si>
  <si>
    <t>MÊS 14</t>
  </si>
  <si>
    <t>THAYNARA DE ALMEIDA CORRÊA E SILVA</t>
  </si>
  <si>
    <t>AVANÇO FINANCEIRO</t>
  </si>
  <si>
    <t>ENGENHEIRA CIVIL</t>
  </si>
  <si>
    <t xml:space="preserve">CAMINHÃO BASCULANTE 10 M3 - 15 T </t>
  </si>
  <si>
    <t>AGETOP - T135</t>
  </si>
  <si>
    <t xml:space="preserve">CAMINHÃO TANQUE 10.000L </t>
  </si>
  <si>
    <t xml:space="preserve">CAMINHÃO CARROCERIA MADEIRA - 15 T </t>
  </si>
  <si>
    <t xml:space="preserve">AJUDANTE </t>
  </si>
  <si>
    <t xml:space="preserve">ARMAÇÃO SECUNDÁRIA PESADA 1 ELEMENTO </t>
  </si>
  <si>
    <t>ISOLADOR ROLDANA PORCELANA 72X72</t>
  </si>
  <si>
    <t>LAÇO PREFORMADO DE DISTRIBUIÇÃO</t>
  </si>
  <si>
    <t xml:space="preserve">CAIXA PARA QUADRO DE COMANDO METÁLICA DE SOBREPOR 60X60X20 CM </t>
  </si>
  <si>
    <t>DISJUNTOR MONOPOLAR DE 35 A 50-A</t>
  </si>
  <si>
    <t>DISJUNTOR MONOPOLAR DE 10 A 30-A</t>
  </si>
  <si>
    <t xml:space="preserve">DISPOSITIVO DE PROTEÇÃO CONTRA SURTOS (D.P.S.) 275V DE 8 A 40KA </t>
  </si>
  <si>
    <t>PARAFUSO CABEÇA ABAULADA (FRANCES) M16 X 150 MM</t>
  </si>
  <si>
    <t xml:space="preserve">RELE FOTOELÉTRICO INTERNO E EXTERNO BIVOLT 1000 W, DE CONECTOR, SEM BASE </t>
  </si>
  <si>
    <t>CABO ISOLADO PP 3 X 4,0 MM²</t>
  </si>
  <si>
    <t>ELETRODUTO PVC FLEXÍVEL - MANGUEIRA CORRUGADA LEVE - DIAM. 25MM</t>
  </si>
  <si>
    <t xml:space="preserve">HASTE VER. COBRE (COPPERWELD) 5/8" X 3 M C/ CONECTOR </t>
  </si>
  <si>
    <t xml:space="preserve">CABO DE COBRE NU No. 10 MM² (11,11M / KG) </t>
  </si>
  <si>
    <t>TERMINAL DE PRESSÃO 10 MM²</t>
  </si>
  <si>
    <t>FITA ISOLANTE, ROLO DE 20,00 M</t>
  </si>
  <si>
    <t xml:space="preserve">FITA DE AUTO FUSÃO, ROLO E 10,00 MM </t>
  </si>
  <si>
    <t xml:space="preserve">TRATOR ESTEIRAS COM LAMINA - CAT D-6 OU EQUIVALENTE </t>
  </si>
  <si>
    <t>AGETOP T135</t>
  </si>
  <si>
    <t xml:space="preserve">MOTONIVELADORA - CAT 120K OU EQUIVALENTE </t>
  </si>
  <si>
    <t xml:space="preserve">TRATOR DE PNEUS AGRÍCOLA – MF4292 OU EQUIVALENTE </t>
  </si>
  <si>
    <t xml:space="preserve">CARREGADEIRA DE PNEUS CAT - 950 H OU EQUIVALENTE </t>
  </si>
  <si>
    <t xml:space="preserve">RETRO ESCAVADEIRA DE PNEUS - MF 86HS OU EQUIVALENTE </t>
  </si>
  <si>
    <t xml:space="preserve">ROLO LISO VIBRAT. AUTOPROP. - CA 250 OU EQUIVALENTE </t>
  </si>
  <si>
    <t xml:space="preserve">ROLO PÉ DE CARNEIRO AUTOPROP. CA-25 OU EQUIVALENTE </t>
  </si>
  <si>
    <t xml:space="preserve">ROLO COMPAC. PNEUS AUTOPROP. 27 T </t>
  </si>
  <si>
    <t xml:space="preserve">USINA DE ASFALTO A QUENTE : DMC-2 - 40/60 T/H </t>
  </si>
  <si>
    <t xml:space="preserve">ESCAVADEIRA HIDRÁULICA - 320DL OU EQUIVALENTE </t>
  </si>
  <si>
    <t>SUBTOTAL:</t>
  </si>
  <si>
    <t>EQUIPAMENTOS DE GRANDE PORTE</t>
  </si>
  <si>
    <t>VEICULOS DE PRODUÇÃO</t>
  </si>
  <si>
    <t>NÍVEL 2</t>
  </si>
  <si>
    <t>MOBILIZAÇÃO E DESMOBILZAÇÃO DE PESSOAL</t>
  </si>
  <si>
    <t>CUSTO TOTAL DE MOB/DESM</t>
  </si>
  <si>
    <t xml:space="preserve">NÍVEL 1 </t>
  </si>
  <si>
    <t>EQUIPAMENTOS DE MÉDIO PORTE</t>
  </si>
  <si>
    <t xml:space="preserve">CAMINHÃO DISTRIBUIDOR DE ASFALTO </t>
  </si>
  <si>
    <t xml:space="preserve">MÁQUINA PARA PINTURA : DEMARCAR FAIXAS AUTOPROP. </t>
  </si>
  <si>
    <t xml:space="preserve">CAMINHÃO MUNCK </t>
  </si>
  <si>
    <t>CANTEIRO DE OBRAS</t>
  </si>
  <si>
    <t xml:space="preserve">Sanitários </t>
  </si>
  <si>
    <t>Vestiários</t>
  </si>
  <si>
    <t xml:space="preserve">Refeitório (para os administrativos) </t>
  </si>
  <si>
    <t xml:space="preserve">Instalações Provisórias de Água/Esgoto </t>
  </si>
  <si>
    <t>Galpões para Carpintaria e Armação (COBERTURA)</t>
  </si>
  <si>
    <t xml:space="preserve">Guaritas </t>
  </si>
  <si>
    <t xml:space="preserve">Cone de sinalização (desvio) </t>
  </si>
  <si>
    <t xml:space="preserve">Servente para sinalização (desvio) </t>
  </si>
  <si>
    <t>Instalações Provisórias de Energia Elétrica</t>
  </si>
  <si>
    <t>Almoxarifado</t>
  </si>
  <si>
    <t>PLACA DE OBRA PLOTADA EM CHAPA METÁLICA 26 , AFIXADA EM CAVALETES DE MADEIRA DE LEI (VIGOTAS 6X12CM) - PADRÃO AGETOP</t>
  </si>
  <si>
    <t>REGULARIZAÇÃO E COMPACTAÇÃO DO SUB-LEITO (PAV.URB.)</t>
  </si>
  <si>
    <t>CONCRETO BETUM.USINADO À QUENTE-CBUQ (AC/BC) (PAV.URB.)</t>
  </si>
  <si>
    <t xml:space="preserve">TRANSPORTE LOCAL DE MATERIAL BETUMINOSO (PAV.URB.) </t>
  </si>
  <si>
    <t>PISO DE LADRILHO HIDRÁULICO COLORIDO MODELO TÁTIL ( ALERTA OU DIRECIONAL) SEM LASTRO</t>
  </si>
  <si>
    <t>MEIO FIO COM SARJETA - MFC03 (AC/BC)</t>
  </si>
  <si>
    <t>MEIO FIO SEM SARJETA - MFC05 (AC/BC)</t>
  </si>
  <si>
    <t>SINALIZAÇÃO HORIZONTAL COM RESINA ACRÍLICA</t>
  </si>
  <si>
    <t>AGETOP - 135</t>
  </si>
  <si>
    <t>SINALIZAÇÃO VERTICAL TOTALMENTE REFLETIVA -CHAPA DE ALUMÍNIO</t>
  </si>
  <si>
    <t xml:space="preserve"> ACO CA-50-A - 6,3 MM (1/4") - (OBRAS CIVIS) </t>
  </si>
  <si>
    <t>ACO CA-50 A - 8,0 MM (5/16") - (OBRAS CIVIS)</t>
  </si>
  <si>
    <t>ACO CA-50A - 10,0 MM (3/8") - (OBRAS CIVIS)</t>
  </si>
  <si>
    <t>CONCRETO USINADO BOMBEÁVEL FCK=25 MPA (O.C.)</t>
  </si>
  <si>
    <t>CONCRETO USINADO BOMBEÁVEL FCK=30 MPA (O.C.)</t>
  </si>
  <si>
    <t>GUARDA CORPO COM CORRIMÃO/TUBO INDUSTRIAL GC-1</t>
  </si>
  <si>
    <t>FUNDO PRIMER P/ ESTR. METALICA (2 DEMAOS)</t>
  </si>
  <si>
    <t>COLCHÃO DRENANTE COM BRITA (BC)</t>
  </si>
  <si>
    <t>DRENO DE TUBO PEAD 100MM (0,5MX0,4M) (GAP) (AC/BC)</t>
  </si>
  <si>
    <t>CHAPISCO COMUM</t>
  </si>
  <si>
    <t>REBOCO PAULISTA A-14 (1CALH:4ARMLC+100kgCI/M3)</t>
  </si>
  <si>
    <t>GEOTEXTIL - BIDIM RT-16 OU EQUIVALENTE</t>
  </si>
  <si>
    <t xml:space="preserve">DESMATAMENTO, DESTOCAMENTO E LIMPEZA - ÁRVORES COM DIÂMETROS MENORES DE 15 CM </t>
  </si>
  <si>
    <t>AGETOP - T133</t>
  </si>
  <si>
    <t>CORTE/DESTOC./RETIRADA/REATERRO (MANUAIS) DE ÁRVORE GRANDE PORTE ( H = 8 A 10M / DIÂMETRO TRONCO 60 A 70CM E COPA DE 10 A 13M ) C/TRANSP.ATE C.B.E CARGA</t>
  </si>
  <si>
    <t xml:space="preserve">TRANSPORTE DE ENTULHOS </t>
  </si>
  <si>
    <t xml:space="preserve">ADMINISTRAÇÃO LOCAL </t>
  </si>
  <si>
    <t>DIVISÃO DE ENGENHARIA</t>
  </si>
  <si>
    <t>Engenheiro Pleno/ Gestor do Contrato</t>
  </si>
  <si>
    <t>Engenheiro de Produção/ Civil</t>
  </si>
  <si>
    <t>Auxiliar tecnico / Assistente de engenharia (Mensalista) - BDI: 26,65%</t>
  </si>
  <si>
    <t>DIVISÃO DE SEGURANÇA E MEDICINA DO TRABALHO</t>
  </si>
  <si>
    <t>Técnico de Segurança do Trabalho</t>
  </si>
  <si>
    <t>DIVISÃO DE PRODUÇÃO</t>
  </si>
  <si>
    <t>AGETOP - 133</t>
  </si>
  <si>
    <t>Eletricista- Com encargos - BDI: 26,65%</t>
  </si>
  <si>
    <t>1*220</t>
  </si>
  <si>
    <t>Mestre de obras (Encarreg.X1,85) - BDI: 26,65%</t>
  </si>
  <si>
    <t xml:space="preserve">Encarregado Geral </t>
  </si>
  <si>
    <t>Motorista</t>
  </si>
  <si>
    <t>DIVISÃO ADMINISTRATIVA</t>
  </si>
  <si>
    <t xml:space="preserve">Almoxarife/Apontador/Comprador  </t>
  </si>
  <si>
    <t xml:space="preserve">Vigia  </t>
  </si>
  <si>
    <t xml:space="preserve">Auxiliar Administrativo </t>
  </si>
  <si>
    <t>Auxiliar de serviços gerais (Mensalista) - BDI: 26,65%</t>
  </si>
  <si>
    <t>VEÍCULOS DA ADMINISTRAÇÃO</t>
  </si>
  <si>
    <t xml:space="preserve">Veículos Leves (incluso combustível) </t>
  </si>
  <si>
    <t>EQUIPAMENTOS INDIRETOS</t>
  </si>
  <si>
    <t xml:space="preserve">Instrumental de Topografia </t>
  </si>
  <si>
    <t>Ferramentas (Encargos complementres) - Mensalista  - BDI: 26,65%</t>
  </si>
  <si>
    <t>EPI (Encargos complementres) - Mensalista  - BDI: 26,65%</t>
  </si>
  <si>
    <t>COMPOSIÇÃO</t>
  </si>
  <si>
    <t>3.6</t>
  </si>
  <si>
    <t>6.16</t>
  </si>
  <si>
    <t>7.5</t>
  </si>
  <si>
    <t>ELETRODUTO EM AÇO GALVANIZADO A FOGO DIÂMETRO 3" - PESADO</t>
  </si>
  <si>
    <t>LUVA EM AÇO GALVANIZADO DIÂMETRO 3"</t>
  </si>
  <si>
    <t>CABEÇOTE DE LIGA DE ALUMÍNIO DIAM. 3"</t>
  </si>
  <si>
    <t xml:space="preserve">ARAME GALVANIZADO 12 BWG </t>
  </si>
  <si>
    <t xml:space="preserve">CAIXA DE PASSAGEM 40X40CM SEM TAMPA </t>
  </si>
  <si>
    <t>CAIXA DE PASSAGEM - TAMPA EM CONCRETO ARMADO 25 MPA E=5CM</t>
  </si>
  <si>
    <t>HASTE VER. COBRE (COPPERWELD) 5/8"X 3,00 M C/ CONECTOR</t>
  </si>
  <si>
    <t>CABO EPR/XLPE (90°C) 1KV - 10MM²</t>
  </si>
  <si>
    <t>CABO EPR/XLPE (90°C) 1KV - 16MM²</t>
  </si>
  <si>
    <t>CABO EPR/XLPE (90°C) 1KV - 25MM²</t>
  </si>
  <si>
    <t>ELETRODUTO PVC FLEXÍVEL - MANGUEIRA CORRUGADA REFORÇADA - DIAM. 50MM</t>
  </si>
  <si>
    <t>ENSAIO DE COMPACTACAO - AMOSTRAS NAO TRABALHADAS - ENERGIA NORMAL - SOLOS</t>
  </si>
  <si>
    <t>Escritório de campo: 1. Reunião: 20m2; 2. Planejamento administrativo: 20m2; 3. Segurança do trabalho: 10m2</t>
  </si>
  <si>
    <t>Fiscalização</t>
  </si>
  <si>
    <t xml:space="preserve">Laboratório (espaço físico) </t>
  </si>
  <si>
    <t>ISOLAMENTO DE OBRA COM TELA PLASTICA COM MALHA DE 5MM E ESTRUTURA DE MADEIRA PONTALETEADA</t>
  </si>
  <si>
    <t>AGETOP T137 - TABELA DE PROJETOS E CONSULTORIA - MARÇO DE 2018 - BDI: 28,28%</t>
  </si>
  <si>
    <t>TABELAS DE REFERÊNCIA</t>
  </si>
  <si>
    <t>CP.01</t>
  </si>
  <si>
    <t>CP.02</t>
  </si>
  <si>
    <t>UNIDADE</t>
  </si>
  <si>
    <t>CP.03</t>
  </si>
  <si>
    <t>SERVIÇOS PRELIMINARES</t>
  </si>
  <si>
    <t>ADMINISTRAÇÃO DE OBRA</t>
  </si>
  <si>
    <t>Caixa dágua polietileno 1000 lts. Com tampa (refeitório/ escritório/ sanitário)</t>
  </si>
  <si>
    <t>CARREGAMENTO DO ENTULHO ATÉ BOTA FORA</t>
  </si>
  <si>
    <t xml:space="preserve">VOLUME CONFORME ITEM 3.2 </t>
  </si>
  <si>
    <t>VOLUME CONFORME ITEM 3.3</t>
  </si>
  <si>
    <t>A</t>
  </si>
  <si>
    <t>B</t>
  </si>
  <si>
    <t>C</t>
  </si>
  <si>
    <t>D</t>
  </si>
  <si>
    <t>TOTAL = (A + B) X C X D</t>
  </si>
  <si>
    <t>CONFORME ITENS 3.2 E 3.3 (EMPOLADO)</t>
  </si>
  <si>
    <t>CARGA DE ENTULHOS</t>
  </si>
  <si>
    <t>VOLUME CONFORME ITEM 3.2</t>
  </si>
  <si>
    <t>VOLUME CONFORME ITEM 4.2 (JÁ EMPOLADO)</t>
  </si>
  <si>
    <t>4.5</t>
  </si>
  <si>
    <t>ESCAV. E CARGA 1ª CATEG. - SEM TRANSPORTE</t>
  </si>
  <si>
    <t>TRANSPORTE LOCAL MAT. 1ª CATEG. C/ BASCULANTE 10M³ - DMT&gt;10,0KM</t>
  </si>
  <si>
    <t>REVESTIMENTO PRIMÁRIO - ESPALHAMENTO</t>
  </si>
  <si>
    <t>MOVIMENTAÇÃO DE TERRA - CORPO DE ATERRO</t>
  </si>
  <si>
    <t>MOVIMENTAÇÃO DE TERRA - ESCAVAÇÃO</t>
  </si>
  <si>
    <t>TERRAPLANAGEM E PAVIMENTAÇÃO</t>
  </si>
  <si>
    <t>DESMATAMENTO, LIMPEZA E EXPURGO DE JAZIDA</t>
  </si>
  <si>
    <t>ACABAMENTO E RECOMPOSIÇÃO DE JAZIDAS</t>
  </si>
  <si>
    <t xml:space="preserve">M3xKM </t>
  </si>
  <si>
    <t>M3xKM</t>
  </si>
  <si>
    <t>VOLUME MATERIAL DAS PISTAS</t>
  </si>
  <si>
    <t>SUB-BASE</t>
  </si>
  <si>
    <t>VOLUME MATERIAL BASE CONFORME ITEM 6.5</t>
  </si>
  <si>
    <t>ÁREA DA JAZIDA</t>
  </si>
  <si>
    <r>
      <t xml:space="preserve">CONFORME ITEM </t>
    </r>
    <r>
      <rPr>
        <sz val="11"/>
        <color theme="1"/>
        <rFont val="Calibri"/>
        <family val="2"/>
        <scheme val="minor"/>
      </rPr>
      <t>6.2</t>
    </r>
  </si>
  <si>
    <t>DMT – JAZIDA X CENTRO DE MASSA DA OBRA</t>
  </si>
  <si>
    <t>ESC. E CARGA DE MAT. DE JAZ-. C/ INDENIZ. (PAV.URB.)</t>
  </si>
  <si>
    <t>TRANSPORTE DE MAT. DE JAZIDA-CASCALHO (PAV.URB.)</t>
  </si>
  <si>
    <t>ESTABILIZAÇÃO GRANULOMÉTRICA SEM MISTURA (PAV.URB.)</t>
  </si>
  <si>
    <t>COMPACTAÇÃO À 95% DO P.N (PAV.URB.)</t>
  </si>
  <si>
    <t>IMPRIMAÇÃO (PAV.URB.)</t>
  </si>
  <si>
    <t>PINTURA DE LIGAÇÃO (PAV.URB.)</t>
  </si>
  <si>
    <t>FORNECIMENTO DE CM-30</t>
  </si>
  <si>
    <t>FORNECIMENTO DE EMULSÃO RR-2C</t>
  </si>
  <si>
    <t>FORNECIMENTO DE CAP-30/45</t>
  </si>
  <si>
    <t>T</t>
  </si>
  <si>
    <t>PISO EM CONCRETO DESEMPENADO ESPESSURA = 7 CM 1:2,5:3,5</t>
  </si>
  <si>
    <t>LASTRO DE BRITA(GAP) (BC)</t>
  </si>
  <si>
    <t>ESCORAMENTO DESCONTÍNUO EM VALAS(ESPAÇ.1,80 M)</t>
  </si>
  <si>
    <t>REATERRO DE VALAS C/ COMPACTAÇÃO VIBRATÓRIA</t>
  </si>
  <si>
    <t>FORNECIMENTO, TRANSPORTE E ASSENTAMENTO DE TUBO D=0,60 M (AC)</t>
  </si>
  <si>
    <t>POÇO DE VISITA PARA REDE D=0,60 M, PARTE FIXA C/1,00M DE ALTURA (AC/BC)</t>
  </si>
  <si>
    <t>ACRÉSCIMO NA ALTURA DO P.V. PARA REDE D= 0,60 M (AC)</t>
  </si>
  <si>
    <t>PINTURA À CAL (3 DEMÃOS)</t>
  </si>
  <si>
    <t>TACHA REFLETIVA MONODIRECIONAL</t>
  </si>
  <si>
    <t>TACHÃO REFLETIVO MONODIRECIONAL</t>
  </si>
  <si>
    <t>8.6</t>
  </si>
  <si>
    <t>AGETOP T133 - CUSTOS DE OBRAS CIVIS - DEZEMBRO/2018 - DESONERADA - BDI:26,65%</t>
  </si>
  <si>
    <t>AGETOP T135 - TABELA DE TERRAPLENAGEM, PAVIMENTAÇÃO E OBRAS DE ARTE ESPECIAIS - MARÇO/18 - BDI: 26,24%</t>
  </si>
  <si>
    <t>5.2</t>
  </si>
  <si>
    <t>5.3</t>
  </si>
  <si>
    <t>6.27</t>
  </si>
  <si>
    <t>6.28</t>
  </si>
  <si>
    <t>9.19</t>
  </si>
  <si>
    <t>10.24</t>
  </si>
  <si>
    <t>11.18</t>
  </si>
  <si>
    <t>11.19</t>
  </si>
  <si>
    <t>0,40 X 0,40</t>
  </si>
  <si>
    <t>PRODUTO</t>
  </si>
  <si>
    <t>ASFALTOS DILUÍDOS CM-30</t>
  </si>
  <si>
    <t>Goiás</t>
  </si>
  <si>
    <t>CIMENTOS ASFÁLTICOS CAP-30-45</t>
  </si>
  <si>
    <t>EMULSÕES ASFÁLTICAS RL-1C</t>
  </si>
  <si>
    <t>EMULSÕES ASFÁLTICAS RR-2C</t>
  </si>
  <si>
    <t xml:space="preserve">                       Agência Nacional do Petróleo, Gás Natural e Biocombustíveis</t>
  </si>
  <si>
    <t xml:space="preserve">                       Superintendência de Defesa da Concorrência, Estudos e Regulação Econômica</t>
  </si>
  <si>
    <t>PREÇO MÉDIO MENSAL PONDERADO PRATICADO PELOS DISTRIBUIDORES DE PRODUTOS ASFÁLTICOS (R$/KG)</t>
  </si>
  <si>
    <t>CUSTO/KG</t>
  </si>
  <si>
    <t>REFERENCIAL</t>
  </si>
  <si>
    <t xml:space="preserve">CUSTO/T  </t>
  </si>
  <si>
    <t>BDI  17,09%</t>
  </si>
  <si>
    <t>FORMA CHAPA COMPENSADA RESINADA 12 MM (INCLUSO DESFORMA) - INFRAESTRUTURA</t>
  </si>
  <si>
    <t>CONCRETO FCK=20 MPA (AC/BC)</t>
  </si>
  <si>
    <t>ENSECADEIRA</t>
  </si>
  <si>
    <t>9.2</t>
  </si>
  <si>
    <t>VIGAS BALDRAMES</t>
  </si>
  <si>
    <t>CONCRETAGEM BLOCOS</t>
  </si>
  <si>
    <t>AÇO CA50/60 AQUISIÇÃO, ARMAÇÃO E COLOCAÇÃO (INCLUSO PERDAS) - MESOESTRUTURA</t>
  </si>
  <si>
    <t>FORMA CHAPA COMPENSADA RESINADA 12 MM (INCLUSO DESFORMA) - MESOESTRUTURA</t>
  </si>
  <si>
    <t>PILARES</t>
  </si>
  <si>
    <t xml:space="preserve">AÇO CA 50 - 6,3 MM </t>
  </si>
  <si>
    <t xml:space="preserve">AÇO CA 50 - 8,0 MM </t>
  </si>
  <si>
    <t xml:space="preserve">AÇO CA 50 - 10,0 MM </t>
  </si>
  <si>
    <t xml:space="preserve">AÇO CA 50 - 12,5 MM </t>
  </si>
  <si>
    <t xml:space="preserve">AÇO CA 50 - 25,0 MM </t>
  </si>
  <si>
    <t>CONCRETO FCK=30 MPA COM ADITIVO (AC/BC)</t>
  </si>
  <si>
    <t>CORTINAS DA PONTE</t>
  </si>
  <si>
    <t>CP.04</t>
  </si>
  <si>
    <t xml:space="preserve">VIGAS PRÉ-FRABICADAS EM CONCRETO ARMADO COM PROTENSÃO </t>
  </si>
  <si>
    <t>AÇO CA-50-A - 6,3 MM (1/4") - (OBRA CIVIS)</t>
  </si>
  <si>
    <t>AÇO CA-50-A - 10,0 MM (3/8") - (OBRA CIVIS)</t>
  </si>
  <si>
    <t>AÇO CA-50-A - 8,0 MM (5/16") - (OBRA CIVIS)</t>
  </si>
  <si>
    <t>LANÇAMENTO/APLICAÇÃO/ADENSAMENTO DE CONCRETO USINADO BOMBEADO EM ESTRUTURA - (O.C.)</t>
  </si>
  <si>
    <t>FORMA CH.COMPENSADA PLASTIF.12MM-VIGA/PILAR U=3V-(O.C.)</t>
  </si>
  <si>
    <t>FORNECIMENTO, CORTE E COLOCAÇÃO DE CABO CP-190 RB D=12,7mm C/ ADERÊNCIA</t>
  </si>
  <si>
    <t>BDI (%)</t>
  </si>
  <si>
    <t>CUSTO TOTAL</t>
  </si>
  <si>
    <t>FORNECIMENTO, CORTE E COLOCAÇÃO DE BAINHA METÁLICA D=55,0mm P/ 6 CORDOALHAS (D=12,7mm) - MAC</t>
  </si>
  <si>
    <t>VIGAS DAS PONTES</t>
  </si>
  <si>
    <t>TRANSPORTE DE PRÉ MOLDADOS EM CAMINHÃO PRANCHA 3 EIXOS - CAP. 30 T</t>
  </si>
  <si>
    <t>VOLUME CONFORME ITEM 9.8</t>
  </si>
  <si>
    <t>VOLUME CONFORME ITEM 9.4</t>
  </si>
  <si>
    <t>AÇO CA-50-A - 12,5 MM (1/2") - (OBRA CIVIS)</t>
  </si>
  <si>
    <t>CONSOLES DA PONTE</t>
  </si>
  <si>
    <t>VOLUME CONFORME ITEM 9.10</t>
  </si>
  <si>
    <t>VOLUMES DE CONCRETO</t>
  </si>
  <si>
    <t>FORMA CHAPA COMPENSADA RESINADA 12 MM (INCLUSO DESFORMA) - SUPERESTRUTURA</t>
  </si>
  <si>
    <t>TRANSPORTE DAS VIGAS PRÉ - FABRICADAS</t>
  </si>
  <si>
    <t>CONFORME ITEM 9.9</t>
  </si>
  <si>
    <t>TxKM</t>
  </si>
  <si>
    <t>DMT (FÁBRICA DE PRÉ-MOLDADOS X CENTRO MASSA DA OBRA)</t>
  </si>
  <si>
    <t>PESO ESPECÍFICO CONCRETO</t>
  </si>
  <si>
    <t>25 KN/M³</t>
  </si>
  <si>
    <t>VOLUME / VIGA</t>
  </si>
  <si>
    <t>PESO / VIGA</t>
  </si>
  <si>
    <t>QUANTIDADE DE PONTES</t>
  </si>
  <si>
    <t>NEOPRENE</t>
  </si>
  <si>
    <t>VOLUME DE 1 PEÇA</t>
  </si>
  <si>
    <t>CM3</t>
  </si>
  <si>
    <t>PESO ESPECÍFICO</t>
  </si>
  <si>
    <t>G/CM3</t>
  </si>
  <si>
    <t>LASTRO DE PEDRA MARROADA(GAP)</t>
  </si>
  <si>
    <t>ESCORAMENTO PARA PONTE</t>
  </si>
  <si>
    <t>PONTES - VOLUMES CONFORME ITENS 9.8 E 9.10</t>
  </si>
  <si>
    <t>LASTRO DE CONCRETO REGULARIZADO SEM IMPERMEAB. 1:3:6 ESP= 5CM (BASE)</t>
  </si>
  <si>
    <t>ÁREA DA SEÇÃO</t>
  </si>
  <si>
    <t>PAREDES E CHANFRO</t>
  </si>
  <si>
    <t>LARGURA: 9,70</t>
  </si>
  <si>
    <t>FORMA CH.COMPENSADA PLASTIF. 12MM-U=5V - (OBRAS CIVIS)</t>
  </si>
  <si>
    <t>DRENO SUB-SUPERFICIAL - DSS 02 (EXCETO ESCAVAÇÃO) (BC)</t>
  </si>
  <si>
    <t>TRANSPORTE COMERCIAL DE AGREGADOS - OAE</t>
  </si>
  <si>
    <t>LIMPEZA EM SUPERFÍCIE DE CONCRETO COM JATEAMENTO D'ÁGUA SOB PRESSÃO</t>
  </si>
  <si>
    <t>FORNECIMENTO, TRANSPORTE E ASSENTAMENTO DE TUBO D=1,20 M (AC)</t>
  </si>
  <si>
    <t>TELA SOLDADA Q138</t>
  </si>
  <si>
    <t>(I) AGETOP - T133</t>
  </si>
  <si>
    <t>DISSIPADOR DE ENERGIA - DEB 11 (AC/BC)</t>
  </si>
  <si>
    <t>LARGURA DO DISSIPADOR: 4,30 METROS</t>
  </si>
  <si>
    <t>AGETOP T133</t>
  </si>
  <si>
    <t>BASE E SUB-BASE</t>
  </si>
  <si>
    <t>ÍNDICE</t>
  </si>
  <si>
    <t>ESCAV. E CARGA 3ª CATEG. - SEM TRANSPORTE</t>
  </si>
  <si>
    <t>TRANSPORTE LOCAL MAT. 3ª CATEG. C/ BASCULANTE 10M³ - DMT&gt;1,2KM</t>
  </si>
  <si>
    <t>CONFORME ITEM 4.3</t>
  </si>
  <si>
    <t>VOLUME CONFORME ITEM 4.3 (JÁ EMPOLADO)</t>
  </si>
  <si>
    <t>DISTÂNCIA TRANSPORTE (CENTRO MASSA OBRA X BOTA FORA)</t>
  </si>
  <si>
    <t>CONFORME ITEM 6.11</t>
  </si>
  <si>
    <t>PESO ESPECÍFICO (T/M3)</t>
  </si>
  <si>
    <t>CALÇADA RUA JOSÉ E. DA ROCHA</t>
  </si>
  <si>
    <t>PESO CONFORME ITEM 6.12</t>
  </si>
  <si>
    <t>PESO CONFORME ITEM 6.13</t>
  </si>
  <si>
    <t>CALÇADA RUA 28</t>
  </si>
  <si>
    <t>CALÇADA AV. 20 DE AGOSTO</t>
  </si>
  <si>
    <t>CALÇADA RUA 29</t>
  </si>
  <si>
    <t>CONFORMAÇÃO DE TALUDE</t>
  </si>
  <si>
    <t>TALUDES CONCRETO</t>
  </si>
  <si>
    <t>REVESTIMENTO VEGETAL EM PLACAS (GRAMA)</t>
  </si>
  <si>
    <t>FLORESTAMENTO</t>
  </si>
  <si>
    <t>12.3</t>
  </si>
  <si>
    <t>PARQUE LINEAR QUADRA 1</t>
  </si>
  <si>
    <t>PARQUE LINEAR QUADRA 2</t>
  </si>
  <si>
    <t>PARQUE LINEAR QUADRA 3</t>
  </si>
  <si>
    <t>PARQUE LINEAR QUADRA 4</t>
  </si>
  <si>
    <t>30% DO MATERIAL</t>
  </si>
  <si>
    <t>ASSENTAMENTO DOS TUBOS DE DRENAGEM PLUVIAL</t>
  </si>
  <si>
    <t>PROF. MÉDIA</t>
  </si>
  <si>
    <t>CONFORME ITEM 7.1</t>
  </si>
  <si>
    <t>VOLUME CONFORME ITEM 7.1</t>
  </si>
  <si>
    <t xml:space="preserve">VOLUME DOS TUBOS </t>
  </si>
  <si>
    <t>TOTAL = A - B</t>
  </si>
  <si>
    <t>TUBULAÇÃO DN 600mm - CONFORME PROJETO DRENAGEM</t>
  </si>
  <si>
    <t>ACRÉSCIMO EM METROS</t>
  </si>
  <si>
    <t>12.4</t>
  </si>
  <si>
    <t>TOTAL COM BDI</t>
  </si>
  <si>
    <t>ADMINISTRAÇÃO LOCAL DE OBRA</t>
  </si>
  <si>
    <t>CP. 03</t>
  </si>
  <si>
    <t>CP. 02</t>
  </si>
  <si>
    <t>CP. 01</t>
  </si>
  <si>
    <t>PROFISSIONAL</t>
  </si>
  <si>
    <t>TEMPO OBRA (MESES)</t>
  </si>
  <si>
    <t>CUSTO UNITÁRIO</t>
  </si>
  <si>
    <t>CP. 04</t>
  </si>
  <si>
    <t>CP. 05</t>
  </si>
  <si>
    <t>CP. 06</t>
  </si>
  <si>
    <t>CP. 07</t>
  </si>
  <si>
    <t>CP. 08</t>
  </si>
  <si>
    <t>CP. 09</t>
  </si>
  <si>
    <t>CP. 10</t>
  </si>
  <si>
    <t>Topógrafo</t>
  </si>
  <si>
    <t>Auxiliar de Topografia</t>
  </si>
  <si>
    <t>Encarregado Administrativo</t>
  </si>
  <si>
    <t xml:space="preserve"> Auxiliar de almoxarife (Mensalista)  - BDI: 26,65%</t>
  </si>
  <si>
    <t>PROLONGAMENTO INTERCEPTOR MARGEM ESQUERDA</t>
  </si>
  <si>
    <t>DEMOLIÇÃO DE CONCRETO ARMADO</t>
  </si>
  <si>
    <t>LOCAÇÃO DE REDES DE ÁGUA OU DE ESGOTO</t>
  </si>
  <si>
    <t>ESCAVAÇÃO MEC. DE VALAS DE MAT. 1ª CAT. (INCL. TRANSPORTE)</t>
  </si>
  <si>
    <t>ATERRO COM AREIA COM ADENSAMENTO HIDRAULICO</t>
  </si>
  <si>
    <t>12.5</t>
  </si>
  <si>
    <t>12.6</t>
  </si>
  <si>
    <t>12.7</t>
  </si>
  <si>
    <t>TUBO DE PEAD CORRUGADO DE DUPLA PAREDE PARA REDE COLETORA DE ESGOTO, DN 600 MM, JUNTA ELÁSTICA INTEGRADA, INSTALADO EM LOCAL COM NÍVEL BAIXO DE INTERFERÊNCIAS - FORNECIMENTO E ASSENTAMENTO. AF_06/2015</t>
  </si>
  <si>
    <t>12.8</t>
  </si>
  <si>
    <t>12.9</t>
  </si>
  <si>
    <t>12.10</t>
  </si>
  <si>
    <t>12.11</t>
  </si>
  <si>
    <t>12.12</t>
  </si>
  <si>
    <t>12.13</t>
  </si>
  <si>
    <t>12.14</t>
  </si>
  <si>
    <t>12.15</t>
  </si>
  <si>
    <t>ARGILA OU BARRO PARA ATERRO/REATERRO (RETIRADO NA JAZIDA, SEM TRANSPORTE)</t>
  </si>
  <si>
    <t>(I) SINAPI - MAI/19</t>
  </si>
  <si>
    <t>SINAPI - MAI/19</t>
  </si>
  <si>
    <t>JUNTA ARGAMASSADA ENTRE TUBO DN 600 MM E O POÇO DE VISITA/ CAIXA DE CONCRETO OU ALVENARIA EM REDES DE ESGOTO. AF_06/2015</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</si>
  <si>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</si>
  <si>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</si>
  <si>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CHAMINÉ CIRCULAR PARA POÇO DE VISITA PARA ESGOTO, EM CONCRETO PRÉ-MOLDADO, DIÂMETRO INTERNO = 0,6 M. AF_05/2018</t>
  </si>
  <si>
    <t>TAMPA CIRCULAR PARA ESGOTO E DRENAGEM, EM FERRO FUNDIDO, DIÂMETRO INTERNO = 0,6 M. AF_05/2018</t>
  </si>
  <si>
    <t>ESTRUTURA METÁLICA CONVENCIONAL EM AÇO TIPO MR-250 / ASTM A36 COM FUNDO ANTICORROSIVO</t>
  </si>
  <si>
    <t>ESTRUTURAS CONCRETO EXISTENTES</t>
  </si>
  <si>
    <t>PILARES TRAVESSIA AÉREA INTERCEPTOR EXISTENTE</t>
  </si>
  <si>
    <t>ALTURA MÉDIA</t>
  </si>
  <si>
    <t>CONFORME PROJETO BÁSICO</t>
  </si>
  <si>
    <t xml:space="preserve">NOVA REDE INTERCEPTOR DE ESGOTO </t>
  </si>
  <si>
    <t>NOVA REDE (TRAVESSIA AÉREA)</t>
  </si>
  <si>
    <t xml:space="preserve">POÇOS DE VISITA </t>
  </si>
  <si>
    <t>CONFORME PROJETO TRAVESSIA AÉREA</t>
  </si>
  <si>
    <t>POÇOS DE VISITA</t>
  </si>
  <si>
    <t>ACRÉSCIMO</t>
  </si>
  <si>
    <t>VOLUME TUBULAÇÃO</t>
  </si>
  <si>
    <t>VOLUME CONFORME ITEM 12.5</t>
  </si>
  <si>
    <t xml:space="preserve">TOTAL = A - B - C </t>
  </si>
  <si>
    <t>ÁREA: 0,2826</t>
  </si>
  <si>
    <t>DMT - JAZIDA X CENTRO MASSA DE OBRA</t>
  </si>
  <si>
    <t>VOLUME ATÉ COTA VALA (MATERIAL ESCAVADO DAS VALAS)</t>
  </si>
  <si>
    <t>ENTRADAS</t>
  </si>
  <si>
    <t>SAÍDAS</t>
  </si>
  <si>
    <t>CONFORME RELATÓRIO DE VOLUME POR SEÇÕES - (5% DO MATERIAL)</t>
  </si>
  <si>
    <t>5.5</t>
  </si>
  <si>
    <t>VOLUME  CONFORME ITEM 5.2</t>
  </si>
  <si>
    <t>CONFORME O ITEM 5.2</t>
  </si>
  <si>
    <t>DMT – REFINARIA X CENTRO DE MASSA DA OBRA</t>
  </si>
  <si>
    <t>7.11</t>
  </si>
  <si>
    <t>7.12</t>
  </si>
  <si>
    <t>VOLUME CONFORME ITEM 7.2</t>
  </si>
  <si>
    <t>VOLUME CONFORME ITEM 7.5</t>
  </si>
  <si>
    <t>SICRO -JAN/19</t>
  </si>
  <si>
    <t>BLOCOS DAS PONTES</t>
  </si>
  <si>
    <t>ESCAVAÇÃO MEC. DE VALAS DE MAT. 3ª CAT. (INCL. TRANSPORTE)</t>
  </si>
  <si>
    <t>SICRO - JAN/19</t>
  </si>
  <si>
    <t>PINTURA TEXTURIZADA C/SELADOR ACRILICO</t>
  </si>
  <si>
    <t>MONUMENTO O ESPANHOL</t>
  </si>
  <si>
    <t>ESTACA A TRADO DIAM.30 CM SEM FERRO</t>
  </si>
  <si>
    <t>PREPARO COM BETONEIRA E TRANSPORTE MANUAL DE CONCRETO FCK=25 MPA</t>
  </si>
  <si>
    <t>LANÇAMENTO/APLICAÇÃO/ADENSAMENTO DE CONCRETO EM FUNDAÇÃO- (O.C.)</t>
  </si>
  <si>
    <t xml:space="preserve">ACO CA 50-A - 8,0 MM (5/16") - (OBRAS CIVIS) </t>
  </si>
  <si>
    <t>BOTOEIRA "LIGA-DESLIGA" P/INST.EM PORTA DE QUADRO</t>
  </si>
  <si>
    <t xml:space="preserve">CABO ISOLADO PP 3 X 4,0 MM2 M </t>
  </si>
  <si>
    <t xml:space="preserve">CABO PVC (70ºC) 1 KV No 1,5 MM2 </t>
  </si>
  <si>
    <t>CAIXA DE PASSAGEM - ALVENARIA DE 1/2 VEZ COM REVESTIMENTO INTERNO EM REBOCO PAULISTA A-14</t>
  </si>
  <si>
    <t xml:space="preserve">CAIXA METALICA QUADRADA 4"X4"X2" </t>
  </si>
  <si>
    <t>CAIXA PARA QUADRO DE COMANDO METÁLICA DE SOBREPOR 40X40X20 CM</t>
  </si>
  <si>
    <t xml:space="preserve">CANALETA COM TAMPA (LINHA X OU EQUIVALENTE) 20X12X2000 MM </t>
  </si>
  <si>
    <t>DISJUNTOR MONOPOLAR DE 10 A 32-A</t>
  </si>
  <si>
    <t xml:space="preserve">ELETRODUTO PVC FLEXÍVEL - MANGUEIRA CORRUGADA LEVE - DIAM. 20MM </t>
  </si>
  <si>
    <t xml:space="preserve">PADRAO MONOFASICO, 10 MM2 H=7 METROS </t>
  </si>
  <si>
    <t xml:space="preserve">FITA ISOLANTE, ROLO DE 10,00 M </t>
  </si>
  <si>
    <t>LUMINÁRIA PARA JARDIM COM POSTE 3,00 M COM 02 LUMINÁRIAS PLANAS - INCLUSO BASE DE CONCRETO PADRÃO AGETOP E FIXAÇÃO</t>
  </si>
  <si>
    <t>LAMPADA VAPOR DE SODIO (OVOIDE) 250 W</t>
  </si>
  <si>
    <t>QUADRO DE DISTRIBUIÇÃO DE EMBUTIR EM PVC CB 12E - 80A</t>
  </si>
  <si>
    <t>RELE FOTO ELETRICO COM BASE</t>
  </si>
  <si>
    <t>FORMA CH.COMPENSADA 12MM-VIGA/PILAR U=1V - (OBRAS CIVIS)</t>
  </si>
  <si>
    <t xml:space="preserve">REBOCO (1CALH:4ARFC+100KG CI/M3) ESP.= 1CM </t>
  </si>
  <si>
    <t xml:space="preserve">PORTA CHAPA / GRADE - PRE-MOLD.PPM-3 C/FERRAGEM </t>
  </si>
  <si>
    <t>ESCULTURA DE BRONZE - ESPANHOL</t>
  </si>
  <si>
    <t xml:space="preserve">REVESTIMENTO DE MARMORE PADRONIZADO </t>
  </si>
  <si>
    <t>LASTRO DE CONCRETO REGULARIZADO IMPERMEABILIZADO 1:3:6 ESP=5CM (BASE)</t>
  </si>
  <si>
    <t xml:space="preserve">PISO EM CONCRETO DESEMPENADO ESPESSURA = 7 CM 1:2,5:3,5 </t>
  </si>
  <si>
    <t>TARGETA NIQUELADA No. 03</t>
  </si>
  <si>
    <t>CADEADO 30 MM</t>
  </si>
  <si>
    <t xml:space="preserve">PAVIMENTO INTERTRAVADO ESPESSURA DE 6CM E FCK = 35 MPA </t>
  </si>
  <si>
    <t>CP. 11</t>
  </si>
  <si>
    <t>MATERIAL FUNDO DO CANAL</t>
  </si>
  <si>
    <t>PROLONGAMENTO DA RUA JOSÉ DE ALENCAR</t>
  </si>
  <si>
    <t>REDE INTERCEPTORA DE ESGOTO</t>
  </si>
  <si>
    <t>1.11</t>
  </si>
  <si>
    <t>PROJETO ESTRUTURAL DE PCA</t>
  </si>
  <si>
    <t>CONFORME COMPOSIÇÃO 2</t>
  </si>
  <si>
    <t>PINTURA ALQUÍDICA BRILHANTE DUPLA FUNÇÃO 2 DEMÃOS = 50 MÍCRONS</t>
  </si>
  <si>
    <t>12.16</t>
  </si>
  <si>
    <t>ÁREA MÉDIA DAS SEÇÕES</t>
  </si>
  <si>
    <t>ESCAV., CARGA E TRANSPORTE DE MAT. 1ª CATEG. - C/ ESCAVADEIRA - (DT: 5.001 A 10.000M)</t>
  </si>
  <si>
    <t>ESCAV., CARGA E TRANSPORTE DE MAT. 2ª CATEG. - C/ ESCAVADEIRA - (DT: 5.001 A 10.000M)</t>
  </si>
  <si>
    <t xml:space="preserve">SUBTOTAL </t>
  </si>
  <si>
    <t>RUA JOSÉ E. DA ROCHA C/ PISTA LADO ESQUERDO</t>
  </si>
  <si>
    <t>CONFORME RELATÓRIO DE VOLUME POR SEÇÕES - (60% DO MATERIAL)</t>
  </si>
  <si>
    <t>CONFORME RELATÓRIO DE VOLUME POR SEÇÕES - (35% DO MATERIAL)</t>
  </si>
  <si>
    <t>SINAPI GOIÁS MAIO/2019 - PCI.817.01 - CUSTO DE COMPOSIÇÕES - SINTÉTICO - DESONERADA - BDI: 26,65%</t>
  </si>
  <si>
    <t>SICRO GOIÁS JAN/2019 - COMPOSIÇÃO SINTÉTICO DE SERVIÇOS - DESONERADA - BDI: 26,65%</t>
  </si>
  <si>
    <t>CONFORME ITEM 6.1</t>
  </si>
  <si>
    <t>VOLUME BASE CONFORME ITEM 6.4</t>
  </si>
  <si>
    <t>VOLUME SUB-BASE CONFORME ITEM 6.4</t>
  </si>
  <si>
    <t>PESO CONFORME ITEM 6.11</t>
  </si>
  <si>
    <r>
      <t xml:space="preserve">CONFORME ITEM </t>
    </r>
    <r>
      <rPr>
        <sz val="11"/>
        <color theme="1"/>
        <rFont val="Calibri"/>
        <family val="2"/>
        <scheme val="minor"/>
      </rPr>
      <t>7.8</t>
    </r>
  </si>
  <si>
    <t>CONSOLE PARTE 2</t>
  </si>
  <si>
    <t>CONSOLE PARTE 3</t>
  </si>
  <si>
    <t>CONSOLE PARTE 1</t>
  </si>
  <si>
    <t>ÁREA DE ALVENARIA - ITEM 10.18</t>
  </si>
  <si>
    <t>ÁREA DE CHAPISCO - ITEM 10.19</t>
  </si>
  <si>
    <t>ÁREA CONFORME ITEM 10.20</t>
  </si>
  <si>
    <t>BOCA DE BDTC D=1,00M (AC/BC)</t>
  </si>
  <si>
    <t>BOCA DE BTTC D=1,00M (AC/BC)</t>
  </si>
  <si>
    <t>CONFORME PROJETO DRENAGEM PLUVIAL</t>
  </si>
  <si>
    <t>7.13</t>
  </si>
  <si>
    <t>12.17</t>
  </si>
  <si>
    <t>NOVA REDE (TRAVESSIA AÉREA) - COMPLEMENTAÇÃO</t>
  </si>
  <si>
    <t>VOLUME CONFORME ITEM 12.8</t>
  </si>
  <si>
    <t>PLANILHA DE COMPOSIÇÕES</t>
  </si>
  <si>
    <t>CORTA-RIO</t>
  </si>
  <si>
    <t>10.25</t>
  </si>
  <si>
    <t>TUBO COM PONTA E BOLSA EM Fº DÚCTIL/ESGOTO, CLASSE K-7, JGS, DN 600, L=5,90 M</t>
  </si>
  <si>
    <t>SEÇÃO DO CORTA RIO</t>
  </si>
  <si>
    <t>COMPRIMENTO LINEAR (E 0 à E 25,00)</t>
  </si>
  <si>
    <t>CONFORME ITEM 10.2</t>
  </si>
  <si>
    <t>CONFORME ITEM 10.9</t>
  </si>
  <si>
    <t>CONFORME ITEM 10.8</t>
  </si>
  <si>
    <t>CONFORME ITEM 10.11</t>
  </si>
  <si>
    <t>CONSUMO MATERIAL</t>
  </si>
  <si>
    <t xml:space="preserve"> LIMPEZA DE OBRA E ACABAMENTOS FINAIS</t>
  </si>
  <si>
    <t>PLACA DE INAUGURACAO ACO ESCOVADO 80 X 60 CM</t>
  </si>
  <si>
    <t>PLACA DE INAUGURAÇÃO</t>
  </si>
  <si>
    <t>PLACAS NAS FACES DO OBELISCO (ESTÁTUA O ESPANHOL)</t>
  </si>
  <si>
    <t>Laboratorista de Solos</t>
  </si>
  <si>
    <t>Auxiliar de Laboratorista</t>
  </si>
  <si>
    <t>Equipamentos de Laboratório de Solos</t>
  </si>
  <si>
    <t>COMP.</t>
  </si>
  <si>
    <t>V=(H/3)X(B+ sqrt(BXb)+b)</t>
  </si>
  <si>
    <t>CONCRETO OBELISCO</t>
  </si>
  <si>
    <t>PESO (KG)</t>
  </si>
  <si>
    <t>ARMAÇÃO OBELISCO</t>
  </si>
  <si>
    <t>ARMAÇÃO ESTACA</t>
  </si>
  <si>
    <t>QUANT. POSTES</t>
  </si>
  <si>
    <t>LARG.</t>
  </si>
  <si>
    <t>forma do piso envolta do monumento</t>
  </si>
  <si>
    <t>reboco do obelisco</t>
  </si>
  <si>
    <t>porta de acesso aos comandos/quadro e demais itens elétricos</t>
  </si>
  <si>
    <t>conforme item 1.23</t>
  </si>
  <si>
    <t>BASE DO OBELISCO</t>
  </si>
  <si>
    <t>39,3+35,2</t>
  </si>
  <si>
    <t>CONFORME COMPOSIÇÃO 11</t>
  </si>
  <si>
    <t>VOLUME DO OBELISCO</t>
  </si>
  <si>
    <t>12.18</t>
  </si>
  <si>
    <t>12.19</t>
  </si>
  <si>
    <t>12.20</t>
  </si>
  <si>
    <t>12.21</t>
  </si>
  <si>
    <t>FORMA CHAPA COMPENSADA RESINADA 12 MM (INCLUSO DESFORMA)</t>
  </si>
  <si>
    <t>AÇO CA50/60 AQUISIÇÃO, ARMAÇÃO E COLOCAÇÃO (INCLUSO PERDAS) - INFRAESTRUTURA</t>
  </si>
  <si>
    <t>ASSENTAMENTO DE TUBO DE PVC DEFOFO OU PRFV OU RPVC PARA REDE DE ÁGUA, DN 150 MM, JUNTA ELÁSTICA INTEGRADA, INSTALADO EM LOCAL COM NÍVEL ALTO DE INTERFERÊNCIAS (NÃO INCLUI FORNECIMENTO). AF_11/2017</t>
  </si>
  <si>
    <t>TUBO PVC DEFOFO, JEI, 1 MPA, DN 150 MM, PARA REDE DE AGUA (NBR 7665)</t>
  </si>
  <si>
    <t>12.22</t>
  </si>
  <si>
    <t xml:space="preserve">BLOCOS FUNDAÇÃO TRAVESSIA AÉRA </t>
  </si>
  <si>
    <t>AÇO CA50 6,3 MM</t>
  </si>
  <si>
    <t>QTD BLOCOS</t>
  </si>
  <si>
    <t>MASSA LINEAR</t>
  </si>
  <si>
    <t>AÇO CA50 10,00 MM</t>
  </si>
  <si>
    <t>VOLUME DOS BLOCOS</t>
  </si>
  <si>
    <t>CONFORME PROJETO LOCAÇÃO DAS TUBULAÇÕES</t>
  </si>
  <si>
    <t>CONFORME ITEM 12.21</t>
  </si>
  <si>
    <t>BANCO CONCRETO POLIDO BASE EM ALVENARIA TIJOLO APARENTE PINTADA - PADRÃO AGETOP 2015</t>
  </si>
  <si>
    <t>BLOCOS TRAVESSIA AÉREA</t>
  </si>
  <si>
    <t>2 BLOCOS</t>
  </si>
  <si>
    <t>2 ESTACAS CADA</t>
  </si>
  <si>
    <t>COTAÇÕES</t>
  </si>
  <si>
    <t>13.1</t>
  </si>
  <si>
    <t>13.2</t>
  </si>
  <si>
    <t>13.3</t>
  </si>
  <si>
    <t>13.4</t>
  </si>
  <si>
    <t>13.5</t>
  </si>
  <si>
    <t>13.6</t>
  </si>
  <si>
    <t xml:space="preserve"> ILUMINAÇÃO PÚBLICA</t>
  </si>
  <si>
    <t>ESTRUTURA DE CONTENÇÃO - CANALIZAÇÃO</t>
  </si>
  <si>
    <t>PONTES DE TRANSPOSIÇÃO DO CANAL</t>
  </si>
  <si>
    <t xml:space="preserve"> SINALIZAÇÃO VERTICAL E HORIZONTAL</t>
  </si>
  <si>
    <t>DRENAGEM ÁGUAS PLUVIAIS</t>
  </si>
  <si>
    <t>* FOI CONSIDERADO ARRENDONDAMENTO DE DUAS CASAS DECIMAIS.</t>
  </si>
  <si>
    <t>TOTAL COM BDI *</t>
  </si>
  <si>
    <t>VOLUME CONFORME ITEM 10.4</t>
  </si>
  <si>
    <t>VOLUME CONFORME ITEM 10.22</t>
  </si>
  <si>
    <t>PESO TOTAL CONFORME TABELA RESUMO DO PROJETO</t>
  </si>
  <si>
    <t>ICMS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</si>
</sst>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quot;R$&quot;* #,##0.00_-;\-&quot;R$&quot;* #,##0.00_-;_-&quot;R$&quot;* &quot;-&quot;??_-;_-@_-"/>
    <numFmt numFmtId="165" formatCode="&quot;R$&quot;\ #,##0.00"/>
    <numFmt numFmtId="166" formatCode="&quot;R$&quot;#,##0.00"/>
    <numFmt numFmtId="167" formatCode="* #,##0.00\ ;\-* #,##0.00\ ;* \-#\ ;@\ "/>
    <numFmt numFmtId="168" formatCode="#,##0.000"/>
    <numFmt numFmtId="169" formatCode="#,##0.0000"/>
  </numFmts>
  <fonts count="22" x14ac:knownFonts="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b/>
      <sz val="11"/>
      <color theme="1"/>
      <name val="Calibri"/>
      <family val="2"/>
      <scheme val="minor"/>
    </font>
    <font>
      <sz val="9"/>
      <color theme="1"/>
      <name val="Calibri"/>
      <family val="2"/>
      <scheme val="minor"/>
    </font>
    <font>
      <b/>
      <sz val="11"/>
      <name val="Arial Narrow"/>
      <family val="2"/>
    </font>
    <font>
      <sz val="11"/>
      <name val="Arial Narrow"/>
      <family val="2"/>
    </font>
    <font>
      <sz val="10"/>
      <color rgb="FF000000"/>
      <name val="Arial"/>
      <family val="2"/>
      <charset val="1"/>
    </font>
    <font>
      <sz val="11"/>
      <name val="Calibri"/>
      <family val="2"/>
      <scheme val="minor"/>
    </font>
    <font>
      <b/>
      <sz val="11"/>
      <name val="Calibri"/>
      <family val="2"/>
      <scheme val="minor"/>
    </font>
    <font>
      <b/>
      <sz val="12"/>
      <name val="Calibri"/>
      <family val="2"/>
      <scheme val="minor"/>
    </font>
    <font>
      <b/>
      <sz val="12"/>
      <color theme="1"/>
      <name val="Calibri"/>
      <family val="2"/>
      <scheme val="minor"/>
    </font>
    <font>
      <b/>
      <sz val="11"/>
      <color rgb="FF000000"/>
      <name val="Calibri"/>
      <family val="2"/>
      <scheme val="minor"/>
    </font>
    <font>
      <sz val="11"/>
      <color rgb="FF000000"/>
      <name val="Calibri"/>
      <family val="2"/>
      <scheme val="minor"/>
    </font>
    <font>
      <b/>
      <i/>
      <sz val="11"/>
      <color rgb="FF000000"/>
      <name val="Calibri"/>
      <family val="2"/>
      <scheme val="minor"/>
    </font>
    <font>
      <b/>
      <sz val="11"/>
      <color rgb="FF000000"/>
      <name val="Calibri"/>
      <family val="2"/>
    </font>
    <font>
      <b/>
      <sz val="10"/>
      <name val="Calibri"/>
      <family val="2"/>
    </font>
    <font>
      <sz val="11"/>
      <color theme="1"/>
      <name val="Calibri"/>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BFBFBF"/>
        <bgColor rgb="FFE6B9B8"/>
      </patternFill>
    </fill>
    <fill>
      <patternFill patternType="solid">
        <fgColor rgb="FFFFC000"/>
        <bgColor rgb="FFE6B9B8"/>
      </patternFill>
    </fill>
    <fill>
      <patternFill patternType="solid">
        <fgColor rgb="FFFFFFFF"/>
        <bgColor rgb="FFFFFF66"/>
      </patternFill>
    </fill>
    <fill>
      <patternFill patternType="solid">
        <fgColor theme="0"/>
        <bgColor rgb="FF000000"/>
      </patternFill>
    </fill>
    <fill>
      <patternFill patternType="solid">
        <fgColor rgb="FFFFC000"/>
        <bgColor rgb="FF000000"/>
      </patternFill>
    </fill>
    <fill>
      <patternFill patternType="solid">
        <fgColor rgb="FFBFBFBF"/>
        <bgColor rgb="FF000000"/>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right/>
      <top style="medium">
        <color auto="1"/>
      </top>
      <bottom style="hair">
        <color auto="1"/>
      </bottom>
      <diagonal/>
    </border>
    <border>
      <left style="thin">
        <color auto="1"/>
      </left>
      <right/>
      <top style="medium">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medium">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right style="thin">
        <color auto="1"/>
      </right>
      <top style="hair">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hair">
        <color auto="1"/>
      </top>
      <bottom style="medium">
        <color auto="1"/>
      </bottom>
      <diagonal/>
    </border>
    <border>
      <left style="medium">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right style="thin">
        <color auto="1"/>
      </right>
      <top style="hair">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medium">
        <color auto="1"/>
      </right>
      <top style="hair">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medium">
        <color auto="1"/>
      </left>
      <right style="thin">
        <color auto="1"/>
      </right>
      <top style="hair">
        <color auto="1"/>
      </top>
      <bottom style="medium">
        <color auto="1"/>
      </bottom>
      <diagonal/>
    </border>
    <border>
      <left style="medium">
        <color auto="1"/>
      </left>
      <right/>
      <top style="medium">
        <color auto="1"/>
      </top>
      <bottom style="hair">
        <color auto="1"/>
      </bottom>
      <diagonal/>
    </border>
    <border>
      <left/>
      <right style="thin">
        <color auto="1"/>
      </right>
      <top style="medium">
        <color auto="1"/>
      </top>
      <bottom style="hair">
        <color auto="1"/>
      </bottom>
      <diagonal/>
    </border>
    <border>
      <left style="thin">
        <color auto="1"/>
      </left>
      <right style="thin">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auto="1"/>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medium">
        <color indexed="64"/>
      </right>
      <top style="hair">
        <color auto="1"/>
      </top>
      <bottom style="hair">
        <color auto="1"/>
      </bottom>
      <diagonal/>
    </border>
    <border>
      <left style="thin">
        <color auto="1"/>
      </left>
      <right/>
      <top style="thin">
        <color auto="1"/>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hair">
        <color auto="1"/>
      </top>
      <bottom style="hair">
        <color auto="1"/>
      </bottom>
      <diagonal/>
    </border>
    <border>
      <left style="medium">
        <color auto="1"/>
      </left>
      <right/>
      <top style="thin">
        <color indexed="64"/>
      </top>
      <bottom style="hair">
        <color auto="1"/>
      </bottom>
      <diagonal/>
    </border>
    <border>
      <left style="medium">
        <color auto="1"/>
      </left>
      <right/>
      <top style="hair">
        <color auto="1"/>
      </top>
      <bottom style="thin">
        <color indexed="64"/>
      </bottom>
      <diagonal/>
    </border>
    <border>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indexed="64"/>
      </left>
      <right/>
      <top style="hair">
        <color auto="1"/>
      </top>
      <bottom/>
      <diagonal/>
    </border>
    <border>
      <left style="hair">
        <color indexed="64"/>
      </left>
      <right style="thin">
        <color auto="1"/>
      </right>
      <top style="hair">
        <color auto="1"/>
      </top>
      <bottom style="hair">
        <color indexed="64"/>
      </bottom>
      <diagonal/>
    </border>
    <border>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diagonal/>
    </border>
    <border>
      <left/>
      <right style="thin">
        <color auto="1"/>
      </right>
      <top style="medium">
        <color auto="1"/>
      </top>
      <bottom/>
      <diagonal/>
    </border>
  </borders>
  <cellStyleXfs count="8">
    <xf numFmtId="0" fontId="0" fillId="0" borderId="0"/>
    <xf numFmtId="0" fontId="2" fillId="0" borderId="0"/>
    <xf numFmtId="43" fontId="2" fillId="0" borderId="0" applyFont="0" applyFill="0" applyBorder="0" applyAlignment="0" applyProtection="0"/>
    <xf numFmtId="0" fontId="1" fillId="0" borderId="0"/>
    <xf numFmtId="164"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936">
    <xf numFmtId="0" fontId="0" fillId="0" borderId="0" xfId="0"/>
    <xf numFmtId="0" fontId="3" fillId="0" borderId="0" xfId="0" applyFont="1"/>
    <xf numFmtId="165" fontId="3" fillId="0" borderId="0" xfId="0" applyNumberFormat="1" applyFont="1"/>
    <xf numFmtId="0" fontId="4" fillId="0" borderId="1" xfId="0" applyFont="1" applyBorder="1"/>
    <xf numFmtId="0" fontId="3" fillId="0" borderId="1" xfId="0" applyFont="1" applyBorder="1"/>
    <xf numFmtId="165" fontId="4" fillId="0" borderId="1" xfId="0" applyNumberFormat="1" applyFont="1" applyBorder="1"/>
    <xf numFmtId="10" fontId="3" fillId="0" borderId="1" xfId="5" applyNumberFormat="1" applyFont="1" applyBorder="1"/>
    <xf numFmtId="10" fontId="4" fillId="0" borderId="1" xfId="5" applyNumberFormat="1" applyFont="1" applyBorder="1"/>
    <xf numFmtId="10" fontId="3" fillId="0" borderId="0" xfId="5" applyNumberFormat="1" applyFont="1"/>
    <xf numFmtId="165" fontId="0" fillId="0" borderId="0" xfId="0" applyNumberFormat="1"/>
    <xf numFmtId="0" fontId="0" fillId="0" borderId="0" xfId="0" applyBorder="1"/>
    <xf numFmtId="0" fontId="0" fillId="0" borderId="0" xfId="0" applyFont="1"/>
    <xf numFmtId="0" fontId="0" fillId="0" borderId="0" xfId="0"/>
    <xf numFmtId="0" fontId="3" fillId="0" borderId="0" xfId="0" applyFont="1"/>
    <xf numFmtId="0" fontId="0" fillId="0" borderId="0" xfId="0" applyAlignment="1">
      <alignment horizontal="center"/>
    </xf>
    <xf numFmtId="0" fontId="0" fillId="0" borderId="0" xfId="0" applyBorder="1" applyAlignment="1">
      <alignment horizontal="center" vertical="center"/>
    </xf>
    <xf numFmtId="0" fontId="0" fillId="0" borderId="0" xfId="0" applyAlignment="1">
      <alignment horizontal="center" vertical="center"/>
    </xf>
    <xf numFmtId="0" fontId="0" fillId="0" borderId="15" xfId="0" applyBorder="1"/>
    <xf numFmtId="0" fontId="0" fillId="0" borderId="17" xfId="0" applyBorder="1"/>
    <xf numFmtId="0" fontId="0" fillId="0" borderId="18" xfId="0" applyBorder="1"/>
    <xf numFmtId="0" fontId="7" fillId="6" borderId="19" xfId="0" applyFont="1" applyFill="1" applyBorder="1" applyAlignment="1">
      <alignment horizontal="center" vertical="center"/>
    </xf>
    <xf numFmtId="0" fontId="7" fillId="6" borderId="1" xfId="0" applyFont="1" applyFill="1" applyBorder="1" applyAlignment="1">
      <alignment horizontal="center" vertical="center"/>
    </xf>
    <xf numFmtId="0" fontId="7" fillId="0" borderId="19"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wrapText="1"/>
    </xf>
    <xf numFmtId="0" fontId="0" fillId="0" borderId="1" xfId="0" applyFont="1" applyBorder="1" applyAlignment="1">
      <alignment horizontal="left" vertical="top" wrapText="1"/>
    </xf>
    <xf numFmtId="165" fontId="6" fillId="4" borderId="20" xfId="1" applyNumberFormat="1" applyFont="1" applyFill="1" applyBorder="1" applyAlignment="1">
      <alignment horizontal="center" vertical="center"/>
    </xf>
    <xf numFmtId="165" fontId="6" fillId="6" borderId="2" xfId="1" applyNumberFormat="1" applyFont="1" applyFill="1" applyBorder="1" applyAlignment="1">
      <alignment horizontal="center" vertical="center"/>
    </xf>
    <xf numFmtId="164" fontId="0" fillId="0" borderId="0" xfId="7" applyFont="1"/>
    <xf numFmtId="165" fontId="6" fillId="6" borderId="20" xfId="1" applyNumberFormat="1"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3" fillId="0" borderId="19" xfId="0" applyFont="1" applyBorder="1" applyAlignment="1">
      <alignment horizontal="center" vertical="center"/>
    </xf>
    <xf numFmtId="0" fontId="5" fillId="0" borderId="19" xfId="1" applyFont="1" applyFill="1" applyBorder="1" applyAlignment="1">
      <alignment horizontal="center" vertical="center"/>
    </xf>
    <xf numFmtId="0" fontId="0" fillId="0" borderId="0" xfId="0" applyBorder="1" applyAlignment="1">
      <alignment horizontal="center"/>
    </xf>
    <xf numFmtId="165" fontId="0" fillId="0" borderId="0" xfId="0" applyNumberFormat="1" applyBorder="1"/>
    <xf numFmtId="166" fontId="0" fillId="0" borderId="0" xfId="0" applyNumberFormat="1"/>
    <xf numFmtId="0" fontId="4" fillId="0" borderId="17" xfId="0" applyFont="1" applyBorder="1" applyAlignment="1"/>
    <xf numFmtId="0" fontId="4" fillId="0" borderId="0" xfId="0" applyFont="1" applyBorder="1" applyAlignment="1"/>
    <xf numFmtId="0" fontId="4" fillId="0" borderId="32" xfId="0" applyFont="1" applyBorder="1" applyAlignment="1"/>
    <xf numFmtId="0" fontId="0" fillId="0" borderId="15" xfId="0" applyBorder="1" applyAlignment="1">
      <alignment horizontal="center"/>
    </xf>
    <xf numFmtId="165" fontId="0" fillId="0" borderId="15" xfId="0" applyNumberFormat="1" applyBorder="1"/>
    <xf numFmtId="0" fontId="0" fillId="0" borderId="31" xfId="0" applyBorder="1"/>
    <xf numFmtId="0" fontId="0" fillId="0" borderId="32" xfId="0" applyBorder="1"/>
    <xf numFmtId="0" fontId="0" fillId="0" borderId="33" xfId="0" applyBorder="1"/>
    <xf numFmtId="0" fontId="9" fillId="0" borderId="19"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20" xfId="0" applyFont="1" applyBorder="1" applyAlignment="1">
      <alignment horizontal="center" vertical="center" wrapText="1"/>
    </xf>
    <xf numFmtId="0" fontId="4" fillId="4" borderId="19" xfId="0" applyFont="1" applyFill="1" applyBorder="1" applyAlignment="1">
      <alignment horizontal="center" vertical="center"/>
    </xf>
    <xf numFmtId="0" fontId="6" fillId="4" borderId="1" xfId="1" applyFont="1" applyFill="1" applyBorder="1" applyAlignment="1">
      <alignment horizontal="left" vertical="center"/>
    </xf>
    <xf numFmtId="0" fontId="6" fillId="4" borderId="1" xfId="1" applyFont="1" applyFill="1" applyBorder="1" applyAlignment="1">
      <alignment horizontal="center" vertical="center"/>
    </xf>
    <xf numFmtId="2" fontId="6" fillId="4" borderId="1" xfId="1" applyNumberFormat="1" applyFont="1" applyFill="1" applyBorder="1" applyAlignment="1">
      <alignment horizontal="center" vertical="center"/>
    </xf>
    <xf numFmtId="165" fontId="6" fillId="4" borderId="1" xfId="1" applyNumberFormat="1" applyFont="1" applyFill="1" applyBorder="1" applyAlignment="1">
      <alignment horizontal="center" vertical="center"/>
    </xf>
    <xf numFmtId="165" fontId="6" fillId="5" borderId="22" xfId="1" applyNumberFormat="1" applyFont="1" applyFill="1" applyBorder="1" applyAlignment="1">
      <alignment horizontal="center" vertical="center"/>
    </xf>
    <xf numFmtId="165" fontId="0" fillId="0" borderId="18" xfId="0" applyNumberFormat="1" applyBorder="1" applyAlignment="1">
      <alignment horizontal="center"/>
    </xf>
    <xf numFmtId="165" fontId="0" fillId="0" borderId="16" xfId="0" applyNumberFormat="1" applyBorder="1" applyAlignment="1">
      <alignment horizontal="center"/>
    </xf>
    <xf numFmtId="165" fontId="4" fillId="0" borderId="18" xfId="0" applyNumberFormat="1" applyFont="1" applyBorder="1" applyAlignment="1">
      <alignment horizontal="center"/>
    </xf>
    <xf numFmtId="165" fontId="4" fillId="0" borderId="33" xfId="0" applyNumberFormat="1" applyFont="1" applyBorder="1" applyAlignment="1">
      <alignment horizontal="center"/>
    </xf>
    <xf numFmtId="165" fontId="0" fillId="0" borderId="0" xfId="0" applyNumberFormat="1" applyAlignment="1">
      <alignment horizontal="center"/>
    </xf>
    <xf numFmtId="4" fontId="0" fillId="0" borderId="0" xfId="0" applyNumberFormat="1"/>
    <xf numFmtId="167" fontId="11" fillId="0" borderId="0" xfId="6" applyNumberFormat="1" applyFont="1" applyFill="1" applyBorder="1" applyAlignment="1" applyProtection="1">
      <alignment horizontal="center" vertical="center" wrapText="1"/>
    </xf>
    <xf numFmtId="0" fontId="6" fillId="5" borderId="21" xfId="1" applyFont="1" applyFill="1" applyBorder="1" applyAlignment="1">
      <alignment horizontal="left" vertical="center"/>
    </xf>
    <xf numFmtId="0" fontId="6" fillId="5" borderId="3" xfId="1" applyFont="1" applyFill="1" applyBorder="1" applyAlignment="1">
      <alignment horizontal="left" vertical="center"/>
    </xf>
    <xf numFmtId="0" fontId="4" fillId="0" borderId="31" xfId="0" applyFont="1" applyBorder="1" applyAlignment="1">
      <alignment horizontal="center"/>
    </xf>
    <xf numFmtId="0" fontId="4" fillId="0" borderId="32" xfId="0" applyFont="1" applyBorder="1" applyAlignment="1">
      <alignment horizontal="center"/>
    </xf>
    <xf numFmtId="0" fontId="4" fillId="0" borderId="17" xfId="0" applyFont="1" applyBorder="1" applyAlignment="1">
      <alignment horizontal="center"/>
    </xf>
    <xf numFmtId="0" fontId="4" fillId="0" borderId="0" xfId="0" applyFont="1" applyBorder="1" applyAlignment="1">
      <alignment horizontal="center"/>
    </xf>
    <xf numFmtId="0" fontId="7" fillId="0" borderId="0" xfId="0" applyFont="1" applyBorder="1" applyAlignment="1">
      <alignment horizontal="center"/>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0" xfId="0" applyFill="1"/>
    <xf numFmtId="0" fontId="0" fillId="0" borderId="1" xfId="0" applyBorder="1" applyAlignment="1">
      <alignment horizontal="center"/>
    </xf>
    <xf numFmtId="0" fontId="0" fillId="0" borderId="1" xfId="0" applyFont="1" applyFill="1" applyBorder="1" applyAlignment="1">
      <alignment horizontal="center" vertical="center"/>
    </xf>
    <xf numFmtId="2"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7" fillId="5" borderId="86" xfId="0" applyFont="1" applyFill="1" applyBorder="1" applyAlignment="1">
      <alignment horizontal="center" vertical="center"/>
    </xf>
    <xf numFmtId="0" fontId="7" fillId="6" borderId="8" xfId="0" applyFont="1" applyFill="1" applyBorder="1" applyAlignment="1">
      <alignment horizontal="center" vertical="center"/>
    </xf>
    <xf numFmtId="165" fontId="6" fillId="6" borderId="12" xfId="1" applyNumberFormat="1" applyFont="1" applyFill="1" applyBorder="1" applyAlignment="1">
      <alignment horizontal="center" vertical="center"/>
    </xf>
    <xf numFmtId="165" fontId="6" fillId="6" borderId="28" xfId="1" applyNumberFormat="1" applyFont="1" applyFill="1" applyBorder="1" applyAlignment="1">
      <alignment horizontal="center" vertical="center"/>
    </xf>
    <xf numFmtId="0" fontId="7" fillId="6" borderId="27" xfId="0" applyFont="1" applyFill="1" applyBorder="1" applyAlignment="1">
      <alignment horizontal="center" vertical="center"/>
    </xf>
    <xf numFmtId="0" fontId="7" fillId="5" borderId="95" xfId="0" applyFont="1" applyFill="1" applyBorder="1" applyAlignment="1">
      <alignment horizontal="center" vertical="center"/>
    </xf>
    <xf numFmtId="0" fontId="0" fillId="0" borderId="19"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9" xfId="0" applyFont="1" applyBorder="1" applyAlignment="1">
      <alignment horizontal="center" vertical="center"/>
    </xf>
    <xf numFmtId="0" fontId="12" fillId="2" borderId="8" xfId="1" applyFont="1" applyFill="1" applyBorder="1" applyAlignment="1">
      <alignment horizontal="left" vertical="center" wrapText="1"/>
    </xf>
    <xf numFmtId="0" fontId="12" fillId="2" borderId="8" xfId="1" applyFont="1" applyFill="1" applyBorder="1" applyAlignment="1">
      <alignment horizontal="center" vertical="center"/>
    </xf>
    <xf numFmtId="0" fontId="0" fillId="0" borderId="8" xfId="0" applyFont="1" applyBorder="1" applyAlignment="1">
      <alignment horizontal="center" vertical="center"/>
    </xf>
    <xf numFmtId="0" fontId="12" fillId="2" borderId="8" xfId="1" applyFont="1" applyFill="1" applyBorder="1" applyAlignment="1">
      <alignment horizontal="center" vertical="center" wrapText="1"/>
    </xf>
    <xf numFmtId="0" fontId="12" fillId="2" borderId="1" xfId="1" applyFont="1" applyFill="1" applyBorder="1" applyAlignment="1">
      <alignment horizontal="left" vertical="center" wrapText="1"/>
    </xf>
    <xf numFmtId="0" fontId="12" fillId="2" borderId="1" xfId="1" applyFont="1" applyFill="1" applyBorder="1" applyAlignment="1">
      <alignment horizontal="center" vertical="center" wrapText="1"/>
    </xf>
    <xf numFmtId="0" fontId="12" fillId="2" borderId="1" xfId="1" applyFont="1" applyFill="1" applyBorder="1" applyAlignment="1">
      <alignment horizontal="center" vertical="center"/>
    </xf>
    <xf numFmtId="0" fontId="12" fillId="0" borderId="19" xfId="1" applyFont="1" applyFill="1" applyBorder="1" applyAlignment="1">
      <alignment horizontal="center" vertical="center"/>
    </xf>
    <xf numFmtId="0" fontId="1" fillId="0" borderId="1" xfId="0" applyFont="1" applyBorder="1" applyAlignment="1">
      <alignment horizontal="center" vertical="center"/>
    </xf>
    <xf numFmtId="0" fontId="12" fillId="0" borderId="1" xfId="1" applyFont="1" applyFill="1" applyBorder="1" applyAlignment="1">
      <alignment horizontal="center" vertical="center"/>
    </xf>
    <xf numFmtId="0" fontId="12" fillId="0" borderId="1" xfId="1" applyFont="1" applyFill="1" applyBorder="1" applyAlignment="1">
      <alignment horizontal="left" vertical="center"/>
    </xf>
    <xf numFmtId="0" fontId="12" fillId="0" borderId="1" xfId="1" applyFont="1" applyFill="1" applyBorder="1" applyAlignment="1">
      <alignment horizontal="left" vertical="center" wrapText="1"/>
    </xf>
    <xf numFmtId="2" fontId="12" fillId="0" borderId="1" xfId="1" applyNumberFormat="1" applyFont="1" applyFill="1" applyBorder="1" applyAlignment="1">
      <alignment horizontal="center" vertical="center"/>
    </xf>
    <xf numFmtId="0" fontId="13" fillId="0" borderId="1" xfId="1" applyFont="1" applyFill="1" applyBorder="1" applyAlignment="1">
      <alignment horizontal="center" vertical="center"/>
    </xf>
    <xf numFmtId="2" fontId="6" fillId="5" borderId="3" xfId="1" applyNumberFormat="1" applyFont="1" applyFill="1" applyBorder="1" applyAlignment="1">
      <alignment horizontal="center" vertical="center"/>
    </xf>
    <xf numFmtId="2" fontId="0" fillId="0" borderId="0" xfId="0" applyNumberFormat="1" applyBorder="1" applyAlignment="1">
      <alignment horizontal="center"/>
    </xf>
    <xf numFmtId="2" fontId="0" fillId="0" borderId="15" xfId="0" applyNumberFormat="1" applyBorder="1" applyAlignment="1">
      <alignment horizontal="center"/>
    </xf>
    <xf numFmtId="2" fontId="4" fillId="0" borderId="0" xfId="0" applyNumberFormat="1" applyFont="1" applyBorder="1" applyAlignment="1">
      <alignment horizontal="center"/>
    </xf>
    <xf numFmtId="2" fontId="0" fillId="0" borderId="0" xfId="0" applyNumberFormat="1" applyAlignment="1">
      <alignment horizontal="center"/>
    </xf>
    <xf numFmtId="0" fontId="0" fillId="0" borderId="1" xfId="0" applyFont="1" applyFill="1" applyBorder="1" applyAlignment="1">
      <alignment wrapText="1"/>
    </xf>
    <xf numFmtId="0" fontId="4" fillId="0" borderId="15" xfId="0" applyFont="1" applyBorder="1" applyAlignment="1">
      <alignment horizontal="center"/>
    </xf>
    <xf numFmtId="2" fontId="4" fillId="0" borderId="15" xfId="0" applyNumberFormat="1" applyFont="1" applyBorder="1" applyAlignment="1">
      <alignment horizontal="center"/>
    </xf>
    <xf numFmtId="165" fontId="4" fillId="0" borderId="15" xfId="0" applyNumberFormat="1" applyFont="1" applyBorder="1" applyAlignment="1">
      <alignment horizontal="center"/>
    </xf>
    <xf numFmtId="165" fontId="4" fillId="0" borderId="0" xfId="0" applyNumberFormat="1" applyFont="1" applyBorder="1" applyAlignment="1">
      <alignment horizontal="center"/>
    </xf>
    <xf numFmtId="165" fontId="0" fillId="0" borderId="0" xfId="0" applyNumberFormat="1" applyBorder="1" applyAlignment="1">
      <alignment horizontal="center"/>
    </xf>
    <xf numFmtId="0" fontId="0" fillId="0" borderId="0" xfId="0" applyFont="1" applyBorder="1"/>
    <xf numFmtId="2" fontId="0" fillId="0" borderId="0" xfId="0" applyNumberFormat="1" applyFont="1" applyBorder="1" applyAlignment="1">
      <alignment horizontal="center"/>
    </xf>
    <xf numFmtId="165" fontId="0" fillId="0" borderId="0" xfId="0" applyNumberFormat="1" applyFont="1" applyBorder="1" applyAlignment="1">
      <alignment horizontal="center"/>
    </xf>
    <xf numFmtId="0" fontId="16" fillId="9" borderId="39" xfId="0" applyFont="1" applyFill="1" applyBorder="1" applyAlignment="1">
      <alignment horizontal="left" vertical="center"/>
    </xf>
    <xf numFmtId="0" fontId="17" fillId="0" borderId="46" xfId="0" applyFont="1" applyFill="1" applyBorder="1" applyAlignment="1">
      <alignment horizontal="left" vertical="center" wrapText="1"/>
    </xf>
    <xf numFmtId="0" fontId="17" fillId="0" borderId="52" xfId="0" applyFont="1" applyFill="1" applyBorder="1" applyAlignment="1">
      <alignment horizontal="left" vertical="center" wrapText="1"/>
    </xf>
    <xf numFmtId="0" fontId="0" fillId="0" borderId="98" xfId="0" applyFont="1" applyBorder="1"/>
    <xf numFmtId="0" fontId="0" fillId="0" borderId="0" xfId="0" applyFont="1" applyBorder="1" applyAlignment="1">
      <alignment horizontal="center"/>
    </xf>
    <xf numFmtId="0" fontId="17" fillId="0" borderId="1" xfId="0" applyFont="1" applyFill="1" applyBorder="1" applyAlignment="1">
      <alignment horizontal="left" vertical="center"/>
    </xf>
    <xf numFmtId="0" fontId="17" fillId="0" borderId="36" xfId="0" applyFont="1" applyFill="1" applyBorder="1" applyAlignment="1">
      <alignment horizontal="left" vertical="center"/>
    </xf>
    <xf numFmtId="0" fontId="16" fillId="0" borderId="13"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7" fillId="0" borderId="62"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6" fillId="9" borderId="3" xfId="0" applyFont="1" applyFill="1" applyBorder="1" applyAlignment="1">
      <alignment horizontal="left" vertical="center"/>
    </xf>
    <xf numFmtId="0" fontId="17" fillId="0" borderId="73" xfId="0" applyFont="1" applyFill="1" applyBorder="1" applyAlignment="1">
      <alignment horizontal="left" vertical="center" wrapText="1"/>
    </xf>
    <xf numFmtId="0" fontId="17" fillId="0" borderId="59"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0" fillId="0" borderId="17" xfId="0" applyFont="1" applyBorder="1" applyAlignment="1">
      <alignment horizontal="center" vertical="center"/>
    </xf>
    <xf numFmtId="0" fontId="0" fillId="0" borderId="1" xfId="0" applyFont="1" applyBorder="1" applyAlignment="1">
      <alignment horizontal="right" vertical="center"/>
    </xf>
    <xf numFmtId="0" fontId="17" fillId="0" borderId="73" xfId="0" applyFont="1" applyFill="1" applyBorder="1" applyAlignment="1">
      <alignment horizontal="left" vertical="center"/>
    </xf>
    <xf numFmtId="0" fontId="17" fillId="0" borderId="52" xfId="0" applyFont="1" applyFill="1" applyBorder="1" applyAlignment="1">
      <alignment horizontal="left" vertical="center"/>
    </xf>
    <xf numFmtId="0" fontId="17" fillId="0" borderId="13" xfId="0" applyFont="1" applyFill="1" applyBorder="1" applyAlignment="1">
      <alignment horizontal="left" vertical="center"/>
    </xf>
    <xf numFmtId="0" fontId="16" fillId="0" borderId="7"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73" xfId="0" applyFont="1" applyFill="1" applyBorder="1" applyAlignment="1">
      <alignment horizontal="left" vertical="center" wrapText="1"/>
    </xf>
    <xf numFmtId="0" fontId="17" fillId="0" borderId="74" xfId="0" applyFont="1" applyFill="1" applyBorder="1" applyAlignment="1">
      <alignment horizontal="left" vertical="center" wrapText="1"/>
    </xf>
    <xf numFmtId="0" fontId="17" fillId="0" borderId="55"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0"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7" fillId="0" borderId="55" xfId="0" applyFont="1" applyFill="1" applyBorder="1" applyAlignment="1">
      <alignment horizontal="left" vertical="center"/>
    </xf>
    <xf numFmtId="0" fontId="16" fillId="0" borderId="6"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7" fillId="0" borderId="90" xfId="0" applyFont="1" applyFill="1" applyBorder="1" applyAlignment="1">
      <alignment horizontal="left" vertical="center" wrapText="1"/>
    </xf>
    <xf numFmtId="0" fontId="17" fillId="0" borderId="71" xfId="0" applyFont="1" applyFill="1" applyBorder="1" applyAlignment="1">
      <alignment horizontal="left" vertical="center" wrapText="1"/>
    </xf>
    <xf numFmtId="0" fontId="16" fillId="9" borderId="43" xfId="0" applyFont="1" applyFill="1" applyBorder="1" applyAlignment="1">
      <alignment horizontal="center" vertical="center"/>
    </xf>
    <xf numFmtId="0" fontId="17" fillId="0" borderId="104" xfId="0" applyFont="1" applyFill="1" applyBorder="1" applyAlignment="1">
      <alignment horizontal="left" vertical="center" wrapText="1"/>
    </xf>
    <xf numFmtId="0" fontId="17" fillId="0" borderId="0" xfId="0" applyFont="1" applyFill="1" applyBorder="1" applyAlignment="1">
      <alignment horizontal="left" vertical="center"/>
    </xf>
    <xf numFmtId="0" fontId="16" fillId="8" borderId="37" xfId="0" applyFont="1" applyFill="1" applyBorder="1" applyAlignment="1">
      <alignment horizontal="center" vertical="center" wrapText="1"/>
    </xf>
    <xf numFmtId="0" fontId="16" fillId="8" borderId="38" xfId="0" applyFont="1" applyFill="1" applyBorder="1" applyAlignment="1">
      <alignment horizontal="left" vertical="center" wrapText="1"/>
    </xf>
    <xf numFmtId="0" fontId="16" fillId="8" borderId="39" xfId="0" applyFont="1" applyFill="1" applyBorder="1" applyAlignment="1">
      <alignment horizontal="center" vertical="center" wrapText="1"/>
    </xf>
    <xf numFmtId="0" fontId="16" fillId="8" borderId="40" xfId="0" applyFont="1" applyFill="1" applyBorder="1" applyAlignment="1">
      <alignment horizontal="center" vertical="center" wrapText="1"/>
    </xf>
    <xf numFmtId="0" fontId="16" fillId="8" borderId="41" xfId="0" applyFont="1" applyFill="1" applyBorder="1" applyAlignment="1">
      <alignment horizontal="center" vertical="center" wrapText="1"/>
    </xf>
    <xf numFmtId="4" fontId="16" fillId="8" borderId="42" xfId="0" applyNumberFormat="1" applyFont="1" applyFill="1" applyBorder="1" applyAlignment="1">
      <alignment horizontal="center" vertical="center" wrapText="1"/>
    </xf>
    <xf numFmtId="0" fontId="16" fillId="9" borderId="39" xfId="0" applyFont="1" applyFill="1" applyBorder="1" applyAlignment="1">
      <alignment horizontal="center" vertical="center"/>
    </xf>
    <xf numFmtId="0" fontId="17" fillId="9" borderId="39" xfId="0" applyFont="1" applyFill="1" applyBorder="1" applyAlignment="1">
      <alignment horizontal="center" vertical="center"/>
    </xf>
    <xf numFmtId="4" fontId="17" fillId="9" borderId="44" xfId="0" applyNumberFormat="1" applyFont="1" applyFill="1" applyBorder="1" applyAlignment="1">
      <alignment horizontal="center" vertical="center"/>
    </xf>
    <xf numFmtId="0" fontId="16" fillId="0" borderId="37" xfId="0" applyFont="1" applyFill="1" applyBorder="1" applyAlignment="1">
      <alignment horizontal="center" vertical="center"/>
    </xf>
    <xf numFmtId="0" fontId="16" fillId="0" borderId="41" xfId="0" applyFont="1" applyFill="1" applyBorder="1" applyAlignment="1">
      <alignment horizontal="center" vertical="center"/>
    </xf>
    <xf numFmtId="4" fontId="16" fillId="0" borderId="42" xfId="0" applyNumberFormat="1" applyFont="1" applyFill="1" applyBorder="1" applyAlignment="1">
      <alignment horizontal="center" vertical="center"/>
    </xf>
    <xf numFmtId="0" fontId="17" fillId="0" borderId="45" xfId="0" applyFont="1" applyFill="1" applyBorder="1" applyAlignment="1">
      <alignment horizontal="center" vertical="center"/>
    </xf>
    <xf numFmtId="0" fontId="17" fillId="0" borderId="47" xfId="0" applyFont="1" applyFill="1" applyBorder="1" applyAlignment="1">
      <alignment horizontal="center" vertical="center" wrapText="1"/>
    </xf>
    <xf numFmtId="0" fontId="17" fillId="0" borderId="49" xfId="0" applyFont="1" applyFill="1" applyBorder="1" applyAlignment="1">
      <alignment horizontal="center" vertical="center" wrapText="1"/>
    </xf>
    <xf numFmtId="4" fontId="17" fillId="0" borderId="50" xfId="0" applyNumberFormat="1" applyFont="1" applyFill="1" applyBorder="1" applyAlignment="1">
      <alignment horizontal="center" vertical="center" wrapText="1"/>
    </xf>
    <xf numFmtId="0" fontId="16" fillId="7" borderId="40" xfId="0" applyFont="1" applyFill="1" applyBorder="1" applyAlignment="1">
      <alignment horizontal="center" vertical="center" wrapText="1"/>
    </xf>
    <xf numFmtId="0" fontId="17" fillId="0" borderId="57" xfId="0" applyFont="1" applyFill="1" applyBorder="1" applyAlignment="1">
      <alignment horizontal="center" vertical="center" wrapText="1"/>
    </xf>
    <xf numFmtId="0" fontId="17" fillId="7" borderId="48" xfId="0" applyFont="1" applyFill="1" applyBorder="1" applyAlignment="1">
      <alignment horizontal="center" vertical="center" wrapText="1"/>
    </xf>
    <xf numFmtId="0" fontId="17" fillId="0" borderId="49" xfId="0" applyFont="1" applyFill="1" applyBorder="1" applyAlignment="1">
      <alignment horizontal="center" vertical="center"/>
    </xf>
    <xf numFmtId="4" fontId="17" fillId="0" borderId="50" xfId="0" applyNumberFormat="1" applyFont="1" applyFill="1" applyBorder="1" applyAlignment="1">
      <alignment horizontal="center" vertical="center"/>
    </xf>
    <xf numFmtId="0" fontId="17" fillId="0" borderId="51" xfId="0" applyFont="1" applyFill="1" applyBorder="1" applyAlignment="1">
      <alignment horizontal="center" vertical="center"/>
    </xf>
    <xf numFmtId="0" fontId="17" fillId="0" borderId="53" xfId="0" applyFont="1" applyFill="1" applyBorder="1" applyAlignment="1">
      <alignment horizontal="center" vertical="center" wrapText="1"/>
    </xf>
    <xf numFmtId="0" fontId="17" fillId="7" borderId="54" xfId="0" applyFont="1" applyFill="1" applyBorder="1" applyAlignment="1">
      <alignment horizontal="center" vertical="center" wrapText="1"/>
    </xf>
    <xf numFmtId="0" fontId="17" fillId="0" borderId="55" xfId="0" applyFont="1" applyFill="1" applyBorder="1" applyAlignment="1">
      <alignment horizontal="center" vertical="center"/>
    </xf>
    <xf numFmtId="4" fontId="17" fillId="0" borderId="56" xfId="0" applyNumberFormat="1" applyFont="1" applyFill="1" applyBorder="1" applyAlignment="1">
      <alignment horizontal="center" vertical="center"/>
    </xf>
    <xf numFmtId="0" fontId="17" fillId="0" borderId="47" xfId="0" applyFont="1" applyFill="1" applyBorder="1" applyAlignment="1">
      <alignment horizontal="center" vertical="center"/>
    </xf>
    <xf numFmtId="0" fontId="17" fillId="0" borderId="53" xfId="0" applyFont="1" applyFill="1" applyBorder="1" applyAlignment="1">
      <alignment horizontal="center" vertical="center"/>
    </xf>
    <xf numFmtId="167" fontId="17" fillId="0" borderId="55" xfId="6" applyNumberFormat="1" applyFont="1" applyFill="1" applyBorder="1" applyAlignment="1" applyProtection="1">
      <alignment horizontal="center" vertical="center" wrapText="1"/>
    </xf>
    <xf numFmtId="0" fontId="17" fillId="0" borderId="55" xfId="0" applyFont="1" applyFill="1" applyBorder="1" applyAlignment="1">
      <alignment horizontal="center" vertical="center" wrapText="1"/>
    </xf>
    <xf numFmtId="0" fontId="16" fillId="0" borderId="43" xfId="0" applyFont="1" applyFill="1" applyBorder="1" applyAlignment="1">
      <alignment horizontal="center" vertical="center"/>
    </xf>
    <xf numFmtId="0" fontId="17" fillId="7" borderId="40" xfId="0" applyFont="1" applyFill="1" applyBorder="1" applyAlignment="1">
      <alignment horizontal="center" vertical="center" wrapText="1"/>
    </xf>
    <xf numFmtId="0" fontId="17" fillId="0" borderId="96" xfId="0" applyFont="1" applyFill="1" applyBorder="1" applyAlignment="1">
      <alignment horizontal="center" vertical="center" wrapText="1"/>
    </xf>
    <xf numFmtId="0" fontId="17" fillId="7" borderId="103" xfId="0" applyFont="1" applyFill="1" applyBorder="1" applyAlignment="1">
      <alignment horizontal="center" vertical="center" wrapText="1"/>
    </xf>
    <xf numFmtId="0" fontId="17" fillId="0" borderId="68"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97" xfId="0" applyFont="1" applyFill="1" applyBorder="1" applyAlignment="1">
      <alignment horizontal="center" vertical="center" wrapText="1"/>
    </xf>
    <xf numFmtId="0" fontId="17" fillId="0" borderId="69" xfId="0" applyFont="1" applyFill="1" applyBorder="1" applyAlignment="1">
      <alignment horizontal="center" vertical="center"/>
    </xf>
    <xf numFmtId="0" fontId="17" fillId="7" borderId="18"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32" xfId="0" applyFont="1" applyFill="1" applyBorder="1" applyAlignment="1">
      <alignment horizontal="center" vertical="center" wrapText="1"/>
    </xf>
    <xf numFmtId="4" fontId="17" fillId="0" borderId="70" xfId="0" applyNumberFormat="1" applyFont="1" applyFill="1" applyBorder="1" applyAlignment="1">
      <alignment horizontal="center" vertical="center"/>
    </xf>
    <xf numFmtId="0" fontId="17" fillId="0" borderId="17" xfId="0" applyFont="1" applyFill="1" applyBorder="1" applyAlignment="1">
      <alignment horizontal="center" vertical="center"/>
    </xf>
    <xf numFmtId="0" fontId="17" fillId="0" borderId="0" xfId="0" applyFont="1" applyFill="1" applyBorder="1" applyAlignment="1">
      <alignment horizontal="center" vertical="center"/>
    </xf>
    <xf numFmtId="168" fontId="17" fillId="0" borderId="70" xfId="0" applyNumberFormat="1" applyFont="1" applyFill="1" applyBorder="1" applyAlignment="1">
      <alignment horizontal="center" vertical="center"/>
    </xf>
    <xf numFmtId="169" fontId="16" fillId="0" borderId="42" xfId="0" applyNumberFormat="1" applyFont="1" applyFill="1" applyBorder="1" applyAlignment="1">
      <alignment horizontal="center" vertical="center"/>
    </xf>
    <xf numFmtId="169" fontId="17" fillId="0" borderId="70" xfId="0" applyNumberFormat="1" applyFont="1" applyFill="1" applyBorder="1" applyAlignment="1">
      <alignment horizontal="center" vertical="center"/>
    </xf>
    <xf numFmtId="0" fontId="16" fillId="9" borderId="32" xfId="0" applyFont="1" applyFill="1" applyBorder="1" applyAlignment="1">
      <alignment horizontal="center" vertical="center"/>
    </xf>
    <xf numFmtId="0" fontId="17" fillId="0" borderId="87" xfId="0" applyFont="1" applyFill="1" applyBorder="1" applyAlignment="1">
      <alignment horizontal="center" vertical="center" wrapText="1"/>
    </xf>
    <xf numFmtId="0" fontId="17" fillId="0" borderId="1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4" fontId="17" fillId="0" borderId="20" xfId="0" applyNumberFormat="1" applyFont="1" applyFill="1" applyBorder="1" applyAlignment="1">
      <alignment horizontal="center" vertical="center"/>
    </xf>
    <xf numFmtId="0" fontId="17" fillId="0" borderId="35" xfId="0" applyFont="1" applyFill="1" applyBorder="1" applyAlignment="1">
      <alignment horizontal="center" vertical="center"/>
    </xf>
    <xf numFmtId="0" fontId="17" fillId="0" borderId="36" xfId="0" applyFont="1" applyFill="1" applyBorder="1" applyAlignment="1">
      <alignment horizontal="center" vertical="center"/>
    </xf>
    <xf numFmtId="4" fontId="17" fillId="0" borderId="26" xfId="0" applyNumberFormat="1" applyFont="1" applyFill="1" applyBorder="1" applyAlignment="1">
      <alignment horizontal="center" vertical="center"/>
    </xf>
    <xf numFmtId="0" fontId="16" fillId="0" borderId="68" xfId="0" applyFont="1" applyFill="1" applyBorder="1" applyAlignment="1">
      <alignment horizontal="center" vertical="center"/>
    </xf>
    <xf numFmtId="0" fontId="16" fillId="0" borderId="69" xfId="0" applyFont="1" applyFill="1" applyBorder="1" applyAlignment="1">
      <alignment horizontal="center" vertical="center"/>
    </xf>
    <xf numFmtId="4" fontId="16" fillId="0" borderId="70" xfId="0" applyNumberFormat="1" applyFont="1" applyFill="1" applyBorder="1" applyAlignment="1">
      <alignment horizontal="center" vertical="center"/>
    </xf>
    <xf numFmtId="4" fontId="17" fillId="0" borderId="55" xfId="0" applyNumberFormat="1" applyFont="1" applyFill="1" applyBorder="1" applyAlignment="1">
      <alignment horizontal="center" vertical="center" wrapText="1"/>
    </xf>
    <xf numFmtId="0" fontId="17" fillId="7" borderId="55" xfId="0" applyFont="1" applyFill="1" applyBorder="1" applyAlignment="1">
      <alignment horizontal="center" vertical="center" wrapText="1"/>
    </xf>
    <xf numFmtId="0" fontId="17" fillId="0" borderId="61" xfId="0" applyFont="1" applyFill="1" applyBorder="1" applyAlignment="1">
      <alignment horizontal="center" vertical="center"/>
    </xf>
    <xf numFmtId="0" fontId="17" fillId="0" borderId="63" xfId="0" applyFont="1" applyFill="1" applyBorder="1" applyAlignment="1">
      <alignment horizontal="center" vertical="center" wrapText="1"/>
    </xf>
    <xf numFmtId="4" fontId="17" fillId="0" borderId="65" xfId="0" applyNumberFormat="1" applyFont="1" applyFill="1" applyBorder="1" applyAlignment="1">
      <alignment horizontal="center" vertical="center" wrapText="1"/>
    </xf>
    <xf numFmtId="0" fontId="17" fillId="7" borderId="65" xfId="0" applyFont="1" applyFill="1" applyBorder="1" applyAlignment="1">
      <alignment horizontal="center" vertical="center" wrapText="1"/>
    </xf>
    <xf numFmtId="0" fontId="17" fillId="0" borderId="65" xfId="0" applyFont="1" applyFill="1" applyBorder="1" applyAlignment="1">
      <alignment horizontal="center" vertical="center"/>
    </xf>
    <xf numFmtId="4" fontId="17" fillId="0" borderId="66" xfId="0" applyNumberFormat="1" applyFont="1" applyFill="1" applyBorder="1" applyAlignment="1">
      <alignment horizontal="center" vertical="center"/>
    </xf>
    <xf numFmtId="4" fontId="17" fillId="0" borderId="53" xfId="0" applyNumberFormat="1" applyFont="1" applyFill="1" applyBorder="1" applyAlignment="1">
      <alignment horizontal="center" vertical="center" wrapText="1"/>
    </xf>
    <xf numFmtId="0" fontId="17" fillId="7" borderId="53" xfId="0" applyFont="1" applyFill="1" applyBorder="1" applyAlignment="1">
      <alignment horizontal="center" vertical="center" wrapText="1"/>
    </xf>
    <xf numFmtId="0" fontId="17" fillId="0" borderId="54" xfId="0" applyFont="1" applyFill="1" applyBorder="1" applyAlignment="1">
      <alignment horizontal="center" vertical="center" wrapText="1"/>
    </xf>
    <xf numFmtId="4" fontId="17" fillId="0" borderId="63" xfId="0" applyNumberFormat="1" applyFont="1" applyFill="1" applyBorder="1" applyAlignment="1">
      <alignment horizontal="center" vertical="center" wrapText="1"/>
    </xf>
    <xf numFmtId="0" fontId="17" fillId="7" borderId="63" xfId="0" applyFont="1" applyFill="1" applyBorder="1" applyAlignment="1">
      <alignment horizontal="center" vertical="center" wrapText="1"/>
    </xf>
    <xf numFmtId="0" fontId="17" fillId="0" borderId="67" xfId="0" applyFont="1" applyFill="1" applyBorder="1" applyAlignment="1">
      <alignment horizontal="center" vertical="center" wrapText="1"/>
    </xf>
    <xf numFmtId="0" fontId="17" fillId="0" borderId="47" xfId="0" applyFont="1" applyFill="1" applyBorder="1" applyAlignment="1">
      <alignment vertical="center"/>
    </xf>
    <xf numFmtId="0" fontId="17" fillId="7" borderId="49" xfId="0" applyFont="1" applyFill="1" applyBorder="1" applyAlignment="1">
      <alignment horizontal="center" vertical="center" wrapText="1"/>
    </xf>
    <xf numFmtId="0" fontId="17" fillId="0" borderId="54" xfId="0" applyFont="1" applyFill="1" applyBorder="1" applyAlignment="1">
      <alignment horizontal="center" vertical="center"/>
    </xf>
    <xf numFmtId="167" fontId="17" fillId="10" borderId="55" xfId="6" applyNumberFormat="1" applyFont="1" applyFill="1" applyBorder="1" applyAlignment="1" applyProtection="1">
      <alignment horizontal="center" vertical="center" wrapText="1"/>
    </xf>
    <xf numFmtId="4" fontId="17" fillId="0" borderId="56" xfId="5" applyNumberFormat="1" applyFont="1" applyFill="1" applyBorder="1" applyAlignment="1" applyProtection="1">
      <alignment horizontal="center" vertical="center"/>
    </xf>
    <xf numFmtId="167" fontId="17" fillId="0" borderId="53" xfId="6" applyNumberFormat="1" applyFont="1" applyFill="1" applyBorder="1" applyAlignment="1" applyProtection="1">
      <alignment horizontal="center" vertical="center" wrapText="1"/>
    </xf>
    <xf numFmtId="167" fontId="17" fillId="7" borderId="54" xfId="6" applyNumberFormat="1" applyFont="1" applyFill="1" applyBorder="1" applyAlignment="1" applyProtection="1">
      <alignment horizontal="center" vertical="center" wrapText="1"/>
    </xf>
    <xf numFmtId="0" fontId="17" fillId="7" borderId="64"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9" borderId="21" xfId="0" applyFont="1" applyFill="1" applyBorder="1" applyAlignment="1">
      <alignment horizontal="center" vertical="center"/>
    </xf>
    <xf numFmtId="0" fontId="16" fillId="9" borderId="3" xfId="0" applyFont="1" applyFill="1" applyBorder="1" applyAlignment="1">
      <alignment horizontal="center" vertical="center"/>
    </xf>
    <xf numFmtId="0" fontId="17" fillId="9" borderId="3" xfId="0" applyFont="1" applyFill="1" applyBorder="1" applyAlignment="1">
      <alignment horizontal="center" vertical="center"/>
    </xf>
    <xf numFmtId="4" fontId="17" fillId="9" borderId="22" xfId="0" applyNumberFormat="1" applyFont="1" applyFill="1" applyBorder="1" applyAlignment="1">
      <alignment horizontal="center" vertical="center"/>
    </xf>
    <xf numFmtId="0" fontId="17" fillId="0" borderId="72" xfId="0" applyFont="1" applyFill="1" applyBorder="1" applyAlignment="1">
      <alignment horizontal="center" vertical="center"/>
    </xf>
    <xf numFmtId="0" fontId="17" fillId="7" borderId="74" xfId="0" applyFont="1" applyFill="1" applyBorder="1" applyAlignment="1">
      <alignment horizontal="center" vertical="center" wrapText="1"/>
    </xf>
    <xf numFmtId="0" fontId="17" fillId="7" borderId="75" xfId="0" applyFont="1" applyFill="1" applyBorder="1" applyAlignment="1">
      <alignment horizontal="center" vertical="center" wrapText="1"/>
    </xf>
    <xf numFmtId="0" fontId="17" fillId="7" borderId="76" xfId="0" applyFont="1" applyFill="1" applyBorder="1" applyAlignment="1">
      <alignment horizontal="center" vertical="center"/>
    </xf>
    <xf numFmtId="0" fontId="17" fillId="7" borderId="78" xfId="0" applyFont="1" applyFill="1" applyBorder="1" applyAlignment="1">
      <alignment horizontal="center" vertical="center" wrapText="1"/>
    </xf>
    <xf numFmtId="0" fontId="16" fillId="0" borderId="21" xfId="0" applyFont="1" applyFill="1" applyBorder="1" applyAlignment="1">
      <alignment horizontal="center" vertical="center"/>
    </xf>
    <xf numFmtId="4" fontId="16" fillId="7" borderId="20" xfId="0" applyNumberFormat="1" applyFont="1" applyFill="1" applyBorder="1" applyAlignment="1">
      <alignment horizontal="center" vertical="center"/>
    </xf>
    <xf numFmtId="0" fontId="16" fillId="0" borderId="19" xfId="0" applyFont="1" applyFill="1" applyBorder="1" applyAlignment="1">
      <alignment horizontal="center" vertical="center"/>
    </xf>
    <xf numFmtId="0" fontId="16" fillId="0" borderId="1" xfId="0" applyFont="1" applyFill="1" applyBorder="1" applyAlignment="1">
      <alignment horizontal="center" vertical="center"/>
    </xf>
    <xf numFmtId="4" fontId="16" fillId="0" borderId="20" xfId="0" applyNumberFormat="1" applyFont="1" applyFill="1" applyBorder="1" applyAlignment="1">
      <alignment horizontal="center" vertical="center"/>
    </xf>
    <xf numFmtId="0" fontId="17" fillId="0" borderId="60" xfId="0" applyFont="1" applyFill="1" applyBorder="1" applyAlignment="1">
      <alignment horizontal="center" vertical="center" wrapText="1"/>
    </xf>
    <xf numFmtId="0" fontId="17" fillId="0" borderId="78" xfId="0" applyFont="1" applyFill="1" applyBorder="1" applyAlignment="1">
      <alignment horizontal="center" vertical="center" wrapText="1"/>
    </xf>
    <xf numFmtId="0" fontId="17" fillId="0" borderId="74" xfId="0" applyFont="1" applyFill="1" applyBorder="1" applyAlignment="1">
      <alignment horizontal="center" vertical="center" wrapText="1"/>
    </xf>
    <xf numFmtId="167" fontId="17" fillId="0" borderId="74" xfId="6" applyNumberFormat="1" applyFont="1" applyFill="1" applyBorder="1" applyAlignment="1" applyProtection="1">
      <alignment horizontal="center" vertical="center" wrapText="1"/>
    </xf>
    <xf numFmtId="0" fontId="17" fillId="0" borderId="74" xfId="0" applyFont="1" applyFill="1" applyBorder="1" applyAlignment="1">
      <alignment horizontal="center" vertical="center"/>
    </xf>
    <xf numFmtId="0" fontId="17" fillId="0" borderId="75" xfId="0" applyFont="1" applyFill="1" applyBorder="1" applyAlignment="1">
      <alignment horizontal="center" vertical="center"/>
    </xf>
    <xf numFmtId="0" fontId="17" fillId="0" borderId="76" xfId="0" applyFont="1" applyFill="1" applyBorder="1" applyAlignment="1">
      <alignment horizontal="center" vertical="center" wrapText="1"/>
    </xf>
    <xf numFmtId="4" fontId="16" fillId="9" borderId="44" xfId="0" applyNumberFormat="1" applyFont="1" applyFill="1" applyBorder="1" applyAlignment="1">
      <alignment horizontal="center" vertical="center"/>
    </xf>
    <xf numFmtId="0" fontId="17" fillId="0" borderId="3" xfId="0" applyFont="1" applyFill="1" applyBorder="1" applyAlignment="1">
      <alignment horizontal="center" vertical="center" wrapText="1"/>
    </xf>
    <xf numFmtId="167" fontId="17" fillId="0" borderId="55" xfId="6" applyNumberFormat="1" applyFont="1" applyFill="1" applyBorder="1" applyAlignment="1" applyProtection="1">
      <alignment horizontal="center" vertical="center"/>
    </xf>
    <xf numFmtId="167" fontId="17" fillId="0" borderId="65" xfId="6" applyNumberFormat="1" applyFont="1" applyFill="1" applyBorder="1" applyAlignment="1" applyProtection="1">
      <alignment horizontal="center" vertical="center" wrapText="1"/>
    </xf>
    <xf numFmtId="167" fontId="17" fillId="0" borderId="65" xfId="6" applyNumberFormat="1" applyFont="1" applyFill="1" applyBorder="1" applyAlignment="1" applyProtection="1">
      <alignment horizontal="center" vertical="center"/>
    </xf>
    <xf numFmtId="167" fontId="17" fillId="0" borderId="1" xfId="6" applyNumberFormat="1" applyFont="1" applyFill="1" applyBorder="1" applyAlignment="1" applyProtection="1">
      <alignment vertical="center"/>
    </xf>
    <xf numFmtId="0" fontId="17" fillId="0" borderId="76" xfId="0" applyFont="1" applyFill="1" applyBorder="1" applyAlignment="1">
      <alignment horizontal="center" vertical="center"/>
    </xf>
    <xf numFmtId="4" fontId="17" fillId="0" borderId="77" xfId="0" applyNumberFormat="1" applyFont="1" applyFill="1" applyBorder="1" applyAlignment="1">
      <alignment horizontal="center" vertical="center"/>
    </xf>
    <xf numFmtId="4" fontId="17" fillId="0" borderId="55" xfId="0" applyNumberFormat="1" applyFont="1" applyFill="1" applyBorder="1" applyAlignment="1">
      <alignment horizontal="center" vertical="center"/>
    </xf>
    <xf numFmtId="167" fontId="17" fillId="0" borderId="53" xfId="6" applyNumberFormat="1" applyFont="1" applyFill="1" applyBorder="1" applyAlignment="1" applyProtection="1">
      <alignment horizontal="center" vertical="center"/>
    </xf>
    <xf numFmtId="4" fontId="17" fillId="0" borderId="56" xfId="6" applyNumberFormat="1" applyFont="1" applyFill="1" applyBorder="1" applyAlignment="1" applyProtection="1">
      <alignment horizontal="center" vertical="center"/>
    </xf>
    <xf numFmtId="0" fontId="17" fillId="0" borderId="48" xfId="0" applyFont="1" applyFill="1" applyBorder="1" applyAlignment="1">
      <alignment horizontal="center" vertical="center"/>
    </xf>
    <xf numFmtId="0" fontId="17" fillId="0" borderId="99" xfId="0" applyFont="1" applyFill="1" applyBorder="1" applyAlignment="1">
      <alignment horizontal="center" vertical="center"/>
    </xf>
    <xf numFmtId="167" fontId="17" fillId="0" borderId="1" xfId="6" applyNumberFormat="1" applyFont="1" applyFill="1" applyBorder="1" applyAlignment="1" applyProtection="1">
      <alignment horizontal="center" vertical="center" wrapText="1"/>
    </xf>
    <xf numFmtId="167" fontId="17" fillId="0" borderId="69" xfId="6" applyNumberFormat="1" applyFont="1" applyFill="1" applyBorder="1" applyAlignment="1" applyProtection="1">
      <alignment horizontal="center" vertical="center"/>
    </xf>
    <xf numFmtId="4" fontId="17" fillId="0" borderId="70" xfId="6" applyNumberFormat="1" applyFont="1" applyFill="1" applyBorder="1" applyAlignment="1" applyProtection="1">
      <alignment horizontal="center" vertical="center"/>
    </xf>
    <xf numFmtId="0" fontId="17" fillId="0" borderId="101" xfId="0" applyFont="1" applyFill="1" applyBorder="1" applyAlignment="1">
      <alignment horizontal="center" vertical="center"/>
    </xf>
    <xf numFmtId="167" fontId="17" fillId="0" borderId="4" xfId="6" applyNumberFormat="1" applyFont="1" applyFill="1" applyBorder="1" applyAlignment="1" applyProtection="1">
      <alignment horizontal="center" vertical="center" wrapText="1"/>
    </xf>
    <xf numFmtId="4" fontId="17" fillId="0" borderId="0" xfId="0" applyNumberFormat="1"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82" xfId="0" applyFont="1" applyFill="1" applyBorder="1" applyAlignment="1">
      <alignment horizontal="center" vertical="center"/>
    </xf>
    <xf numFmtId="0" fontId="17" fillId="0" borderId="102"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75" xfId="0" applyFont="1" applyFill="1" applyBorder="1" applyAlignment="1">
      <alignment horizontal="center" vertical="center" wrapText="1"/>
    </xf>
    <xf numFmtId="167" fontId="17" fillId="0" borderId="54" xfId="6" applyNumberFormat="1" applyFont="1" applyFill="1" applyBorder="1" applyAlignment="1" applyProtection="1">
      <alignment horizontal="center" vertical="center" wrapText="1"/>
    </xf>
    <xf numFmtId="167" fontId="17" fillId="0" borderId="60" xfId="6" applyNumberFormat="1" applyFont="1" applyFill="1" applyBorder="1" applyAlignment="1" applyProtection="1">
      <alignment horizontal="center" vertical="center" wrapText="1"/>
    </xf>
    <xf numFmtId="4" fontId="17" fillId="0" borderId="66" xfId="6" applyNumberFormat="1" applyFont="1" applyFill="1" applyBorder="1" applyAlignment="1" applyProtection="1">
      <alignment horizontal="center" vertical="center"/>
    </xf>
    <xf numFmtId="0" fontId="17" fillId="0" borderId="83" xfId="0" applyFont="1" applyFill="1" applyBorder="1" applyAlignment="1">
      <alignment horizontal="center" vertical="center"/>
    </xf>
    <xf numFmtId="0" fontId="17" fillId="0" borderId="6" xfId="0" applyFont="1" applyFill="1" applyBorder="1" applyAlignment="1">
      <alignment horizontal="center" vertical="center" wrapText="1"/>
    </xf>
    <xf numFmtId="0" fontId="17" fillId="0" borderId="84" xfId="0" applyFont="1" applyFill="1" applyBorder="1" applyAlignment="1">
      <alignment horizontal="center" vertical="center"/>
    </xf>
    <xf numFmtId="4" fontId="17" fillId="0" borderId="34" xfId="0" applyNumberFormat="1" applyFont="1" applyFill="1" applyBorder="1" applyAlignment="1">
      <alignment horizontal="center" vertical="center"/>
    </xf>
    <xf numFmtId="0" fontId="17" fillId="0" borderId="9" xfId="0" applyFont="1" applyFill="1" applyBorder="1" applyAlignment="1">
      <alignment horizontal="center" vertical="center" wrapText="1"/>
    </xf>
    <xf numFmtId="4" fontId="17" fillId="0" borderId="85" xfId="0" applyNumberFormat="1" applyFont="1" applyFill="1" applyBorder="1" applyAlignment="1">
      <alignment horizontal="center" vertical="center"/>
    </xf>
    <xf numFmtId="0" fontId="17" fillId="0" borderId="48" xfId="0" applyFont="1" applyFill="1" applyBorder="1" applyAlignment="1">
      <alignment horizontal="center" vertical="center" wrapText="1"/>
    </xf>
    <xf numFmtId="0" fontId="16" fillId="0" borderId="86" xfId="0" applyFont="1" applyFill="1" applyBorder="1" applyAlignment="1">
      <alignment horizontal="center" vertical="center"/>
    </xf>
    <xf numFmtId="0" fontId="16" fillId="0" borderId="87" xfId="0" applyFont="1" applyFill="1" applyBorder="1" applyAlignment="1">
      <alignment horizontal="center" vertical="center"/>
    </xf>
    <xf numFmtId="4" fontId="16" fillId="0" borderId="88" xfId="0" applyNumberFormat="1" applyFont="1" applyFill="1" applyBorder="1" applyAlignment="1">
      <alignment horizontal="center" vertical="center"/>
    </xf>
    <xf numFmtId="0" fontId="16" fillId="0" borderId="0" xfId="0" applyFont="1" applyFill="1" applyBorder="1" applyAlignment="1">
      <alignment horizontal="center" vertical="center"/>
    </xf>
    <xf numFmtId="167" fontId="17" fillId="0" borderId="74" xfId="6" applyNumberFormat="1" applyFont="1" applyFill="1" applyBorder="1" applyAlignment="1" applyProtection="1">
      <alignment horizontal="center" vertical="center"/>
    </xf>
    <xf numFmtId="167" fontId="17" fillId="0" borderId="75" xfId="6" applyNumberFormat="1" applyFont="1" applyFill="1" applyBorder="1" applyAlignment="1" applyProtection="1">
      <alignment horizontal="center" vertical="center" wrapText="1"/>
    </xf>
    <xf numFmtId="167" fontId="17" fillId="0" borderId="6" xfId="6" applyNumberFormat="1" applyFont="1" applyFill="1" applyBorder="1" applyAlignment="1" applyProtection="1">
      <alignment horizontal="center" vertical="center" wrapText="1"/>
    </xf>
    <xf numFmtId="167" fontId="17" fillId="0" borderId="6" xfId="6" applyNumberFormat="1" applyFont="1" applyFill="1" applyBorder="1" applyAlignment="1" applyProtection="1">
      <alignment horizontal="center" vertical="center"/>
    </xf>
    <xf numFmtId="167" fontId="17" fillId="0" borderId="9" xfId="6" applyNumberFormat="1" applyFont="1" applyFill="1" applyBorder="1" applyAlignment="1" applyProtection="1">
      <alignment horizontal="center" vertical="center" wrapText="1"/>
    </xf>
    <xf numFmtId="167" fontId="17" fillId="0" borderId="69" xfId="6" applyNumberFormat="1" applyFont="1" applyFill="1" applyBorder="1" applyAlignment="1" applyProtection="1">
      <alignment horizontal="center" vertical="center" wrapText="1"/>
    </xf>
    <xf numFmtId="4" fontId="17" fillId="7" borderId="56" xfId="0" applyNumberFormat="1" applyFont="1" applyFill="1" applyBorder="1" applyAlignment="1">
      <alignment horizontal="center" vertical="center"/>
    </xf>
    <xf numFmtId="4" fontId="16" fillId="7" borderId="70" xfId="0" applyNumberFormat="1" applyFont="1" applyFill="1" applyBorder="1" applyAlignment="1">
      <alignment horizontal="center" vertical="center"/>
    </xf>
    <xf numFmtId="4" fontId="17" fillId="7" borderId="56" xfId="6" applyNumberFormat="1" applyFont="1" applyFill="1" applyBorder="1" applyAlignment="1" applyProtection="1">
      <alignment horizontal="center" vertical="center"/>
    </xf>
    <xf numFmtId="4" fontId="17" fillId="10" borderId="56" xfId="6" applyNumberFormat="1" applyFont="1" applyFill="1" applyBorder="1" applyAlignment="1" applyProtection="1">
      <alignment horizontal="center" vertical="center"/>
    </xf>
    <xf numFmtId="4" fontId="17" fillId="7" borderId="70" xfId="6" applyNumberFormat="1" applyFont="1" applyFill="1" applyBorder="1" applyAlignment="1" applyProtection="1">
      <alignment horizontal="center" vertical="center"/>
    </xf>
    <xf numFmtId="4" fontId="16" fillId="0" borderId="42" xfId="6" applyNumberFormat="1" applyFont="1" applyFill="1" applyBorder="1" applyAlignment="1" applyProtection="1">
      <alignment horizontal="center" vertical="center"/>
    </xf>
    <xf numFmtId="0" fontId="17" fillId="0" borderId="89" xfId="0" applyFont="1" applyFill="1" applyBorder="1" applyAlignment="1">
      <alignment horizontal="center" vertical="center"/>
    </xf>
    <xf numFmtId="0" fontId="17" fillId="0" borderId="90" xfId="0" applyFont="1" applyFill="1" applyBorder="1" applyAlignment="1">
      <alignment horizontal="center" vertical="center" wrapText="1"/>
    </xf>
    <xf numFmtId="4" fontId="17" fillId="0" borderId="50" xfId="6" applyNumberFormat="1" applyFont="1" applyFill="1" applyBorder="1" applyAlignment="1" applyProtection="1">
      <alignment horizontal="center" vertical="center"/>
    </xf>
    <xf numFmtId="2" fontId="17" fillId="0" borderId="55" xfId="0" applyNumberFormat="1" applyFont="1" applyFill="1" applyBorder="1" applyAlignment="1">
      <alignment horizontal="center" vertical="center" wrapText="1"/>
    </xf>
    <xf numFmtId="0" fontId="17" fillId="0" borderId="91" xfId="0" applyFont="1" applyFill="1" applyBorder="1" applyAlignment="1">
      <alignment horizontal="center" vertical="center"/>
    </xf>
    <xf numFmtId="0" fontId="17" fillId="0" borderId="71" xfId="0" applyFont="1" applyFill="1" applyBorder="1" applyAlignment="1">
      <alignment horizontal="center" vertical="center" wrapText="1"/>
    </xf>
    <xf numFmtId="0" fontId="17" fillId="0" borderId="71" xfId="0" applyFont="1" applyFill="1" applyBorder="1" applyAlignment="1">
      <alignment horizontal="center" vertical="center"/>
    </xf>
    <xf numFmtId="0" fontId="17" fillId="0" borderId="92" xfId="0" applyFont="1" applyFill="1" applyBorder="1" applyAlignment="1">
      <alignment horizontal="center" vertical="center"/>
    </xf>
    <xf numFmtId="0" fontId="17" fillId="0" borderId="58" xfId="0" applyFont="1" applyFill="1" applyBorder="1" applyAlignment="1">
      <alignment horizontal="left" vertical="center" wrapText="1"/>
    </xf>
    <xf numFmtId="0" fontId="16" fillId="0" borderId="57" xfId="0" applyFont="1" applyFill="1" applyBorder="1" applyAlignment="1">
      <alignment horizontal="left" vertical="center" wrapText="1"/>
    </xf>
    <xf numFmtId="0" fontId="16" fillId="0" borderId="93"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165" fontId="4" fillId="0" borderId="32" xfId="0" applyNumberFormat="1" applyFont="1" applyBorder="1" applyAlignment="1">
      <alignment horizontal="center"/>
    </xf>
    <xf numFmtId="0" fontId="8" fillId="0" borderId="17" xfId="0" applyFont="1" applyBorder="1"/>
    <xf numFmtId="0" fontId="4" fillId="0" borderId="0" xfId="0" applyFont="1" applyBorder="1"/>
    <xf numFmtId="0" fontId="4" fillId="0" borderId="1" xfId="0" applyFont="1" applyBorder="1" applyAlignment="1">
      <alignment horizontal="center" vertical="center"/>
    </xf>
    <xf numFmtId="165" fontId="3" fillId="0" borderId="1" xfId="0" applyNumberFormat="1" applyFont="1" applyBorder="1" applyAlignment="1">
      <alignment horizontal="center"/>
    </xf>
    <xf numFmtId="0" fontId="3" fillId="0" borderId="0" xfId="0" applyFont="1" applyAlignment="1">
      <alignment horizontal="center"/>
    </xf>
    <xf numFmtId="166" fontId="4" fillId="0" borderId="1" xfId="0" applyNumberFormat="1" applyFont="1" applyBorder="1"/>
    <xf numFmtId="10" fontId="4" fillId="0" borderId="1" xfId="5" applyNumberFormat="1" applyFont="1" applyBorder="1" applyAlignment="1">
      <alignment horizontal="center"/>
    </xf>
    <xf numFmtId="10" fontId="4" fillId="0" borderId="1" xfId="5" applyNumberFormat="1" applyFont="1" applyBorder="1" applyAlignment="1">
      <alignment horizontal="center" vertical="center"/>
    </xf>
    <xf numFmtId="0" fontId="4" fillId="0" borderId="19" xfId="0" applyFont="1" applyBorder="1" applyAlignment="1">
      <alignment horizontal="center"/>
    </xf>
    <xf numFmtId="10" fontId="4" fillId="0" borderId="20" xfId="5" applyNumberFormat="1" applyFont="1" applyBorder="1"/>
    <xf numFmtId="10" fontId="3" fillId="0" borderId="20" xfId="5" applyNumberFormat="1" applyFont="1" applyBorder="1" applyAlignment="1">
      <alignment horizontal="center"/>
    </xf>
    <xf numFmtId="0" fontId="3" fillId="0" borderId="19" xfId="0" applyFont="1" applyBorder="1" applyAlignment="1">
      <alignment horizontal="center"/>
    </xf>
    <xf numFmtId="0" fontId="3" fillId="0" borderId="17" xfId="0" applyFont="1" applyBorder="1" applyAlignment="1">
      <alignment horizontal="center"/>
    </xf>
    <xf numFmtId="0" fontId="3" fillId="0" borderId="0" xfId="0" applyFont="1" applyBorder="1"/>
    <xf numFmtId="165" fontId="3" fillId="0" borderId="0" xfId="0" applyNumberFormat="1" applyFont="1" applyBorder="1"/>
    <xf numFmtId="10" fontId="3" fillId="0" borderId="18" xfId="5" applyNumberFormat="1" applyFont="1" applyBorder="1"/>
    <xf numFmtId="166" fontId="3" fillId="0" borderId="0" xfId="0" applyNumberFormat="1" applyFont="1" applyBorder="1"/>
    <xf numFmtId="0" fontId="3" fillId="0" borderId="31" xfId="0" applyFont="1" applyBorder="1" applyAlignment="1">
      <alignment horizontal="center"/>
    </xf>
    <xf numFmtId="0" fontId="3" fillId="0" borderId="32" xfId="0" applyFont="1" applyBorder="1"/>
    <xf numFmtId="165" fontId="3" fillId="0" borderId="32" xfId="0" applyNumberFormat="1" applyFont="1" applyBorder="1"/>
    <xf numFmtId="10" fontId="3" fillId="0" borderId="33" xfId="5" applyNumberFormat="1" applyFont="1" applyBorder="1"/>
    <xf numFmtId="0" fontId="4" fillId="0" borderId="0" xfId="0" applyFont="1" applyBorder="1" applyAlignment="1">
      <alignment horizontal="center"/>
    </xf>
    <xf numFmtId="0" fontId="13" fillId="0" borderId="19" xfId="1" applyFont="1" applyFill="1" applyBorder="1" applyAlignment="1">
      <alignment horizontal="center" vertical="center"/>
    </xf>
    <xf numFmtId="0" fontId="1" fillId="0" borderId="19" xfId="0" applyFont="1" applyBorder="1" applyAlignment="1">
      <alignment horizontal="center" vertical="center"/>
    </xf>
    <xf numFmtId="0" fontId="7" fillId="0" borderId="0" xfId="0" applyFont="1" applyBorder="1" applyAlignment="1">
      <alignment horizontal="center"/>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4" fillId="0" borderId="32" xfId="0" applyFont="1" applyBorder="1" applyAlignment="1">
      <alignment horizontal="center" vertical="center"/>
    </xf>
    <xf numFmtId="0" fontId="7" fillId="0" borderId="1" xfId="0" applyFont="1" applyBorder="1" applyAlignment="1">
      <alignment horizontal="center"/>
    </xf>
    <xf numFmtId="0" fontId="0" fillId="0" borderId="1" xfId="0" applyFont="1" applyBorder="1" applyAlignment="1">
      <alignment horizontal="left"/>
    </xf>
    <xf numFmtId="165" fontId="0" fillId="0" borderId="15" xfId="0" applyNumberFormat="1" applyBorder="1" applyAlignment="1">
      <alignment horizontal="center"/>
    </xf>
    <xf numFmtId="0" fontId="0" fillId="0" borderId="32" xfId="0" applyBorder="1" applyAlignment="1">
      <alignment horizontal="center"/>
    </xf>
    <xf numFmtId="0" fontId="0" fillId="0" borderId="19" xfId="0" applyFont="1" applyBorder="1" applyAlignment="1">
      <alignment horizontal="center"/>
    </xf>
    <xf numFmtId="165" fontId="7" fillId="0" borderId="0" xfId="0" applyNumberFormat="1" applyFont="1" applyBorder="1" applyAlignment="1">
      <alignment horizontal="center"/>
    </xf>
    <xf numFmtId="165" fontId="0" fillId="0" borderId="16" xfId="0" applyNumberFormat="1" applyBorder="1"/>
    <xf numFmtId="165" fontId="0" fillId="0" borderId="18" xfId="0" applyNumberFormat="1" applyBorder="1"/>
    <xf numFmtId="165" fontId="0" fillId="0" borderId="33" xfId="0" applyNumberFormat="1" applyBorder="1"/>
    <xf numFmtId="0" fontId="7" fillId="5" borderId="37" xfId="0" applyFont="1" applyFill="1" applyBorder="1" applyAlignment="1">
      <alignment horizontal="center" vertical="center"/>
    </xf>
    <xf numFmtId="0" fontId="7" fillId="5" borderId="38" xfId="0" applyFont="1" applyFill="1" applyBorder="1" applyAlignment="1">
      <alignment vertical="center"/>
    </xf>
    <xf numFmtId="0" fontId="7" fillId="5" borderId="39" xfId="0" applyFont="1" applyFill="1" applyBorder="1" applyAlignment="1">
      <alignment vertical="center"/>
    </xf>
    <xf numFmtId="0" fontId="12" fillId="0" borderId="8" xfId="1" applyFont="1" applyFill="1" applyBorder="1" applyAlignment="1">
      <alignment horizontal="center" vertical="center" wrapText="1"/>
    </xf>
    <xf numFmtId="0" fontId="12" fillId="0" borderId="8" xfId="1" applyFont="1" applyFill="1" applyBorder="1" applyAlignment="1">
      <alignment horizontal="left" vertical="center" wrapText="1"/>
    </xf>
    <xf numFmtId="0" fontId="12" fillId="0" borderId="8" xfId="1" applyFont="1" applyFill="1" applyBorder="1" applyAlignment="1">
      <alignment horizontal="center" vertical="center"/>
    </xf>
    <xf numFmtId="2" fontId="12" fillId="0" borderId="8" xfId="1" applyNumberFormat="1" applyFont="1" applyFill="1" applyBorder="1" applyAlignment="1">
      <alignment horizontal="center" vertical="center"/>
    </xf>
    <xf numFmtId="165" fontId="0" fillId="0" borderId="0" xfId="0" applyNumberFormat="1" applyFill="1"/>
    <xf numFmtId="0" fontId="1" fillId="0" borderId="1" xfId="0" applyFont="1" applyFill="1" applyBorder="1" applyAlignment="1">
      <alignment horizontal="center" vertical="center"/>
    </xf>
    <xf numFmtId="0" fontId="12" fillId="0" borderId="1" xfId="1" applyFont="1" applyFill="1" applyBorder="1" applyAlignment="1">
      <alignment horizontal="center" vertical="center" wrapText="1"/>
    </xf>
    <xf numFmtId="4" fontId="12" fillId="0" borderId="1" xfId="1" applyNumberFormat="1" applyFont="1" applyFill="1" applyBorder="1" applyAlignment="1">
      <alignment horizontal="center" vertical="center"/>
    </xf>
    <xf numFmtId="0" fontId="7" fillId="0" borderId="0" xfId="0" applyFont="1" applyBorder="1" applyAlignment="1">
      <alignment horizontal="center"/>
    </xf>
    <xf numFmtId="0" fontId="4" fillId="0" borderId="0" xfId="0" applyFont="1" applyBorder="1" applyAlignment="1">
      <alignment horizontal="center"/>
    </xf>
    <xf numFmtId="0" fontId="0" fillId="0" borderId="69" xfId="0" applyBorder="1" applyAlignment="1">
      <alignment horizontal="center"/>
    </xf>
    <xf numFmtId="0" fontId="0" fillId="0" borderId="27" xfId="0" applyBorder="1" applyAlignment="1">
      <alignment horizontal="center" wrapText="1"/>
    </xf>
    <xf numFmtId="0" fontId="0" fillId="0" borderId="8" xfId="0" applyBorder="1" applyAlignment="1">
      <alignment horizontal="center"/>
    </xf>
    <xf numFmtId="0" fontId="12" fillId="0" borderId="8" xfId="1" applyFont="1" applyFill="1" applyBorder="1" applyAlignment="1">
      <alignment horizontal="left" vertical="center"/>
    </xf>
    <xf numFmtId="2" fontId="17" fillId="0" borderId="8" xfId="0" applyNumberFormat="1" applyFont="1" applyFill="1" applyBorder="1" applyAlignment="1">
      <alignment horizontal="center" vertical="center" wrapText="1"/>
    </xf>
    <xf numFmtId="0" fontId="0" fillId="0" borderId="19" xfId="0" applyBorder="1" applyAlignment="1">
      <alignment horizontal="center" wrapText="1"/>
    </xf>
    <xf numFmtId="2" fontId="17" fillId="0" borderId="1" xfId="0" applyNumberFormat="1" applyFont="1" applyFill="1" applyBorder="1" applyAlignment="1">
      <alignment horizontal="center" vertical="center" wrapText="1"/>
    </xf>
    <xf numFmtId="0" fontId="1" fillId="0" borderId="105" xfId="0" applyFont="1" applyBorder="1" applyAlignment="1">
      <alignment horizontal="center" vertical="center"/>
    </xf>
    <xf numFmtId="0" fontId="12" fillId="0" borderId="84" xfId="1" applyFont="1" applyFill="1" applyBorder="1" applyAlignment="1">
      <alignment horizontal="center" vertical="center"/>
    </xf>
    <xf numFmtId="0" fontId="12" fillId="0" borderId="84" xfId="1" applyFont="1" applyFill="1" applyBorder="1" applyAlignment="1">
      <alignment horizontal="left" vertical="center"/>
    </xf>
    <xf numFmtId="2" fontId="17" fillId="0" borderId="84" xfId="0" applyNumberFormat="1" applyFont="1" applyFill="1" applyBorder="1" applyAlignment="1">
      <alignment horizontal="center" vertical="center" wrapText="1"/>
    </xf>
    <xf numFmtId="2" fontId="12" fillId="0" borderId="84" xfId="1" applyNumberFormat="1" applyFont="1" applyFill="1" applyBorder="1" applyAlignment="1">
      <alignment horizontal="center" vertical="center"/>
    </xf>
    <xf numFmtId="0" fontId="0" fillId="0" borderId="68" xfId="0" applyBorder="1" applyAlignment="1">
      <alignment horizontal="center" wrapText="1"/>
    </xf>
    <xf numFmtId="0" fontId="0" fillId="0" borderId="69" xfId="0" applyFont="1" applyBorder="1"/>
    <xf numFmtId="0" fontId="12" fillId="0" borderId="69" xfId="1" applyFont="1" applyFill="1" applyBorder="1" applyAlignment="1">
      <alignment horizontal="center" vertical="center"/>
    </xf>
    <xf numFmtId="2" fontId="17" fillId="0" borderId="69" xfId="0" applyNumberFormat="1" applyFont="1" applyFill="1" applyBorder="1" applyAlignment="1">
      <alignment horizontal="center" vertical="center" wrapText="1"/>
    </xf>
    <xf numFmtId="2" fontId="12" fillId="0" borderId="69" xfId="1" applyNumberFormat="1" applyFont="1" applyFill="1" applyBorder="1" applyAlignment="1">
      <alignment horizontal="center" vertical="center"/>
    </xf>
    <xf numFmtId="0" fontId="0" fillId="0" borderId="105" xfId="0" applyBorder="1" applyAlignment="1">
      <alignment horizontal="center" wrapText="1"/>
    </xf>
    <xf numFmtId="0" fontId="0" fillId="0" borderId="84" xfId="0" applyBorder="1" applyAlignment="1">
      <alignment horizontal="center"/>
    </xf>
    <xf numFmtId="0" fontId="12" fillId="0" borderId="69" xfId="1" applyFont="1" applyFill="1" applyBorder="1" applyAlignment="1">
      <alignment horizontal="left" vertical="center"/>
    </xf>
    <xf numFmtId="0" fontId="7" fillId="0" borderId="8" xfId="0" applyFont="1" applyFill="1" applyBorder="1" applyAlignment="1">
      <alignment horizontal="center"/>
    </xf>
    <xf numFmtId="0" fontId="0" fillId="0" borderId="8" xfId="0" applyFont="1" applyFill="1" applyBorder="1" applyAlignment="1">
      <alignment horizontal="left"/>
    </xf>
    <xf numFmtId="0" fontId="0" fillId="0" borderId="8" xfId="0" applyFont="1" applyFill="1" applyBorder="1" applyAlignment="1">
      <alignment horizontal="center"/>
    </xf>
    <xf numFmtId="2" fontId="0" fillId="0" borderId="8" xfId="0" applyNumberFormat="1" applyFont="1" applyFill="1" applyBorder="1" applyAlignment="1">
      <alignment horizontal="center"/>
    </xf>
    <xf numFmtId="0" fontId="0" fillId="0" borderId="1" xfId="0" applyFont="1" applyBorder="1" applyAlignment="1">
      <alignment horizontal="center"/>
    </xf>
    <xf numFmtId="165" fontId="6" fillId="6" borderId="2" xfId="1" applyNumberFormat="1" applyFont="1" applyFill="1" applyBorder="1" applyAlignment="1">
      <alignment horizontal="center" vertical="center"/>
    </xf>
    <xf numFmtId="0" fontId="12" fillId="2" borderId="19" xfId="1" applyFont="1" applyFill="1" applyBorder="1" applyAlignment="1">
      <alignment horizontal="center" vertical="center"/>
    </xf>
    <xf numFmtId="0" fontId="1" fillId="2" borderId="1" xfId="0" applyFont="1" applyFill="1" applyBorder="1" applyAlignment="1">
      <alignment horizontal="center" vertical="center"/>
    </xf>
    <xf numFmtId="2" fontId="0" fillId="0" borderId="2" xfId="0"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wrapText="1"/>
    </xf>
    <xf numFmtId="164" fontId="0" fillId="0" borderId="0" xfId="7" applyFont="1" applyAlignment="1">
      <alignment vertical="center"/>
    </xf>
    <xf numFmtId="0" fontId="0" fillId="0" borderId="0" xfId="0" applyAlignment="1">
      <alignment vertical="center"/>
    </xf>
    <xf numFmtId="167" fontId="17" fillId="0" borderId="63" xfId="6" applyNumberFormat="1" applyFont="1" applyFill="1" applyBorder="1" applyAlignment="1" applyProtection="1">
      <alignment horizontal="center" vertical="center" wrapText="1"/>
    </xf>
    <xf numFmtId="167" fontId="17" fillId="7" borderId="64" xfId="6" applyNumberFormat="1" applyFont="1" applyFill="1" applyBorder="1" applyAlignment="1" applyProtection="1">
      <alignment horizontal="center" vertical="center" wrapText="1"/>
    </xf>
    <xf numFmtId="4" fontId="17" fillId="0" borderId="66" xfId="5" applyNumberFormat="1" applyFont="1" applyFill="1" applyBorder="1" applyAlignment="1" applyProtection="1">
      <alignment horizontal="center" vertical="center"/>
    </xf>
    <xf numFmtId="0" fontId="16" fillId="0" borderId="3" xfId="0" applyFont="1" applyFill="1" applyBorder="1" applyAlignment="1">
      <alignment horizontal="left" vertical="center" wrapText="1"/>
    </xf>
    <xf numFmtId="0" fontId="4" fillId="0" borderId="0" xfId="0" applyFont="1" applyBorder="1" applyAlignment="1">
      <alignment horizontal="center"/>
    </xf>
    <xf numFmtId="4" fontId="6" fillId="4" borderId="1" xfId="1" applyNumberFormat="1" applyFont="1" applyFill="1" applyBorder="1" applyAlignment="1">
      <alignment horizontal="center" vertical="center"/>
    </xf>
    <xf numFmtId="4" fontId="12" fillId="2" borderId="8" xfId="1" applyNumberFormat="1" applyFont="1" applyFill="1" applyBorder="1" applyAlignment="1">
      <alignment horizontal="center" vertical="center"/>
    </xf>
    <xf numFmtId="4" fontId="12" fillId="0" borderId="8" xfId="1" applyNumberFormat="1" applyFont="1" applyFill="1" applyBorder="1" applyAlignment="1">
      <alignment horizontal="center" vertical="center"/>
    </xf>
    <xf numFmtId="4" fontId="12" fillId="2" borderId="1" xfId="1" applyNumberFormat="1" applyFont="1" applyFill="1" applyBorder="1" applyAlignment="1">
      <alignment horizontal="center" vertical="center"/>
    </xf>
    <xf numFmtId="4" fontId="6" fillId="5" borderId="3" xfId="1" applyNumberFormat="1" applyFont="1" applyFill="1" applyBorder="1" applyAlignment="1">
      <alignment horizontal="center" vertical="center"/>
    </xf>
    <xf numFmtId="4" fontId="1" fillId="0" borderId="1" xfId="0" applyNumberFormat="1" applyFont="1" applyBorder="1" applyAlignment="1">
      <alignment horizontal="center" vertical="center"/>
    </xf>
    <xf numFmtId="4" fontId="0" fillId="0" borderId="1" xfId="0" applyNumberFormat="1" applyFont="1" applyBorder="1" applyAlignment="1">
      <alignment horizontal="center" vertical="center"/>
    </xf>
    <xf numFmtId="4" fontId="1" fillId="0" borderId="1" xfId="0" applyNumberFormat="1" applyFont="1" applyFill="1" applyBorder="1" applyAlignment="1">
      <alignment horizontal="center" vertical="center"/>
    </xf>
    <xf numFmtId="4" fontId="0" fillId="0" borderId="1" xfId="0" applyNumberFormat="1" applyBorder="1" applyAlignment="1">
      <alignment horizontal="center" vertical="center"/>
    </xf>
    <xf numFmtId="4" fontId="0" fillId="0" borderId="1" xfId="0" applyNumberFormat="1" applyFont="1" applyFill="1" applyBorder="1" applyAlignment="1">
      <alignment horizontal="center" vertical="center"/>
    </xf>
    <xf numFmtId="4" fontId="0" fillId="0" borderId="0" xfId="0" applyNumberFormat="1" applyBorder="1" applyAlignment="1">
      <alignment horizontal="center"/>
    </xf>
    <xf numFmtId="4" fontId="0" fillId="0" borderId="15" xfId="0" applyNumberFormat="1" applyBorder="1" applyAlignment="1">
      <alignment horizontal="center"/>
    </xf>
    <xf numFmtId="4" fontId="4" fillId="0" borderId="0" xfId="0" applyNumberFormat="1" applyFont="1" applyBorder="1" applyAlignment="1">
      <alignment horizontal="center"/>
    </xf>
    <xf numFmtId="4" fontId="0" fillId="0" borderId="0" xfId="0" applyNumberFormat="1" applyBorder="1"/>
    <xf numFmtId="4" fontId="7" fillId="0" borderId="0" xfId="0" applyNumberFormat="1" applyFont="1" applyBorder="1" applyAlignment="1">
      <alignment horizontal="center"/>
    </xf>
    <xf numFmtId="4" fontId="4" fillId="0" borderId="32" xfId="0" applyNumberFormat="1" applyFont="1" applyBorder="1" applyAlignment="1">
      <alignment horizontal="center"/>
    </xf>
    <xf numFmtId="4" fontId="4" fillId="0" borderId="15" xfId="0" applyNumberFormat="1" applyFont="1" applyBorder="1" applyAlignment="1">
      <alignment horizontal="center"/>
    </xf>
    <xf numFmtId="4" fontId="0" fillId="0" borderId="0" xfId="0" applyNumberFormat="1" applyFont="1" applyBorder="1" applyAlignment="1">
      <alignment horizontal="center"/>
    </xf>
    <xf numFmtId="4" fontId="0" fillId="0" borderId="0" xfId="0" applyNumberFormat="1" applyAlignment="1">
      <alignment horizontal="center"/>
    </xf>
    <xf numFmtId="2" fontId="12" fillId="0" borderId="1" xfId="1" applyNumberFormat="1" applyFont="1" applyFill="1" applyBorder="1" applyAlignment="1">
      <alignment horizontal="distributed" vertical="center" wrapText="1" indent="1"/>
    </xf>
    <xf numFmtId="4" fontId="17" fillId="7" borderId="63" xfId="0" applyNumberFormat="1" applyFont="1" applyFill="1" applyBorder="1" applyAlignment="1">
      <alignment horizontal="center" vertical="center" wrapText="1"/>
    </xf>
    <xf numFmtId="2" fontId="17" fillId="0" borderId="67" xfId="0" applyNumberFormat="1" applyFont="1" applyFill="1" applyBorder="1" applyAlignment="1">
      <alignment horizontal="center" vertical="center" wrapText="1"/>
    </xf>
    <xf numFmtId="0" fontId="16" fillId="7" borderId="84" xfId="0" applyFont="1" applyFill="1" applyBorder="1" applyAlignment="1">
      <alignment horizontal="center" vertical="center"/>
    </xf>
    <xf numFmtId="4" fontId="16" fillId="7" borderId="34" xfId="0" applyNumberFormat="1" applyFont="1" applyFill="1" applyBorder="1" applyAlignment="1">
      <alignment horizontal="center" vertical="center"/>
    </xf>
    <xf numFmtId="0" fontId="17" fillId="0" borderId="74" xfId="0" applyFont="1" applyFill="1" applyBorder="1" applyAlignment="1">
      <alignment vertical="center"/>
    </xf>
    <xf numFmtId="0" fontId="0" fillId="2" borderId="19"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wrapText="1"/>
    </xf>
    <xf numFmtId="4" fontId="1" fillId="2" borderId="1" xfId="0" applyNumberFormat="1" applyFont="1" applyFill="1" applyBorder="1" applyAlignment="1">
      <alignment horizontal="center" vertical="center"/>
    </xf>
    <xf numFmtId="0" fontId="0" fillId="2" borderId="1" xfId="0" applyFont="1" applyFill="1" applyBorder="1" applyAlignment="1">
      <alignment horizontal="left" vertical="center" wrapText="1"/>
    </xf>
    <xf numFmtId="0" fontId="16" fillId="0" borderId="72" xfId="0" applyFont="1" applyFill="1" applyBorder="1" applyAlignment="1">
      <alignment horizontal="center" vertical="center"/>
    </xf>
    <xf numFmtId="0" fontId="16" fillId="0" borderId="74" xfId="0" applyFont="1" applyFill="1" applyBorder="1" applyAlignment="1">
      <alignment horizontal="left" vertical="center" wrapText="1"/>
    </xf>
    <xf numFmtId="0" fontId="16" fillId="0" borderId="75" xfId="0" applyFont="1" applyFill="1" applyBorder="1" applyAlignment="1">
      <alignment horizontal="left" vertical="center" wrapText="1"/>
    </xf>
    <xf numFmtId="0" fontId="16" fillId="0" borderId="51" xfId="0" applyFont="1" applyFill="1" applyBorder="1" applyAlignment="1">
      <alignment horizontal="center" vertical="center"/>
    </xf>
    <xf numFmtId="0" fontId="16" fillId="0" borderId="52" xfId="0" applyFont="1" applyFill="1" applyBorder="1" applyAlignment="1">
      <alignment horizontal="left" vertical="center" wrapText="1"/>
    </xf>
    <xf numFmtId="0" fontId="16" fillId="0" borderId="53" xfId="0" applyFont="1" applyFill="1" applyBorder="1" applyAlignment="1">
      <alignment horizontal="left" vertical="center" wrapText="1"/>
    </xf>
    <xf numFmtId="0" fontId="16" fillId="0" borderId="54" xfId="0" applyFont="1" applyFill="1" applyBorder="1" applyAlignment="1">
      <alignment horizontal="left" vertical="center" wrapText="1"/>
    </xf>
    <xf numFmtId="4" fontId="16" fillId="0" borderId="56" xfId="0" applyNumberFormat="1" applyFont="1" applyFill="1" applyBorder="1" applyAlignment="1">
      <alignment horizontal="center" vertical="center"/>
    </xf>
    <xf numFmtId="0" fontId="0" fillId="0" borderId="108" xfId="0" applyFont="1" applyBorder="1" applyAlignment="1">
      <alignment horizontal="center" vertical="center"/>
    </xf>
    <xf numFmtId="0" fontId="0" fillId="0" borderId="53" xfId="0" applyFont="1" applyBorder="1" applyAlignment="1">
      <alignment horizontal="center" vertical="center"/>
    </xf>
    <xf numFmtId="0" fontId="0" fillId="0" borderId="82" xfId="0" applyFont="1" applyBorder="1" applyAlignment="1">
      <alignment horizontal="right" vertical="center"/>
    </xf>
    <xf numFmtId="167" fontId="17" fillId="0" borderId="82" xfId="6" applyNumberFormat="1" applyFont="1" applyFill="1" applyBorder="1" applyAlignment="1" applyProtection="1">
      <alignment vertical="center"/>
    </xf>
    <xf numFmtId="167" fontId="17" fillId="0" borderId="82" xfId="6" applyNumberFormat="1" applyFont="1" applyFill="1" applyBorder="1" applyAlignment="1" applyProtection="1">
      <alignment horizontal="center" vertical="center"/>
    </xf>
    <xf numFmtId="0" fontId="18" fillId="0" borderId="52" xfId="0" applyFont="1" applyFill="1" applyBorder="1" applyAlignment="1">
      <alignment horizontal="left" vertical="center" wrapText="1"/>
    </xf>
    <xf numFmtId="43" fontId="17" fillId="0" borderId="55" xfId="0" applyNumberFormat="1" applyFont="1" applyFill="1" applyBorder="1" applyAlignment="1">
      <alignment horizontal="center" vertical="center" wrapText="1"/>
    </xf>
    <xf numFmtId="0" fontId="16" fillId="0" borderId="47" xfId="0" applyFont="1" applyFill="1" applyBorder="1" applyAlignment="1">
      <alignment horizontal="left" vertical="center" wrapText="1"/>
    </xf>
    <xf numFmtId="4" fontId="17" fillId="0" borderId="55" xfId="0" applyNumberFormat="1" applyFont="1" applyFill="1" applyBorder="1" applyAlignment="1">
      <alignment horizontal="right" vertical="center" wrapText="1"/>
    </xf>
    <xf numFmtId="0" fontId="0" fillId="0" borderId="55" xfId="0" applyFont="1" applyBorder="1" applyAlignment="1">
      <alignment horizontal="center"/>
    </xf>
    <xf numFmtId="0" fontId="17" fillId="0" borderId="109" xfId="0" applyFont="1" applyFill="1" applyBorder="1" applyAlignment="1">
      <alignment horizontal="center" vertical="center"/>
    </xf>
    <xf numFmtId="4" fontId="17" fillId="0" borderId="74" xfId="0" applyNumberFormat="1" applyFont="1" applyFill="1" applyBorder="1" applyAlignment="1">
      <alignment horizontal="center" vertical="center"/>
    </xf>
    <xf numFmtId="0" fontId="17" fillId="0" borderId="108" xfId="0" applyFont="1" applyFill="1" applyBorder="1" applyAlignment="1">
      <alignment horizontal="center" vertical="center"/>
    </xf>
    <xf numFmtId="0" fontId="17" fillId="0" borderId="110" xfId="0" applyFont="1" applyFill="1" applyBorder="1" applyAlignment="1">
      <alignment horizontal="center" vertical="center"/>
    </xf>
    <xf numFmtId="167" fontId="17" fillId="0" borderId="60" xfId="6" applyNumberFormat="1" applyFont="1" applyFill="1" applyBorder="1" applyAlignment="1" applyProtection="1">
      <alignment horizontal="center" vertical="center"/>
    </xf>
    <xf numFmtId="4" fontId="17" fillId="0" borderId="76" xfId="0" applyNumberFormat="1" applyFont="1" applyFill="1" applyBorder="1" applyAlignment="1">
      <alignment horizontal="center" vertical="center"/>
    </xf>
    <xf numFmtId="4" fontId="0" fillId="0" borderId="55" xfId="0" applyNumberFormat="1" applyFont="1" applyBorder="1" applyAlignment="1">
      <alignment horizontal="center"/>
    </xf>
    <xf numFmtId="0" fontId="0" fillId="0" borderId="47" xfId="0" applyFont="1" applyBorder="1" applyAlignment="1">
      <alignment horizontal="center" vertical="center"/>
    </xf>
    <xf numFmtId="0" fontId="0" fillId="0" borderId="76" xfId="0" applyFont="1" applyBorder="1" applyAlignment="1">
      <alignment horizontal="center"/>
    </xf>
    <xf numFmtId="43" fontId="0" fillId="0" borderId="77" xfId="0" applyNumberFormat="1" applyFont="1" applyBorder="1" applyAlignment="1">
      <alignment horizontal="center"/>
    </xf>
    <xf numFmtId="0" fontId="0" fillId="0" borderId="18" xfId="0" applyFont="1" applyBorder="1" applyAlignment="1">
      <alignment horizontal="center"/>
    </xf>
    <xf numFmtId="43" fontId="0" fillId="0" borderId="56" xfId="0" applyNumberFormat="1" applyFont="1" applyBorder="1" applyAlignment="1">
      <alignment horizontal="center"/>
    </xf>
    <xf numFmtId="43" fontId="0" fillId="0" borderId="85" xfId="0" applyNumberFormat="1" applyFont="1" applyBorder="1" applyAlignment="1">
      <alignment horizontal="center"/>
    </xf>
    <xf numFmtId="0" fontId="0" fillId="0" borderId="54" xfId="0" applyFont="1" applyBorder="1" applyAlignment="1">
      <alignment horizontal="center" vertical="center"/>
    </xf>
    <xf numFmtId="2" fontId="0" fillId="0" borderId="2" xfId="0" applyNumberFormat="1" applyFont="1" applyBorder="1" applyAlignment="1">
      <alignment vertical="center"/>
    </xf>
    <xf numFmtId="2" fontId="0" fillId="0" borderId="2" xfId="0" applyNumberFormat="1" applyFont="1" applyBorder="1" applyAlignment="1"/>
    <xf numFmtId="4" fontId="0" fillId="2" borderId="1" xfId="0" applyNumberFormat="1" applyFont="1" applyFill="1" applyBorder="1" applyAlignment="1">
      <alignment horizontal="center" vertical="center"/>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7" fillId="0" borderId="73" xfId="0" applyFont="1" applyFill="1" applyBorder="1" applyAlignment="1">
      <alignment horizontal="left" vertical="center" wrapText="1"/>
    </xf>
    <xf numFmtId="0" fontId="17" fillId="0" borderId="74" xfId="0" applyFont="1" applyFill="1" applyBorder="1" applyAlignment="1">
      <alignment horizontal="left" vertical="center" wrapText="1"/>
    </xf>
    <xf numFmtId="0" fontId="7" fillId="0" borderId="0" xfId="0" applyFont="1" applyBorder="1" applyAlignment="1">
      <alignment horizontal="center"/>
    </xf>
    <xf numFmtId="0" fontId="4" fillId="0" borderId="0" xfId="0" applyFont="1" applyBorder="1" applyAlignment="1">
      <alignment horizontal="center"/>
    </xf>
    <xf numFmtId="0" fontId="17" fillId="0" borderId="29" xfId="0" applyFont="1" applyFill="1" applyBorder="1" applyAlignment="1">
      <alignment horizontal="center" vertical="center"/>
    </xf>
    <xf numFmtId="167" fontId="17" fillId="0" borderId="7" xfId="6" applyNumberFormat="1" applyFont="1" applyFill="1" applyBorder="1" applyAlignment="1" applyProtection="1">
      <alignment horizontal="center" vertical="center"/>
    </xf>
    <xf numFmtId="0" fontId="3" fillId="0" borderId="0" xfId="0" applyFont="1" applyBorder="1" applyAlignment="1">
      <alignment horizontal="center" vertical="center"/>
    </xf>
    <xf numFmtId="17" fontId="0" fillId="2" borderId="17" xfId="0" applyNumberFormat="1" applyFill="1" applyBorder="1" applyAlignment="1">
      <alignment horizontal="left" vertical="center"/>
    </xf>
    <xf numFmtId="0" fontId="1" fillId="2" borderId="0" xfId="0" applyFont="1" applyFill="1" applyBorder="1"/>
    <xf numFmtId="17" fontId="1" fillId="2" borderId="17" xfId="0" applyNumberFormat="1" applyFont="1" applyFill="1" applyBorder="1"/>
    <xf numFmtId="0" fontId="4" fillId="0" borderId="1" xfId="0" applyFont="1" applyBorder="1" applyAlignment="1">
      <alignment horizontal="center"/>
    </xf>
    <xf numFmtId="0" fontId="0" fillId="0" borderId="1" xfId="0" applyFont="1" applyFill="1" applyBorder="1" applyAlignment="1">
      <alignment vertical="center"/>
    </xf>
    <xf numFmtId="0" fontId="1" fillId="2" borderId="0" xfId="0" applyFont="1" applyFill="1" applyBorder="1" applyAlignment="1"/>
    <xf numFmtId="0" fontId="1" fillId="2" borderId="18" xfId="0" applyFont="1" applyFill="1" applyBorder="1" applyAlignment="1"/>
    <xf numFmtId="0" fontId="7" fillId="0" borderId="19" xfId="0" applyFont="1" applyBorder="1" applyAlignment="1">
      <alignment horizontal="center"/>
    </xf>
    <xf numFmtId="17" fontId="0" fillId="0" borderId="19" xfId="0" applyNumberFormat="1" applyFill="1" applyBorder="1" applyAlignment="1">
      <alignment horizontal="center"/>
    </xf>
    <xf numFmtId="17" fontId="0" fillId="0" borderId="35" xfId="0" applyNumberFormat="1" applyFill="1" applyBorder="1" applyAlignment="1">
      <alignment horizontal="center"/>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16" fillId="0" borderId="5" xfId="0" applyFont="1" applyFill="1" applyBorder="1" applyAlignment="1">
      <alignment horizontal="left" vertical="center" wrapText="1"/>
    </xf>
    <xf numFmtId="0" fontId="16" fillId="0" borderId="10" xfId="0" applyFont="1" applyFill="1" applyBorder="1" applyAlignment="1">
      <alignment horizontal="left" vertical="center" wrapText="1"/>
    </xf>
    <xf numFmtId="167" fontId="17" fillId="0" borderId="76" xfId="6" applyNumberFormat="1" applyFont="1" applyFill="1" applyBorder="1" applyAlignment="1" applyProtection="1">
      <alignment horizontal="center" vertical="center" wrapText="1"/>
    </xf>
    <xf numFmtId="0" fontId="17" fillId="0" borderId="84" xfId="0" applyFont="1" applyFill="1" applyBorder="1" applyAlignment="1">
      <alignment horizontal="center" vertical="center" wrapText="1"/>
    </xf>
    <xf numFmtId="0" fontId="16" fillId="0" borderId="76" xfId="0" applyFont="1" applyFill="1" applyBorder="1" applyAlignment="1">
      <alignment horizontal="center" vertical="center"/>
    </xf>
    <xf numFmtId="4" fontId="16" fillId="0" borderId="77" xfId="0" applyNumberFormat="1" applyFont="1" applyFill="1" applyBorder="1" applyAlignment="1">
      <alignment horizontal="center" vertical="center"/>
    </xf>
    <xf numFmtId="0" fontId="17" fillId="0" borderId="82" xfId="0" applyFont="1" applyFill="1" applyBorder="1" applyAlignment="1">
      <alignment horizontal="center" vertical="center" wrapText="1"/>
    </xf>
    <xf numFmtId="0" fontId="16" fillId="0" borderId="84" xfId="0" applyFont="1" applyFill="1" applyBorder="1" applyAlignment="1">
      <alignment horizontal="center" vertical="center"/>
    </xf>
    <xf numFmtId="4" fontId="16" fillId="0" borderId="34" xfId="0" applyNumberFormat="1" applyFont="1" applyFill="1" applyBorder="1" applyAlignment="1">
      <alignment horizontal="center" vertical="center"/>
    </xf>
    <xf numFmtId="167" fontId="17" fillId="0" borderId="78" xfId="6" applyNumberFormat="1" applyFont="1" applyFill="1" applyBorder="1" applyAlignment="1" applyProtection="1">
      <alignment horizontal="center" vertical="center" wrapText="1"/>
    </xf>
    <xf numFmtId="0" fontId="17" fillId="0" borderId="74" xfId="0" applyFont="1" applyFill="1" applyBorder="1" applyAlignment="1">
      <alignment vertical="top"/>
    </xf>
    <xf numFmtId="0" fontId="7" fillId="5" borderId="44" xfId="0" applyFont="1" applyFill="1" applyBorder="1" applyAlignment="1">
      <alignment horizontal="center" vertical="center"/>
    </xf>
    <xf numFmtId="10" fontId="6" fillId="6" borderId="2" xfId="5" applyNumberFormat="1" applyFont="1" applyFill="1" applyBorder="1" applyAlignment="1">
      <alignment horizontal="center" vertical="center"/>
    </xf>
    <xf numFmtId="10" fontId="0" fillId="0" borderId="0" xfId="5" applyNumberFormat="1" applyFont="1"/>
    <xf numFmtId="10" fontId="7" fillId="0" borderId="0" xfId="5" applyNumberFormat="1" applyFont="1" applyBorder="1" applyAlignment="1">
      <alignment horizontal="center" vertical="center"/>
    </xf>
    <xf numFmtId="10" fontId="0" fillId="0" borderId="15" xfId="5" applyNumberFormat="1" applyFont="1" applyBorder="1" applyAlignment="1">
      <alignment horizontal="center" vertical="center"/>
    </xf>
    <xf numFmtId="10" fontId="0" fillId="0" borderId="0" xfId="5" applyNumberFormat="1" applyFont="1" applyBorder="1" applyAlignment="1">
      <alignment horizontal="center" vertical="center"/>
    </xf>
    <xf numFmtId="10" fontId="0" fillId="0" borderId="32" xfId="5" applyNumberFormat="1" applyFont="1" applyBorder="1" applyAlignment="1">
      <alignment horizontal="center" vertical="center"/>
    </xf>
    <xf numFmtId="10" fontId="0" fillId="0" borderId="0" xfId="5" applyNumberFormat="1" applyFont="1" applyAlignment="1">
      <alignment horizontal="center" vertical="center"/>
    </xf>
    <xf numFmtId="10" fontId="7" fillId="5" borderId="39" xfId="5" applyNumberFormat="1" applyFont="1" applyFill="1" applyBorder="1" applyAlignment="1">
      <alignment horizontal="center" vertical="center"/>
    </xf>
    <xf numFmtId="10" fontId="1" fillId="2" borderId="0" xfId="5" applyNumberFormat="1" applyFont="1" applyFill="1" applyBorder="1" applyAlignment="1">
      <alignment horizontal="center" vertical="center"/>
    </xf>
    <xf numFmtId="167" fontId="17" fillId="0" borderId="52" xfId="6" applyNumberFormat="1" applyFont="1" applyFill="1" applyBorder="1" applyAlignment="1" applyProtection="1">
      <alignment horizontal="center" vertical="center" wrapText="1"/>
    </xf>
    <xf numFmtId="2" fontId="17" fillId="0" borderId="65" xfId="0" applyNumberFormat="1" applyFont="1" applyFill="1" applyBorder="1" applyAlignment="1">
      <alignment horizontal="center" vertical="center" wrapText="1"/>
    </xf>
    <xf numFmtId="2" fontId="17" fillId="0" borderId="54" xfId="0" applyNumberFormat="1" applyFont="1" applyFill="1" applyBorder="1" applyAlignment="1">
      <alignment horizontal="center" vertical="center" wrapText="1"/>
    </xf>
    <xf numFmtId="2" fontId="17" fillId="0" borderId="47" xfId="0" applyNumberFormat="1" applyFont="1" applyFill="1" applyBorder="1" applyAlignment="1">
      <alignment horizontal="center" vertical="center" wrapText="1"/>
    </xf>
    <xf numFmtId="2" fontId="17" fillId="0" borderId="48" xfId="0" applyNumberFormat="1" applyFont="1" applyFill="1" applyBorder="1" applyAlignment="1">
      <alignment horizontal="center" vertical="center" wrapText="1"/>
    </xf>
    <xf numFmtId="2" fontId="17" fillId="0" borderId="82" xfId="0" applyNumberFormat="1" applyFont="1" applyFill="1" applyBorder="1" applyAlignment="1">
      <alignment horizontal="center" vertical="center" wrapText="1"/>
    </xf>
    <xf numFmtId="0" fontId="0" fillId="2" borderId="0" xfId="0" applyFill="1" applyBorder="1" applyAlignment="1">
      <alignment wrapText="1"/>
    </xf>
    <xf numFmtId="10" fontId="6" fillId="4" borderId="2" xfId="5" applyNumberFormat="1" applyFont="1" applyFill="1" applyBorder="1" applyAlignment="1">
      <alignment horizontal="center" vertical="center"/>
    </xf>
    <xf numFmtId="10" fontId="6" fillId="5" borderId="3" xfId="5" applyNumberFormat="1" applyFont="1" applyFill="1" applyBorder="1" applyAlignment="1">
      <alignment horizontal="left" vertical="center"/>
    </xf>
    <xf numFmtId="10" fontId="0" fillId="0" borderId="0" xfId="5" applyNumberFormat="1" applyFont="1" applyBorder="1"/>
    <xf numFmtId="10" fontId="0" fillId="0" borderId="15" xfId="5" applyNumberFormat="1" applyFont="1" applyBorder="1"/>
    <xf numFmtId="10" fontId="4" fillId="0" borderId="0" xfId="5" applyNumberFormat="1" applyFont="1" applyBorder="1" applyAlignment="1"/>
    <xf numFmtId="10" fontId="4" fillId="0" borderId="0" xfId="5" applyNumberFormat="1" applyFont="1" applyBorder="1" applyAlignment="1">
      <alignment horizontal="center"/>
    </xf>
    <xf numFmtId="10" fontId="4" fillId="0" borderId="32" xfId="5" applyNumberFormat="1" applyFont="1" applyBorder="1" applyAlignment="1">
      <alignment horizontal="center"/>
    </xf>
    <xf numFmtId="10" fontId="4" fillId="0" borderId="15" xfId="5" applyNumberFormat="1" applyFont="1" applyBorder="1" applyAlignment="1">
      <alignment horizontal="center"/>
    </xf>
    <xf numFmtId="167" fontId="17" fillId="0" borderId="49" xfId="6"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167" fontId="17" fillId="0" borderId="55" xfId="6" applyNumberFormat="1" applyFont="1" applyFill="1" applyBorder="1" applyAlignment="1" applyProtection="1">
      <alignment horizontal="right" vertical="center" wrapText="1"/>
    </xf>
    <xf numFmtId="0" fontId="0" fillId="0" borderId="0" xfId="0" applyFont="1" applyFill="1" applyBorder="1" applyAlignment="1">
      <alignment wrapText="1"/>
    </xf>
    <xf numFmtId="0" fontId="0" fillId="0" borderId="1" xfId="0" applyFont="1" applyBorder="1" applyAlignment="1">
      <alignment vertical="center" wrapText="1"/>
    </xf>
    <xf numFmtId="0" fontId="1" fillId="2" borderId="1" xfId="0" applyFont="1" applyFill="1" applyBorder="1" applyAlignment="1">
      <alignment wrapText="1"/>
    </xf>
    <xf numFmtId="0" fontId="1" fillId="2" borderId="1" xfId="0" applyFont="1" applyFill="1" applyBorder="1" applyAlignment="1">
      <alignment vertical="center" wrapText="1"/>
    </xf>
    <xf numFmtId="0" fontId="7" fillId="0" borderId="20" xfId="0" applyFont="1" applyBorder="1" applyAlignment="1">
      <alignment horizontal="center"/>
    </xf>
    <xf numFmtId="0" fontId="17" fillId="0" borderId="105" xfId="0" applyFont="1" applyFill="1" applyBorder="1" applyAlignment="1">
      <alignment horizontal="center" vertical="center"/>
    </xf>
    <xf numFmtId="0" fontId="17" fillId="0" borderId="6" xfId="0" applyFont="1" applyFill="1" applyBorder="1" applyAlignment="1">
      <alignment horizontal="left" vertical="center" wrapText="1"/>
    </xf>
    <xf numFmtId="0" fontId="17" fillId="0" borderId="6" xfId="0" applyFont="1" applyFill="1" applyBorder="1" applyAlignment="1">
      <alignment vertical="center"/>
    </xf>
    <xf numFmtId="0" fontId="17" fillId="7" borderId="6"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7" borderId="84" xfId="0" applyFont="1" applyFill="1" applyBorder="1" applyAlignment="1">
      <alignment horizontal="center" vertical="center"/>
    </xf>
    <xf numFmtId="4" fontId="17" fillId="7" borderId="34" xfId="0" applyNumberFormat="1" applyFont="1" applyFill="1" applyBorder="1" applyAlignment="1">
      <alignment horizontal="center" vertical="center"/>
    </xf>
    <xf numFmtId="0" fontId="0" fillId="0" borderId="71" xfId="0" applyFont="1" applyBorder="1"/>
    <xf numFmtId="4" fontId="17" fillId="11" borderId="77" xfId="0" applyNumberFormat="1" applyFont="1" applyFill="1" applyBorder="1" applyAlignment="1">
      <alignment horizontal="center" vertical="center"/>
    </xf>
    <xf numFmtId="4" fontId="17" fillId="0" borderId="3" xfId="0" applyNumberFormat="1" applyFont="1" applyFill="1" applyBorder="1" applyAlignment="1">
      <alignment horizontal="center" vertical="center" wrapText="1"/>
    </xf>
    <xf numFmtId="0" fontId="7" fillId="0" borderId="0" xfId="0" applyFont="1" applyBorder="1" applyAlignment="1">
      <alignment horizontal="center"/>
    </xf>
    <xf numFmtId="0" fontId="17" fillId="0" borderId="5" xfId="0" applyFont="1" applyFill="1" applyBorder="1" applyAlignment="1">
      <alignment horizontal="center" vertical="center" wrapText="1"/>
    </xf>
    <xf numFmtId="167" fontId="17" fillId="0" borderId="82" xfId="6" applyNumberFormat="1" applyFont="1" applyFill="1" applyBorder="1" applyAlignment="1" applyProtection="1">
      <alignment horizontal="center" vertical="center" wrapText="1"/>
    </xf>
    <xf numFmtId="4" fontId="17" fillId="0" borderId="1" xfId="0" applyNumberFormat="1" applyFont="1" applyFill="1" applyBorder="1" applyAlignment="1">
      <alignment horizontal="center" vertical="center" wrapText="1"/>
    </xf>
    <xf numFmtId="4" fontId="17" fillId="0" borderId="54" xfId="0" applyNumberFormat="1" applyFont="1" applyFill="1" applyBorder="1" applyAlignment="1">
      <alignment horizontal="center" vertical="center"/>
    </xf>
    <xf numFmtId="0" fontId="17" fillId="2" borderId="112" xfId="0" applyFont="1" applyFill="1" applyBorder="1" applyAlignment="1">
      <alignment horizontal="left" vertical="center" wrapText="1"/>
    </xf>
    <xf numFmtId="0" fontId="17" fillId="2" borderId="100" xfId="0" applyFont="1" applyFill="1" applyBorder="1" applyAlignment="1">
      <alignment horizontal="center" vertical="center"/>
    </xf>
    <xf numFmtId="167" fontId="17" fillId="2" borderId="100" xfId="6" applyNumberFormat="1" applyFont="1" applyFill="1" applyBorder="1" applyAlignment="1" applyProtection="1">
      <alignment horizontal="center" vertical="center" wrapText="1"/>
    </xf>
    <xf numFmtId="167" fontId="17" fillId="2" borderId="100" xfId="6" applyNumberFormat="1" applyFont="1" applyFill="1" applyBorder="1" applyAlignment="1" applyProtection="1">
      <alignment horizontal="center" vertical="center"/>
    </xf>
    <xf numFmtId="4" fontId="17" fillId="2" borderId="113" xfId="6" applyNumberFormat="1" applyFont="1" applyFill="1" applyBorder="1" applyAlignment="1" applyProtection="1">
      <alignment horizontal="center" vertical="center"/>
    </xf>
    <xf numFmtId="0" fontId="17" fillId="0" borderId="114" xfId="0" applyFont="1" applyFill="1" applyBorder="1" applyAlignment="1">
      <alignment horizontal="center" vertical="center"/>
    </xf>
    <xf numFmtId="167" fontId="17" fillId="2" borderId="55" xfId="6" applyNumberFormat="1" applyFont="1" applyFill="1" applyBorder="1" applyAlignment="1" applyProtection="1">
      <alignment horizontal="center" vertical="center" wrapText="1"/>
    </xf>
    <xf numFmtId="167" fontId="17" fillId="2" borderId="55" xfId="6" applyNumberFormat="1" applyFont="1" applyFill="1" applyBorder="1" applyAlignment="1" applyProtection="1">
      <alignment horizontal="center" vertical="center"/>
    </xf>
    <xf numFmtId="4" fontId="17" fillId="2" borderId="56" xfId="6" applyNumberFormat="1" applyFont="1" applyFill="1" applyBorder="1" applyAlignment="1" applyProtection="1">
      <alignment horizontal="center" vertical="center"/>
    </xf>
    <xf numFmtId="0" fontId="17" fillId="0" borderId="115" xfId="0" applyFont="1" applyFill="1" applyBorder="1" applyAlignment="1">
      <alignment horizontal="center" vertical="center"/>
    </xf>
    <xf numFmtId="0" fontId="17" fillId="2" borderId="115" xfId="0" applyFont="1" applyFill="1" applyBorder="1" applyAlignment="1">
      <alignment horizontal="center" vertical="center"/>
    </xf>
    <xf numFmtId="0" fontId="17" fillId="0" borderId="12" xfId="0" applyFont="1" applyFill="1" applyBorder="1" applyAlignment="1">
      <alignment horizontal="left" vertical="center" wrapText="1"/>
    </xf>
    <xf numFmtId="0" fontId="17" fillId="0" borderId="27" xfId="0" applyFont="1" applyFill="1" applyBorder="1" applyAlignment="1">
      <alignment horizontal="center" vertical="center"/>
    </xf>
    <xf numFmtId="0" fontId="17" fillId="0" borderId="10" xfId="0" applyFont="1" applyFill="1" applyBorder="1" applyAlignment="1">
      <alignment horizontal="center" vertical="center" wrapText="1"/>
    </xf>
    <xf numFmtId="0" fontId="17" fillId="0" borderId="8" xfId="0" applyFont="1" applyFill="1" applyBorder="1" applyAlignment="1">
      <alignment horizontal="center" vertical="center"/>
    </xf>
    <xf numFmtId="4" fontId="17" fillId="0" borderId="28" xfId="0" applyNumberFormat="1" applyFont="1" applyFill="1" applyBorder="1" applyAlignment="1">
      <alignment horizontal="center" vertical="center"/>
    </xf>
    <xf numFmtId="0" fontId="0" fillId="0" borderId="3" xfId="0" applyFont="1" applyBorder="1" applyAlignment="1">
      <alignment horizontal="right" vertical="center"/>
    </xf>
    <xf numFmtId="167" fontId="17" fillId="0" borderId="3" xfId="6" applyNumberFormat="1" applyFont="1" applyFill="1" applyBorder="1" applyAlignment="1" applyProtection="1">
      <alignment vertical="center"/>
    </xf>
    <xf numFmtId="4" fontId="17" fillId="0" borderId="7" xfId="0" applyNumberFormat="1" applyFont="1" applyFill="1" applyBorder="1" applyAlignment="1">
      <alignment horizontal="center" vertical="center" wrapText="1"/>
    </xf>
    <xf numFmtId="0" fontId="16" fillId="9" borderId="39" xfId="0" applyFont="1" applyFill="1" applyBorder="1" applyAlignment="1">
      <alignment horizontal="left" vertical="center"/>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69" xfId="0" applyFont="1" applyFill="1" applyBorder="1" applyAlignment="1">
      <alignment horizontal="center" vertical="center"/>
    </xf>
    <xf numFmtId="0" fontId="0" fillId="2" borderId="1" xfId="0" applyFont="1" applyFill="1" applyBorder="1" applyAlignment="1">
      <alignment horizontal="left" vertical="center"/>
    </xf>
    <xf numFmtId="0" fontId="17" fillId="0" borderId="31" xfId="0" applyFont="1" applyFill="1" applyBorder="1" applyAlignment="1">
      <alignment horizontal="center" vertical="center"/>
    </xf>
    <xf numFmtId="0" fontId="17" fillId="0" borderId="12" xfId="0" applyFont="1" applyFill="1" applyBorder="1" applyAlignment="1">
      <alignment horizontal="left" vertical="center"/>
    </xf>
    <xf numFmtId="0" fontId="17" fillId="0" borderId="84" xfId="0" applyFont="1" applyFill="1" applyBorder="1" applyAlignment="1">
      <alignment horizontal="left" vertical="center"/>
    </xf>
    <xf numFmtId="0" fontId="17" fillId="0" borderId="2" xfId="0" applyFont="1" applyFill="1" applyBorder="1" applyAlignment="1">
      <alignment horizontal="center" vertical="center" wrapText="1"/>
    </xf>
    <xf numFmtId="0" fontId="7" fillId="3" borderId="17" xfId="0" applyFont="1" applyFill="1" applyBorder="1" applyAlignment="1">
      <alignment horizontal="right" vertical="center"/>
    </xf>
    <xf numFmtId="0" fontId="7" fillId="3" borderId="0" xfId="0" applyFont="1" applyFill="1" applyBorder="1" applyAlignment="1">
      <alignment horizontal="right" vertical="center"/>
    </xf>
    <xf numFmtId="165" fontId="7" fillId="3" borderId="18" xfId="0" applyNumberFormat="1" applyFont="1" applyFill="1" applyBorder="1" applyAlignment="1">
      <alignment horizontal="distributed" vertical="center" wrapText="1" indent="1"/>
    </xf>
    <xf numFmtId="0" fontId="19" fillId="12" borderId="95" xfId="0" applyFont="1" applyFill="1" applyBorder="1" applyAlignment="1">
      <alignment horizontal="center" vertical="center"/>
    </xf>
    <xf numFmtId="0" fontId="19" fillId="13" borderId="19" xfId="0" applyFont="1" applyFill="1" applyBorder="1" applyAlignment="1">
      <alignment horizontal="center" vertical="center"/>
    </xf>
    <xf numFmtId="0" fontId="19" fillId="13" borderId="1" xfId="0" applyFont="1" applyFill="1" applyBorder="1" applyAlignment="1">
      <alignment horizontal="center" vertical="center"/>
    </xf>
    <xf numFmtId="165" fontId="20" fillId="13" borderId="2" xfId="1" applyNumberFormat="1" applyFont="1" applyFill="1" applyBorder="1" applyAlignment="1">
      <alignment horizontal="center" vertical="center"/>
    </xf>
    <xf numFmtId="10" fontId="20" fillId="13" borderId="2" xfId="5" applyNumberFormat="1" applyFont="1" applyFill="1" applyBorder="1" applyAlignment="1">
      <alignment horizontal="center" vertical="center"/>
    </xf>
    <xf numFmtId="165" fontId="20" fillId="13" borderId="20" xfId="1" applyNumberFormat="1" applyFont="1" applyFill="1" applyBorder="1" applyAlignment="1">
      <alignment horizontal="center" vertical="center"/>
    </xf>
    <xf numFmtId="0" fontId="21" fillId="0" borderId="19"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2" fontId="21" fillId="0" borderId="1" xfId="0" applyNumberFormat="1"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105" xfId="0" applyFont="1" applyFill="1" applyBorder="1" applyAlignment="1">
      <alignment horizontal="center" vertical="center"/>
    </xf>
    <xf numFmtId="0" fontId="21" fillId="0" borderId="84" xfId="0" applyFont="1" applyFill="1" applyBorder="1" applyAlignment="1">
      <alignment horizontal="center" vertical="center"/>
    </xf>
    <xf numFmtId="0" fontId="21" fillId="0" borderId="84" xfId="0" applyFont="1" applyFill="1" applyBorder="1" applyAlignment="1">
      <alignment horizontal="left" vertical="center" wrapText="1"/>
    </xf>
    <xf numFmtId="2" fontId="21" fillId="0" borderId="84" xfId="0" applyNumberFormat="1" applyFont="1" applyFill="1" applyBorder="1" applyAlignment="1">
      <alignment horizontal="center" vertical="center"/>
    </xf>
    <xf numFmtId="0" fontId="16" fillId="0" borderId="35" xfId="0" applyFont="1" applyFill="1" applyBorder="1" applyAlignment="1">
      <alignment horizontal="center" vertical="center"/>
    </xf>
    <xf numFmtId="0" fontId="16" fillId="0" borderId="36" xfId="0" applyFont="1" applyFill="1" applyBorder="1" applyAlignment="1">
      <alignment horizontal="center" vertical="center"/>
    </xf>
    <xf numFmtId="4" fontId="16" fillId="0" borderId="26" xfId="0" applyNumberFormat="1" applyFont="1" applyFill="1" applyBorder="1" applyAlignment="1">
      <alignment horizontal="center" vertical="center"/>
    </xf>
    <xf numFmtId="0" fontId="17" fillId="0" borderId="118" xfId="0" applyFont="1" applyFill="1" applyBorder="1" applyAlignment="1">
      <alignment horizontal="center" vertical="center"/>
    </xf>
    <xf numFmtId="4" fontId="17" fillId="11" borderId="34"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7" fillId="7" borderId="119"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94" xfId="0" applyFont="1" applyFill="1" applyBorder="1" applyAlignment="1">
      <alignment horizontal="center" vertical="center" wrapText="1"/>
    </xf>
    <xf numFmtId="0" fontId="0" fillId="0" borderId="71" xfId="0" applyFont="1" applyBorder="1" applyAlignment="1">
      <alignment horizontal="center"/>
    </xf>
    <xf numFmtId="2" fontId="17" fillId="0" borderId="1" xfId="0" applyNumberFormat="1" applyFont="1" applyFill="1" applyBorder="1" applyAlignment="1">
      <alignment horizontal="center" vertical="center"/>
    </xf>
    <xf numFmtId="10" fontId="7" fillId="3" borderId="0" xfId="5" applyNumberFormat="1" applyFont="1" applyFill="1" applyBorder="1" applyAlignment="1">
      <alignment horizontal="right" vertical="center"/>
    </xf>
    <xf numFmtId="0" fontId="17" fillId="2" borderId="52" xfId="0" applyFont="1" applyFill="1" applyBorder="1" applyAlignment="1">
      <alignment horizontal="left" vertical="center" wrapText="1"/>
    </xf>
    <xf numFmtId="2" fontId="0" fillId="2" borderId="1" xfId="0" applyNumberFormat="1" applyFont="1" applyFill="1" applyBorder="1" applyAlignment="1">
      <alignment horizontal="center" vertical="center"/>
    </xf>
    <xf numFmtId="2" fontId="12" fillId="2" borderId="1" xfId="1" applyNumberFormat="1" applyFont="1" applyFill="1" applyBorder="1" applyAlignment="1">
      <alignment horizontal="center" vertical="center"/>
    </xf>
    <xf numFmtId="0" fontId="16" fillId="0" borderId="11"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7" fillId="0" borderId="73" xfId="0" applyFont="1" applyFill="1" applyBorder="1" applyAlignment="1">
      <alignment horizontal="left" vertical="center" wrapText="1"/>
    </xf>
    <xf numFmtId="0" fontId="16" fillId="0" borderId="3" xfId="0" applyFont="1" applyFill="1" applyBorder="1" applyAlignment="1">
      <alignment horizontal="left" vertical="center" wrapText="1"/>
    </xf>
    <xf numFmtId="4" fontId="17" fillId="0" borderId="1" xfId="0" applyNumberFormat="1" applyFont="1" applyFill="1" applyBorder="1" applyAlignment="1">
      <alignment horizontal="center" vertical="center"/>
    </xf>
    <xf numFmtId="0" fontId="0" fillId="0" borderId="0" xfId="0" applyAlignment="1">
      <alignment wrapText="1"/>
    </xf>
    <xf numFmtId="0" fontId="0" fillId="2" borderId="1" xfId="0" applyFont="1" applyFill="1" applyBorder="1" applyAlignment="1">
      <alignment horizontal="left"/>
    </xf>
    <xf numFmtId="4" fontId="17" fillId="0" borderId="74" xfId="0" applyNumberFormat="1" applyFont="1" applyFill="1" applyBorder="1" applyAlignment="1">
      <alignment horizontal="center" vertical="center" wrapText="1"/>
    </xf>
    <xf numFmtId="0" fontId="7" fillId="0" borderId="0" xfId="0" applyFont="1" applyBorder="1" applyAlignment="1">
      <alignment horizontal="center"/>
    </xf>
    <xf numFmtId="0" fontId="4" fillId="0" borderId="17" xfId="0" applyFont="1" applyBorder="1" applyAlignment="1">
      <alignment horizontal="center"/>
    </xf>
    <xf numFmtId="0" fontId="4" fillId="0" borderId="0" xfId="0" applyFont="1" applyBorder="1" applyAlignment="1">
      <alignment horizontal="center"/>
    </xf>
    <xf numFmtId="0" fontId="4" fillId="0" borderId="18" xfId="0" applyFont="1" applyBorder="1" applyAlignment="1">
      <alignment horizontal="center"/>
    </xf>
    <xf numFmtId="4" fontId="16" fillId="0"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0" fontId="16" fillId="2" borderId="1" xfId="0" applyFont="1" applyFill="1" applyBorder="1" applyAlignment="1">
      <alignment horizontal="left" vertical="center"/>
    </xf>
    <xf numFmtId="4" fontId="16" fillId="2"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horizontal="left" vertical="center"/>
    </xf>
    <xf numFmtId="2" fontId="17" fillId="2" borderId="1" xfId="0" applyNumberFormat="1" applyFont="1" applyFill="1" applyBorder="1" applyAlignment="1">
      <alignment horizontal="center" vertical="center"/>
    </xf>
    <xf numFmtId="4" fontId="17" fillId="2" borderId="1" xfId="0" applyNumberFormat="1" applyFont="1" applyFill="1" applyBorder="1" applyAlignment="1">
      <alignment horizontal="center" vertical="center"/>
    </xf>
    <xf numFmtId="0" fontId="16" fillId="2" borderId="1" xfId="0" applyFont="1" applyFill="1" applyBorder="1" applyAlignment="1">
      <alignment horizontal="left" vertical="center" wrapText="1"/>
    </xf>
    <xf numFmtId="0" fontId="4" fillId="0" borderId="18" xfId="0" applyFont="1" applyBorder="1" applyAlignment="1"/>
    <xf numFmtId="0" fontId="4" fillId="0" borderId="33" xfId="0" applyFont="1" applyBorder="1" applyAlignment="1">
      <alignment horizontal="center"/>
    </xf>
    <xf numFmtId="10" fontId="0" fillId="0" borderId="17" xfId="5" applyNumberFormat="1" applyFont="1" applyBorder="1"/>
    <xf numFmtId="10" fontId="4" fillId="0" borderId="17" xfId="5" applyNumberFormat="1" applyFont="1" applyBorder="1" applyAlignment="1"/>
    <xf numFmtId="10" fontId="4" fillId="0" borderId="17" xfId="5" applyNumberFormat="1" applyFont="1" applyBorder="1" applyAlignment="1">
      <alignment horizontal="center"/>
    </xf>
    <xf numFmtId="4" fontId="17" fillId="0" borderId="15" xfId="0" applyNumberFormat="1" applyFont="1" applyFill="1" applyBorder="1" applyAlignment="1">
      <alignment horizontal="center" vertical="center"/>
    </xf>
    <xf numFmtId="4" fontId="17" fillId="0" borderId="0" xfId="0" applyNumberFormat="1" applyFont="1" applyFill="1" applyBorder="1" applyAlignment="1">
      <alignment horizontal="center" vertical="center"/>
    </xf>
    <xf numFmtId="0" fontId="17" fillId="0" borderId="5" xfId="0" applyFont="1" applyFill="1" applyBorder="1" applyAlignment="1">
      <alignment horizontal="center" vertical="center"/>
    </xf>
    <xf numFmtId="0" fontId="17" fillId="0" borderId="10" xfId="0" applyFont="1" applyFill="1" applyBorder="1" applyAlignment="1">
      <alignment horizontal="center" vertical="center"/>
    </xf>
    <xf numFmtId="16" fontId="3" fillId="0" borderId="1" xfId="0" applyNumberFormat="1" applyFont="1" applyBorder="1"/>
    <xf numFmtId="0" fontId="3" fillId="0" borderId="19" xfId="0" applyFont="1" applyFill="1" applyBorder="1" applyAlignment="1">
      <alignment horizontal="center" vertical="center"/>
    </xf>
    <xf numFmtId="2" fontId="0" fillId="0" borderId="2" xfId="0" applyNumberFormat="1" applyFont="1" applyFill="1" applyBorder="1" applyAlignment="1">
      <alignment vertical="center"/>
    </xf>
    <xf numFmtId="0" fontId="1" fillId="0" borderId="19" xfId="0" applyFont="1" applyFill="1" applyBorder="1" applyAlignment="1">
      <alignment horizontal="center" vertical="center"/>
    </xf>
    <xf numFmtId="4" fontId="0" fillId="0" borderId="0" xfId="0" applyNumberFormat="1" applyFill="1"/>
    <xf numFmtId="10" fontId="12" fillId="2" borderId="5" xfId="5" applyNumberFormat="1" applyFont="1" applyFill="1" applyBorder="1" applyAlignment="1" applyProtection="1">
      <alignment horizontal="distributed" vertical="center" wrapText="1" indent="1"/>
      <protection locked="0"/>
    </xf>
    <xf numFmtId="165" fontId="12" fillId="2" borderId="28" xfId="4" applyNumberFormat="1" applyFont="1" applyFill="1" applyBorder="1" applyAlignment="1" applyProtection="1">
      <alignment horizontal="distributed" vertical="center" wrapText="1" indent="1"/>
      <protection locked="0"/>
    </xf>
    <xf numFmtId="165" fontId="12" fillId="2" borderId="8" xfId="4" applyNumberFormat="1" applyFont="1" applyFill="1" applyBorder="1" applyAlignment="1" applyProtection="1">
      <alignment horizontal="distributed" vertical="center" wrapText="1" indent="1"/>
      <protection locked="0"/>
    </xf>
    <xf numFmtId="10" fontId="12" fillId="2" borderId="12" xfId="5" applyNumberFormat="1" applyFont="1" applyFill="1" applyBorder="1" applyAlignment="1" applyProtection="1">
      <alignment horizontal="distributed" vertical="center" wrapText="1" indent="1"/>
      <protection locked="0"/>
    </xf>
    <xf numFmtId="10" fontId="12" fillId="0" borderId="5" xfId="5" applyNumberFormat="1" applyFont="1" applyFill="1" applyBorder="1" applyAlignment="1" applyProtection="1">
      <alignment horizontal="distributed" vertical="center" wrapText="1" indent="1"/>
      <protection locked="0"/>
    </xf>
    <xf numFmtId="165" fontId="14" fillId="3" borderId="20" xfId="4" applyNumberFormat="1" applyFont="1" applyFill="1" applyBorder="1" applyAlignment="1" applyProtection="1">
      <alignment horizontal="center" vertical="center"/>
      <protection locked="0"/>
    </xf>
    <xf numFmtId="10" fontId="12" fillId="0" borderId="5" xfId="5" applyNumberFormat="1" applyFont="1" applyFill="1" applyBorder="1" applyAlignment="1" applyProtection="1">
      <alignment horizontal="distributed" vertical="center" indent="1"/>
      <protection locked="0"/>
    </xf>
    <xf numFmtId="165" fontId="12" fillId="0" borderId="28" xfId="4" applyNumberFormat="1" applyFont="1" applyFill="1" applyBorder="1" applyAlignment="1" applyProtection="1">
      <alignment horizontal="distributed" vertical="center" wrapText="1" indent="1"/>
      <protection locked="0"/>
    </xf>
    <xf numFmtId="165" fontId="12" fillId="2" borderId="28" xfId="4" applyNumberFormat="1" applyFont="1" applyFill="1" applyBorder="1" applyAlignment="1" applyProtection="1">
      <alignment horizontal="distributed" vertical="center" wrapText="1"/>
      <protection locked="0"/>
    </xf>
    <xf numFmtId="165" fontId="12" fillId="0" borderId="28" xfId="4" applyNumberFormat="1" applyFont="1" applyFill="1" applyBorder="1" applyAlignment="1" applyProtection="1">
      <alignment horizontal="distributed" vertical="center" wrapText="1"/>
      <protection locked="0"/>
    </xf>
    <xf numFmtId="165" fontId="12" fillId="0" borderId="1" xfId="4" applyNumberFormat="1" applyFont="1" applyFill="1" applyBorder="1" applyAlignment="1" applyProtection="1">
      <alignment horizontal="distributed" vertical="center" wrapText="1" indent="1"/>
      <protection locked="0"/>
    </xf>
    <xf numFmtId="10" fontId="12" fillId="0" borderId="12" xfId="5" applyNumberFormat="1" applyFont="1" applyFill="1" applyBorder="1" applyAlignment="1" applyProtection="1">
      <alignment horizontal="distributed" vertical="center" wrapText="1" indent="1"/>
      <protection locked="0"/>
    </xf>
    <xf numFmtId="10" fontId="12" fillId="0" borderId="12" xfId="5" applyNumberFormat="1" applyFont="1" applyFill="1" applyBorder="1" applyAlignment="1" applyProtection="1">
      <alignment horizontal="distributed" vertical="center" wrapText="1"/>
      <protection locked="0"/>
    </xf>
    <xf numFmtId="165" fontId="12" fillId="2" borderId="2" xfId="4" applyNumberFormat="1" applyFont="1" applyFill="1" applyBorder="1" applyAlignment="1" applyProtection="1">
      <alignment vertical="distributed" wrapText="1"/>
      <protection locked="0"/>
    </xf>
    <xf numFmtId="10" fontId="12" fillId="2" borderId="12" xfId="5" applyNumberFormat="1" applyFont="1" applyFill="1" applyBorder="1" applyAlignment="1" applyProtection="1">
      <alignment horizontal="center" vertical="distributed" wrapText="1"/>
      <protection locked="0"/>
    </xf>
    <xf numFmtId="10" fontId="12" fillId="2" borderId="5" xfId="5" applyNumberFormat="1" applyFont="1" applyFill="1" applyBorder="1" applyAlignment="1" applyProtection="1">
      <alignment horizontal="center" vertical="center" wrapText="1"/>
      <protection locked="0"/>
    </xf>
    <xf numFmtId="10" fontId="12" fillId="2" borderId="12" xfId="5" applyNumberFormat="1" applyFont="1" applyFill="1" applyBorder="1" applyAlignment="1" applyProtection="1">
      <alignment horizontal="distributed" vertical="center" wrapText="1"/>
      <protection locked="0"/>
    </xf>
    <xf numFmtId="165" fontId="12" fillId="0" borderId="8" xfId="4" applyNumberFormat="1" applyFont="1" applyFill="1" applyBorder="1" applyAlignment="1" applyProtection="1">
      <alignment horizontal="distributed" vertical="center" wrapText="1" indent="1"/>
      <protection locked="0"/>
    </xf>
    <xf numFmtId="165" fontId="12" fillId="2" borderId="2" xfId="4" applyNumberFormat="1" applyFont="1" applyFill="1" applyBorder="1" applyAlignment="1" applyProtection="1">
      <alignment vertical="center" wrapText="1"/>
      <protection locked="0"/>
    </xf>
    <xf numFmtId="10" fontId="3" fillId="0" borderId="2" xfId="5" applyNumberFormat="1" applyFont="1" applyBorder="1" applyAlignment="1" applyProtection="1">
      <alignment horizontal="center" vertical="center"/>
      <protection locked="0"/>
    </xf>
    <xf numFmtId="165" fontId="12" fillId="2" borderId="2" xfId="4" applyNumberFormat="1" applyFont="1" applyFill="1" applyBorder="1" applyAlignment="1" applyProtection="1">
      <alignment horizontal="distributed" vertical="center" wrapText="1" indent="1"/>
      <protection locked="0"/>
    </xf>
    <xf numFmtId="165" fontId="12" fillId="2" borderId="4" xfId="4" applyNumberFormat="1" applyFont="1" applyFill="1" applyBorder="1" applyAlignment="1" applyProtection="1">
      <alignment horizontal="distributed" vertical="center" wrapText="1" indent="1"/>
      <protection locked="0"/>
    </xf>
    <xf numFmtId="165" fontId="12" fillId="2" borderId="2" xfId="4" applyNumberFormat="1" applyFont="1" applyFill="1" applyBorder="1" applyAlignment="1" applyProtection="1">
      <alignment horizontal="left" vertical="center" wrapText="1" indent="1"/>
      <protection locked="0"/>
    </xf>
    <xf numFmtId="165" fontId="15" fillId="4" borderId="20" xfId="0" applyNumberFormat="1" applyFont="1" applyFill="1" applyBorder="1" applyAlignment="1" applyProtection="1">
      <alignment horizontal="center"/>
      <protection locked="0"/>
    </xf>
    <xf numFmtId="165" fontId="0" fillId="0" borderId="1" xfId="0" applyNumberFormat="1" applyFont="1" applyBorder="1" applyAlignment="1" applyProtection="1">
      <alignment horizontal="distributed" indent="1"/>
      <protection locked="0"/>
    </xf>
    <xf numFmtId="10" fontId="0" fillId="0" borderId="2" xfId="5" applyNumberFormat="1" applyFont="1" applyBorder="1" applyAlignment="1" applyProtection="1">
      <alignment horizontal="center" vertical="center"/>
      <protection locked="0"/>
    </xf>
    <xf numFmtId="165" fontId="0" fillId="0" borderId="20" xfId="0" applyNumberFormat="1" applyFont="1" applyBorder="1" applyAlignment="1" applyProtection="1">
      <alignment horizontal="distributed" indent="1"/>
      <protection locked="0"/>
    </xf>
    <xf numFmtId="165" fontId="7" fillId="3" borderId="26" xfId="0" applyNumberFormat="1" applyFont="1" applyFill="1" applyBorder="1" applyAlignment="1" applyProtection="1">
      <alignment horizontal="distributed" indent="1"/>
      <protection locked="0"/>
    </xf>
    <xf numFmtId="165" fontId="0" fillId="0" borderId="1" xfId="0" applyNumberFormat="1" applyBorder="1" applyAlignment="1" applyProtection="1">
      <alignment horizontal="distributed" indent="1"/>
      <protection locked="0"/>
    </xf>
    <xf numFmtId="165" fontId="7" fillId="3" borderId="34" xfId="0" applyNumberFormat="1" applyFont="1" applyFill="1" applyBorder="1" applyAlignment="1" applyProtection="1">
      <alignment horizontal="distributed" indent="1"/>
      <protection locked="0"/>
    </xf>
    <xf numFmtId="0" fontId="0" fillId="0" borderId="1" xfId="0" applyFont="1" applyBorder="1" applyAlignment="1" applyProtection="1">
      <alignment horizontal="distributed" indent="1"/>
      <protection locked="0"/>
    </xf>
    <xf numFmtId="4" fontId="0" fillId="0" borderId="1" xfId="0" applyNumberFormat="1" applyFont="1" applyBorder="1" applyAlignment="1" applyProtection="1">
      <alignment horizontal="distributed" indent="1"/>
      <protection locked="0"/>
    </xf>
    <xf numFmtId="165" fontId="7" fillId="3" borderId="20" xfId="0" applyNumberFormat="1" applyFont="1" applyFill="1" applyBorder="1" applyAlignment="1" applyProtection="1">
      <alignment horizontal="distributed" indent="1"/>
      <protection locked="0"/>
    </xf>
    <xf numFmtId="10" fontId="0" fillId="0" borderId="1" xfId="5" applyNumberFormat="1" applyFont="1" applyBorder="1" applyAlignment="1" applyProtection="1">
      <alignment horizontal="center" vertical="center"/>
      <protection locked="0"/>
    </xf>
    <xf numFmtId="10" fontId="0" fillId="0" borderId="4" xfId="5" applyNumberFormat="1" applyFont="1" applyBorder="1" applyAlignment="1" applyProtection="1">
      <alignment horizontal="center" vertical="center"/>
      <protection locked="0"/>
    </xf>
    <xf numFmtId="165" fontId="0" fillId="0" borderId="20" xfId="0" applyNumberFormat="1" applyFont="1" applyBorder="1" applyAlignment="1" applyProtection="1">
      <alignment horizontal="distributed" vertical="center" indent="1"/>
      <protection locked="0"/>
    </xf>
    <xf numFmtId="164" fontId="0" fillId="0" borderId="1" xfId="7" applyFont="1" applyBorder="1" applyAlignment="1" applyProtection="1">
      <alignment horizontal="center" vertical="center"/>
      <protection locked="0"/>
    </xf>
    <xf numFmtId="165" fontId="7" fillId="3" borderId="26" xfId="0" applyNumberFormat="1" applyFont="1" applyFill="1" applyBorder="1" applyAlignment="1" applyProtection="1">
      <alignment horizontal="center"/>
      <protection locked="0"/>
    </xf>
    <xf numFmtId="165" fontId="0" fillId="0" borderId="8" xfId="0" applyNumberFormat="1" applyBorder="1" applyAlignment="1" applyProtection="1">
      <alignment horizontal="distributed" vertical="center" indent="1"/>
      <protection locked="0"/>
    </xf>
    <xf numFmtId="10" fontId="0" fillId="0" borderId="8" xfId="5" applyNumberFormat="1" applyFont="1" applyBorder="1" applyAlignment="1" applyProtection="1">
      <alignment horizontal="center"/>
      <protection locked="0"/>
    </xf>
    <xf numFmtId="165" fontId="0" fillId="0" borderId="28" xfId="0" applyNumberFormat="1" applyBorder="1" applyAlignment="1" applyProtection="1">
      <alignment horizontal="distributed" vertical="center" indent="1"/>
      <protection locked="0"/>
    </xf>
    <xf numFmtId="165" fontId="0" fillId="0" borderId="1" xfId="0" applyNumberFormat="1" applyBorder="1" applyAlignment="1" applyProtection="1">
      <alignment horizontal="distributed" vertical="center" indent="1"/>
      <protection locked="0"/>
    </xf>
    <xf numFmtId="10" fontId="0" fillId="0" borderId="1" xfId="5" applyNumberFormat="1" applyFont="1" applyBorder="1" applyAlignment="1" applyProtection="1">
      <alignment horizontal="center"/>
      <protection locked="0"/>
    </xf>
    <xf numFmtId="165" fontId="12" fillId="2" borderId="84" xfId="4" applyNumberFormat="1" applyFont="1" applyFill="1" applyBorder="1" applyAlignment="1" applyProtection="1">
      <alignment horizontal="distributed" vertical="center" wrapText="1" indent="1"/>
      <protection locked="0"/>
    </xf>
    <xf numFmtId="10" fontId="0" fillId="0" borderId="84" xfId="5" applyNumberFormat="1" applyFont="1" applyBorder="1" applyAlignment="1" applyProtection="1">
      <alignment horizontal="center"/>
      <protection locked="0"/>
    </xf>
    <xf numFmtId="165" fontId="7" fillId="3" borderId="26" xfId="0" applyNumberFormat="1" applyFont="1" applyFill="1" applyBorder="1" applyAlignment="1" applyProtection="1">
      <alignment horizontal="distributed" vertical="center" indent="1"/>
      <protection locked="0"/>
    </xf>
    <xf numFmtId="165" fontId="0" fillId="0" borderId="69" xfId="0" applyNumberFormat="1" applyBorder="1" applyAlignment="1" applyProtection="1">
      <alignment horizontal="distributed" vertical="center" indent="1"/>
      <protection locked="0"/>
    </xf>
    <xf numFmtId="10" fontId="0" fillId="0" borderId="69" xfId="5" applyNumberFormat="1" applyFont="1" applyBorder="1" applyAlignment="1" applyProtection="1">
      <alignment horizontal="center"/>
      <protection locked="0"/>
    </xf>
    <xf numFmtId="165" fontId="12" fillId="0" borderId="1" xfId="1" applyNumberFormat="1" applyFont="1" applyFill="1" applyBorder="1" applyAlignment="1" applyProtection="1">
      <alignment horizontal="distributed" vertical="center" indent="1"/>
      <protection locked="0"/>
    </xf>
    <xf numFmtId="165" fontId="0" fillId="0" borderId="84" xfId="0" applyNumberFormat="1" applyBorder="1" applyAlignment="1" applyProtection="1">
      <alignment horizontal="distributed" vertical="center" indent="1"/>
      <protection locked="0"/>
    </xf>
    <xf numFmtId="165" fontId="12" fillId="2" borderId="1" xfId="4" applyNumberFormat="1" applyFont="1" applyFill="1" applyBorder="1" applyAlignment="1" applyProtection="1">
      <alignment horizontal="distributed" vertical="center" wrapText="1" indent="1"/>
      <protection locked="0"/>
    </xf>
    <xf numFmtId="165" fontId="0" fillId="0" borderId="8" xfId="0" applyNumberFormat="1" applyFont="1" applyFill="1" applyBorder="1" applyAlignment="1" applyProtection="1">
      <alignment horizontal="distributed" vertical="center" indent="1"/>
      <protection locked="0"/>
    </xf>
    <xf numFmtId="10" fontId="0" fillId="0" borderId="8" xfId="5" applyNumberFormat="1" applyFont="1" applyFill="1" applyBorder="1" applyAlignment="1" applyProtection="1">
      <alignment horizontal="center"/>
      <protection locked="0"/>
    </xf>
    <xf numFmtId="165" fontId="12" fillId="2" borderId="2" xfId="4" applyNumberFormat="1" applyFont="1" applyFill="1" applyBorder="1" applyAlignment="1" applyProtection="1">
      <alignment horizontal="distributed" vertical="distributed" wrapText="1" indent="1"/>
      <protection locked="0"/>
    </xf>
    <xf numFmtId="10" fontId="12" fillId="2" borderId="2" xfId="5" applyNumberFormat="1" applyFont="1" applyFill="1" applyBorder="1" applyAlignment="1" applyProtection="1">
      <alignment horizontal="center" vertical="center" wrapText="1"/>
      <protection locked="0"/>
    </xf>
    <xf numFmtId="165" fontId="12" fillId="2" borderId="20" xfId="4" applyNumberFormat="1" applyFont="1" applyFill="1" applyBorder="1" applyAlignment="1" applyProtection="1">
      <alignment horizontal="distributed" vertical="center" wrapText="1"/>
      <protection locked="0"/>
    </xf>
    <xf numFmtId="165" fontId="7" fillId="3" borderId="26" xfId="0" applyNumberFormat="1" applyFont="1" applyFill="1" applyBorder="1" applyAlignment="1" applyProtection="1">
      <alignment horizontal="center" vertical="center"/>
      <protection locked="0"/>
    </xf>
    <xf numFmtId="165" fontId="12" fillId="2" borderId="8" xfId="4" applyNumberFormat="1" applyFont="1" applyFill="1" applyBorder="1" applyAlignment="1" applyProtection="1">
      <alignment horizontal="distributed" vertical="distributed" wrapText="1" indent="1"/>
      <protection locked="0"/>
    </xf>
    <xf numFmtId="10" fontId="12" fillId="2" borderId="12" xfId="5" applyNumberFormat="1" applyFont="1" applyFill="1" applyBorder="1" applyAlignment="1" applyProtection="1">
      <alignment horizontal="center" vertical="center" wrapText="1"/>
      <protection locked="0"/>
    </xf>
    <xf numFmtId="165" fontId="7" fillId="3" borderId="20" xfId="0" applyNumberFormat="1" applyFont="1" applyFill="1" applyBorder="1" applyAlignment="1" applyProtection="1">
      <alignment horizontal="distributed" vertical="center" wrapText="1" indent="1"/>
      <protection locked="0"/>
    </xf>
    <xf numFmtId="165" fontId="0" fillId="0" borderId="20" xfId="0" applyNumberFormat="1" applyBorder="1" applyAlignment="1" applyProtection="1">
      <alignment horizontal="distributed" vertical="center" wrapText="1" indent="1"/>
      <protection locked="0"/>
    </xf>
    <xf numFmtId="165" fontId="21" fillId="0" borderId="1" xfId="0" applyNumberFormat="1" applyFont="1" applyFill="1" applyBorder="1" applyAlignment="1" applyProtection="1">
      <alignment horizontal="distributed" vertical="center" indent="1"/>
      <protection locked="0"/>
    </xf>
    <xf numFmtId="10" fontId="21" fillId="0" borderId="1" xfId="5" applyNumberFormat="1" applyFont="1" applyFill="1" applyBorder="1" applyAlignment="1" applyProtection="1">
      <alignment horizontal="center" vertical="center"/>
      <protection locked="0"/>
    </xf>
    <xf numFmtId="165" fontId="21" fillId="0" borderId="20" xfId="0" applyNumberFormat="1" applyFont="1" applyFill="1" applyBorder="1" applyAlignment="1" applyProtection="1">
      <alignment horizontal="distributed" vertical="center" indent="1"/>
      <protection locked="0"/>
    </xf>
    <xf numFmtId="165" fontId="19" fillId="13" borderId="117" xfId="0" applyNumberFormat="1" applyFont="1" applyFill="1" applyBorder="1" applyAlignment="1" applyProtection="1">
      <alignment horizontal="distributed" vertical="center" indent="1"/>
      <protection locked="0"/>
    </xf>
    <xf numFmtId="165" fontId="0" fillId="0" borderId="1" xfId="0" applyNumberFormat="1" applyFill="1" applyBorder="1" applyAlignment="1" applyProtection="1">
      <alignment horizontal="distributed" vertical="justify" indent="1"/>
      <protection locked="0"/>
    </xf>
    <xf numFmtId="165" fontId="0" fillId="0" borderId="36" xfId="0" applyNumberFormat="1" applyFill="1" applyBorder="1" applyAlignment="1" applyProtection="1">
      <alignment horizontal="distributed" vertical="justify" indent="1"/>
      <protection locked="0"/>
    </xf>
    <xf numFmtId="165" fontId="0" fillId="0" borderId="1" xfId="0" applyNumberFormat="1" applyFont="1" applyBorder="1" applyAlignment="1" applyProtection="1">
      <alignment horizontal="distributed" vertical="justify" indent="1"/>
      <protection locked="0"/>
    </xf>
    <xf numFmtId="165" fontId="0" fillId="0" borderId="36" xfId="0" applyNumberFormat="1" applyFont="1" applyBorder="1" applyAlignment="1" applyProtection="1">
      <alignment horizontal="distributed" vertical="justify" indent="1"/>
      <protection locked="0"/>
    </xf>
    <xf numFmtId="165" fontId="0" fillId="0" borderId="20" xfId="0" applyNumberFormat="1" applyFont="1" applyBorder="1" applyAlignment="1" applyProtection="1">
      <alignment horizontal="distributed" vertical="justify" indent="1"/>
      <protection locked="0"/>
    </xf>
    <xf numFmtId="165" fontId="3" fillId="0" borderId="1" xfId="0" applyNumberFormat="1" applyFont="1" applyBorder="1" applyAlignment="1" applyProtection="1">
      <alignment horizontal="distributed" vertical="justify" indent="1"/>
      <protection locked="0"/>
    </xf>
    <xf numFmtId="165" fontId="3" fillId="0" borderId="36" xfId="0" applyNumberFormat="1" applyFont="1" applyBorder="1" applyAlignment="1" applyProtection="1">
      <alignment horizontal="distributed" vertical="justify" indent="1"/>
      <protection locked="0"/>
    </xf>
    <xf numFmtId="10" fontId="4" fillId="0" borderId="1" xfId="5" applyNumberFormat="1" applyFont="1" applyBorder="1" applyAlignment="1" applyProtection="1">
      <alignment horizontal="center"/>
      <protection locked="0"/>
    </xf>
    <xf numFmtId="4" fontId="10" fillId="0" borderId="35" xfId="6" applyNumberFormat="1" applyFont="1" applyBorder="1" applyAlignment="1" applyProtection="1">
      <alignment horizontal="center" vertical="center"/>
      <protection locked="0"/>
    </xf>
    <xf numFmtId="4" fontId="10" fillId="0" borderId="36" xfId="6" applyNumberFormat="1" applyFont="1" applyBorder="1" applyAlignment="1" applyProtection="1">
      <alignment horizontal="center" vertical="center"/>
      <protection locked="0"/>
    </xf>
    <xf numFmtId="43" fontId="9" fillId="0" borderId="26" xfId="6" applyFont="1" applyBorder="1" applyAlignment="1" applyProtection="1">
      <alignment horizontal="center" vertical="center"/>
      <protection locked="0"/>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79" xfId="0" applyFont="1" applyFill="1" applyBorder="1" applyAlignment="1">
      <alignment horizontal="left" vertical="center" wrapText="1"/>
    </xf>
    <xf numFmtId="0" fontId="16" fillId="0" borderId="80" xfId="0" applyFont="1" applyFill="1" applyBorder="1" applyAlignment="1">
      <alignment horizontal="left" vertical="center" wrapText="1"/>
    </xf>
    <xf numFmtId="0" fontId="16" fillId="0" borderId="8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38" xfId="0" applyFont="1" applyFill="1" applyBorder="1" applyAlignment="1">
      <alignment horizontal="left" vertical="center" wrapText="1"/>
    </xf>
    <xf numFmtId="0" fontId="16" fillId="0" borderId="39"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9" borderId="39" xfId="0" applyFont="1" applyFill="1" applyBorder="1" applyAlignment="1">
      <alignment horizontal="left" vertical="center"/>
    </xf>
    <xf numFmtId="0" fontId="16" fillId="9" borderId="44" xfId="0" applyFont="1" applyFill="1" applyBorder="1" applyAlignment="1">
      <alignment horizontal="left" vertical="center"/>
    </xf>
    <xf numFmtId="0" fontId="16" fillId="0" borderId="87"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7" fillId="0" borderId="73" xfId="0" applyFont="1" applyFill="1" applyBorder="1" applyAlignment="1">
      <alignment horizontal="left" vertical="center" wrapText="1"/>
    </xf>
    <xf numFmtId="0" fontId="17" fillId="0" borderId="74" xfId="0" applyFont="1" applyFill="1" applyBorder="1" applyAlignment="1">
      <alignment horizontal="left" vertical="center" wrapText="1"/>
    </xf>
    <xf numFmtId="0" fontId="16" fillId="9" borderId="3" xfId="0" applyFont="1" applyFill="1" applyBorder="1" applyAlignment="1">
      <alignment horizontal="left" vertical="center"/>
    </xf>
    <xf numFmtId="0" fontId="16" fillId="9" borderId="22" xfId="0" applyFont="1" applyFill="1" applyBorder="1" applyAlignment="1">
      <alignment horizontal="left" vertical="center"/>
    </xf>
    <xf numFmtId="0" fontId="16" fillId="0" borderId="41" xfId="0" applyFont="1" applyFill="1" applyBorder="1" applyAlignment="1">
      <alignment horizontal="left" vertical="center" wrapText="1"/>
    </xf>
    <xf numFmtId="0" fontId="16" fillId="0" borderId="94" xfId="0" applyFont="1" applyFill="1" applyBorder="1" applyAlignment="1">
      <alignment horizontal="left" vertical="center" wrapText="1"/>
    </xf>
    <xf numFmtId="0" fontId="13" fillId="0" borderId="14" xfId="0" applyFont="1" applyFill="1" applyBorder="1" applyAlignment="1" applyProtection="1">
      <alignment horizontal="center"/>
      <protection locked="0"/>
    </xf>
    <xf numFmtId="0" fontId="13" fillId="0" borderId="15" xfId="0" applyFont="1" applyFill="1" applyBorder="1" applyAlignment="1" applyProtection="1">
      <alignment horizontal="center"/>
      <protection locked="0"/>
    </xf>
    <xf numFmtId="0" fontId="13" fillId="0" borderId="16" xfId="0" applyFont="1" applyFill="1" applyBorder="1" applyAlignment="1" applyProtection="1">
      <alignment horizontal="center"/>
      <protection locked="0"/>
    </xf>
    <xf numFmtId="0" fontId="13" fillId="0" borderId="17" xfId="0" applyFont="1" applyFill="1" applyBorder="1" applyAlignment="1" applyProtection="1">
      <alignment horizontal="center"/>
      <protection locked="0"/>
    </xf>
    <xf numFmtId="0" fontId="13" fillId="0" borderId="0" xfId="0" applyFont="1" applyFill="1" applyBorder="1" applyAlignment="1" applyProtection="1">
      <alignment horizontal="center"/>
      <protection locked="0"/>
    </xf>
    <xf numFmtId="0" fontId="13" fillId="0" borderId="18" xfId="0" applyFont="1" applyFill="1" applyBorder="1" applyAlignment="1" applyProtection="1">
      <alignment horizontal="center"/>
      <protection locked="0"/>
    </xf>
    <xf numFmtId="0" fontId="16" fillId="0" borderId="40" xfId="0" applyFont="1" applyFill="1" applyBorder="1" applyAlignment="1">
      <alignment horizontal="left"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6" fillId="0" borderId="17" xfId="0" applyFont="1" applyFill="1" applyBorder="1" applyAlignment="1" applyProtection="1">
      <alignment horizontal="center" wrapText="1"/>
      <protection locked="0"/>
    </xf>
    <xf numFmtId="0" fontId="16" fillId="0" borderId="0" xfId="0" applyFont="1" applyFill="1" applyBorder="1" applyAlignment="1" applyProtection="1">
      <alignment horizontal="center" wrapText="1"/>
      <protection locked="0"/>
    </xf>
    <xf numFmtId="0" fontId="16" fillId="0" borderId="18" xfId="0" applyFont="1" applyFill="1" applyBorder="1" applyAlignment="1" applyProtection="1">
      <alignment horizontal="center" wrapText="1"/>
      <protection locked="0"/>
    </xf>
    <xf numFmtId="0" fontId="16" fillId="0" borderId="5" xfId="0" applyFont="1" applyFill="1" applyBorder="1" applyAlignment="1">
      <alignment horizontal="left" vertical="center" wrapText="1"/>
    </xf>
    <xf numFmtId="0" fontId="16" fillId="0" borderId="79" xfId="0" applyFont="1" applyFill="1" applyBorder="1" applyAlignment="1">
      <alignment horizontal="left" vertical="center"/>
    </xf>
    <xf numFmtId="0" fontId="16" fillId="0" borderId="80" xfId="0" applyFont="1" applyFill="1" applyBorder="1" applyAlignment="1">
      <alignment horizontal="left" vertical="center"/>
    </xf>
    <xf numFmtId="0" fontId="16" fillId="0" borderId="81" xfId="0" applyFont="1" applyFill="1" applyBorder="1" applyAlignment="1">
      <alignment horizontal="left" vertical="center"/>
    </xf>
    <xf numFmtId="0" fontId="16" fillId="0" borderId="104"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165" fontId="12" fillId="2" borderId="2" xfId="4" applyNumberFormat="1" applyFont="1" applyFill="1" applyBorder="1" applyAlignment="1" applyProtection="1">
      <alignment horizontal="distributed" vertical="center" wrapText="1" indent="1"/>
      <protection locked="0"/>
    </xf>
    <xf numFmtId="165" fontId="12" fillId="2" borderId="4" xfId="4" applyNumberFormat="1" applyFont="1" applyFill="1" applyBorder="1" applyAlignment="1" applyProtection="1">
      <alignment horizontal="distributed" vertical="center" wrapText="1" indent="1"/>
      <protection locked="0"/>
    </xf>
    <xf numFmtId="0" fontId="4" fillId="5" borderId="21" xfId="0" applyFont="1" applyFill="1" applyBorder="1"/>
    <xf numFmtId="0" fontId="4" fillId="5" borderId="3" xfId="0" applyFont="1" applyFill="1" applyBorder="1"/>
    <xf numFmtId="0" fontId="4" fillId="5" borderId="22" xfId="0" applyFont="1" applyFill="1" applyBorder="1"/>
    <xf numFmtId="0" fontId="6" fillId="4" borderId="1" xfId="1" applyFont="1" applyFill="1" applyBorder="1" applyAlignment="1">
      <alignment horizontal="center" vertical="center" wrapText="1"/>
    </xf>
    <xf numFmtId="0" fontId="14" fillId="3" borderId="21" xfId="1" applyFont="1" applyFill="1" applyBorder="1" applyAlignment="1">
      <alignment horizontal="right" vertical="center"/>
    </xf>
    <xf numFmtId="0" fontId="14" fillId="3" borderId="3" xfId="1" applyFont="1" applyFill="1" applyBorder="1" applyAlignment="1">
      <alignment horizontal="right" vertical="center"/>
    </xf>
    <xf numFmtId="0" fontId="14" fillId="3" borderId="4" xfId="1" applyFont="1" applyFill="1" applyBorder="1" applyAlignment="1">
      <alignment horizontal="right" vertical="center"/>
    </xf>
    <xf numFmtId="0" fontId="6" fillId="5" borderId="21" xfId="1" applyFont="1" applyFill="1" applyBorder="1" applyAlignment="1">
      <alignment horizontal="left" vertical="center"/>
    </xf>
    <xf numFmtId="0" fontId="6" fillId="5" borderId="3" xfId="1" applyFont="1" applyFill="1" applyBorder="1" applyAlignment="1">
      <alignment horizontal="left" vertical="center"/>
    </xf>
    <xf numFmtId="0" fontId="6" fillId="5" borderId="22" xfId="1" applyFont="1" applyFill="1" applyBorder="1" applyAlignment="1">
      <alignment horizontal="left" vertical="center"/>
    </xf>
    <xf numFmtId="0" fontId="13" fillId="0" borderId="2" xfId="1" applyFont="1" applyFill="1" applyBorder="1" applyAlignment="1">
      <alignment horizontal="left" vertical="center"/>
    </xf>
    <xf numFmtId="0" fontId="13" fillId="0" borderId="3" xfId="1" applyFont="1" applyFill="1" applyBorder="1" applyAlignment="1">
      <alignment horizontal="left" vertical="center"/>
    </xf>
    <xf numFmtId="0" fontId="13" fillId="0" borderId="22" xfId="1" applyFont="1" applyFill="1" applyBorder="1" applyAlignment="1">
      <alignment horizontal="left" vertical="center"/>
    </xf>
    <xf numFmtId="0" fontId="13" fillId="5" borderId="21" xfId="1" applyFont="1" applyFill="1" applyBorder="1" applyAlignment="1">
      <alignment horizontal="left" vertical="center"/>
    </xf>
    <xf numFmtId="0" fontId="13" fillId="5" borderId="3" xfId="1" applyFont="1" applyFill="1" applyBorder="1" applyAlignment="1">
      <alignment horizontal="left" vertical="center"/>
    </xf>
    <xf numFmtId="0" fontId="13" fillId="5" borderId="22" xfId="1" applyFont="1" applyFill="1" applyBorder="1" applyAlignment="1">
      <alignment horizontal="left" vertical="center"/>
    </xf>
    <xf numFmtId="165" fontId="12" fillId="0" borderId="2" xfId="4" applyNumberFormat="1" applyFont="1" applyFill="1" applyBorder="1" applyAlignment="1" applyProtection="1">
      <alignment horizontal="distributed" vertical="center" wrapText="1" indent="1"/>
      <protection locked="0"/>
    </xf>
    <xf numFmtId="165" fontId="12" fillId="0" borderId="4" xfId="4" applyNumberFormat="1" applyFont="1" applyFill="1" applyBorder="1" applyAlignment="1" applyProtection="1">
      <alignment horizontal="distributed" vertical="center" wrapText="1" indent="1"/>
      <protection locked="0"/>
    </xf>
    <xf numFmtId="0" fontId="6" fillId="0" borderId="14" xfId="1" applyFont="1" applyBorder="1" applyAlignment="1" applyProtection="1">
      <alignment horizontal="center" vertical="center"/>
      <protection locked="0"/>
    </xf>
    <xf numFmtId="0" fontId="6" fillId="0" borderId="15" xfId="1" applyFont="1" applyBorder="1" applyAlignment="1" applyProtection="1">
      <alignment horizontal="center" vertical="center"/>
      <protection locked="0"/>
    </xf>
    <xf numFmtId="0" fontId="6" fillId="0" borderId="16" xfId="1" applyFont="1" applyBorder="1" applyAlignment="1" applyProtection="1">
      <alignment horizontal="center" vertical="center"/>
      <protection locked="0"/>
    </xf>
    <xf numFmtId="0" fontId="6" fillId="0" borderId="17" xfId="1" applyFont="1" applyBorder="1" applyAlignment="1" applyProtection="1">
      <alignment horizontal="center" vertical="center"/>
      <protection locked="0"/>
    </xf>
    <xf numFmtId="0" fontId="6" fillId="0" borderId="0" xfId="1" applyFont="1" applyBorder="1" applyAlignment="1" applyProtection="1">
      <alignment horizontal="center" vertical="center"/>
      <protection locked="0"/>
    </xf>
    <xf numFmtId="0" fontId="6" fillId="0" borderId="18" xfId="1" applyFont="1" applyBorder="1" applyAlignment="1" applyProtection="1">
      <alignment horizontal="center" vertical="center"/>
      <protection locked="0"/>
    </xf>
    <xf numFmtId="0" fontId="4" fillId="0" borderId="29"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30" xfId="0" applyFont="1" applyBorder="1" applyAlignment="1" applyProtection="1">
      <alignment horizontal="center"/>
      <protection locked="0"/>
    </xf>
    <xf numFmtId="165" fontId="12" fillId="0" borderId="2" xfId="1" applyNumberFormat="1" applyFont="1" applyFill="1" applyBorder="1" applyAlignment="1" applyProtection="1">
      <alignment horizontal="distributed" vertical="center" wrapText="1" indent="1"/>
      <protection locked="0"/>
    </xf>
    <xf numFmtId="165" fontId="12" fillId="0" borderId="4" xfId="1" applyNumberFormat="1" applyFont="1" applyFill="1" applyBorder="1" applyAlignment="1" applyProtection="1">
      <alignment horizontal="distributed" vertical="center" wrapText="1" indent="1"/>
      <protection locked="0"/>
    </xf>
    <xf numFmtId="165" fontId="12" fillId="0" borderId="2" xfId="1" applyNumberFormat="1" applyFont="1" applyFill="1" applyBorder="1" applyAlignment="1" applyProtection="1">
      <alignment horizontal="distributed" vertical="center" indent="1"/>
      <protection locked="0"/>
    </xf>
    <xf numFmtId="165" fontId="12" fillId="0" borderId="4" xfId="1" applyNumberFormat="1" applyFont="1" applyFill="1" applyBorder="1" applyAlignment="1" applyProtection="1">
      <alignment horizontal="distributed" vertical="center" indent="1"/>
      <protection locked="0"/>
    </xf>
    <xf numFmtId="0" fontId="6" fillId="0" borderId="0" xfId="1" applyFont="1" applyBorder="1" applyAlignment="1" applyProtection="1">
      <alignment horizontal="left" vertical="center" wrapText="1"/>
      <protection locked="0"/>
    </xf>
    <xf numFmtId="0" fontId="6" fillId="0" borderId="18" xfId="1" applyFont="1" applyBorder="1" applyAlignment="1" applyProtection="1">
      <alignment horizontal="left" vertical="center" wrapText="1"/>
      <protection locked="0"/>
    </xf>
    <xf numFmtId="0" fontId="15" fillId="4" borderId="23" xfId="0" applyFont="1" applyFill="1" applyBorder="1" applyAlignment="1">
      <alignment horizontal="right"/>
    </xf>
    <xf numFmtId="0" fontId="15" fillId="4" borderId="24" xfId="0" applyFont="1" applyFill="1" applyBorder="1" applyAlignment="1">
      <alignment horizontal="right"/>
    </xf>
    <xf numFmtId="0" fontId="15" fillId="4" borderId="25" xfId="0" applyFont="1" applyFill="1" applyBorder="1" applyAlignment="1">
      <alignment horizontal="right"/>
    </xf>
    <xf numFmtId="0" fontId="8" fillId="0" borderId="21" xfId="0" applyFont="1" applyBorder="1" applyAlignment="1">
      <alignment horizontal="left" vertical="center"/>
    </xf>
    <xf numFmtId="0" fontId="8" fillId="0" borderId="3" xfId="0" applyFont="1" applyBorder="1" applyAlignment="1">
      <alignment horizontal="left" vertical="center"/>
    </xf>
    <xf numFmtId="0" fontId="8" fillId="0" borderId="22" xfId="0" applyFont="1" applyBorder="1" applyAlignment="1">
      <alignment horizontal="left" vertical="center"/>
    </xf>
    <xf numFmtId="0" fontId="6" fillId="0" borderId="17" xfId="1" applyFont="1" applyBorder="1" applyAlignment="1" applyProtection="1">
      <alignment horizontal="center" vertical="center" wrapText="1"/>
      <protection locked="0"/>
    </xf>
    <xf numFmtId="0" fontId="6" fillId="0" borderId="0" xfId="1" applyFont="1" applyBorder="1" applyAlignment="1" applyProtection="1">
      <alignment horizontal="center" vertical="center" wrapText="1"/>
      <protection locked="0"/>
    </xf>
    <xf numFmtId="165" fontId="12" fillId="2" borderId="2" xfId="4" applyNumberFormat="1" applyFont="1" applyFill="1" applyBorder="1" applyAlignment="1" applyProtection="1">
      <alignment horizontal="center" vertical="center" wrapText="1"/>
      <protection locked="0"/>
    </xf>
    <xf numFmtId="165" fontId="12" fillId="2" borderId="4" xfId="4" applyNumberFormat="1" applyFont="1" applyFill="1" applyBorder="1" applyAlignment="1" applyProtection="1">
      <alignment horizontal="center" vertical="center" wrapText="1"/>
      <protection locked="0"/>
    </xf>
    <xf numFmtId="0" fontId="19" fillId="13" borderId="31" xfId="0" applyFont="1" applyFill="1" applyBorder="1" applyAlignment="1">
      <alignment horizontal="right" vertical="center"/>
    </xf>
    <xf numFmtId="0" fontId="19" fillId="13" borderId="32" xfId="0" applyFont="1" applyFill="1" applyBorder="1" applyAlignment="1">
      <alignment horizontal="right" vertical="center"/>
    </xf>
    <xf numFmtId="0" fontId="19" fillId="13" borderId="116" xfId="0" applyFont="1" applyFill="1" applyBorder="1" applyAlignment="1">
      <alignment horizontal="right" vertical="center"/>
    </xf>
    <xf numFmtId="0" fontId="7" fillId="2" borderId="17" xfId="0" applyFont="1" applyFill="1" applyBorder="1" applyAlignment="1">
      <alignment horizontal="center"/>
    </xf>
    <xf numFmtId="0" fontId="7" fillId="2" borderId="0" xfId="0" applyFont="1" applyFill="1" applyBorder="1" applyAlignment="1">
      <alignment horizontal="center"/>
    </xf>
    <xf numFmtId="0" fontId="7" fillId="2" borderId="18" xfId="0" applyFont="1" applyFill="1" applyBorder="1" applyAlignment="1">
      <alignment horizontal="center"/>
    </xf>
    <xf numFmtId="0" fontId="1" fillId="2" borderId="0" xfId="0" applyFont="1" applyFill="1" applyBorder="1" applyAlignment="1">
      <alignment horizontal="center"/>
    </xf>
    <xf numFmtId="0" fontId="1" fillId="2" borderId="18" xfId="0" applyFont="1" applyFill="1" applyBorder="1" applyAlignment="1">
      <alignment horizontal="center"/>
    </xf>
    <xf numFmtId="17" fontId="13" fillId="2" borderId="17" xfId="1" applyNumberFormat="1" applyFont="1" applyFill="1" applyBorder="1" applyAlignment="1">
      <alignment horizontal="center"/>
    </xf>
    <xf numFmtId="17" fontId="13" fillId="2" borderId="0" xfId="1" applyNumberFormat="1" applyFont="1" applyFill="1" applyBorder="1" applyAlignment="1">
      <alignment horizontal="center"/>
    </xf>
    <xf numFmtId="17" fontId="13" fillId="2" borderId="18" xfId="1" applyNumberFormat="1" applyFont="1" applyFill="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17" fontId="7" fillId="2" borderId="17" xfId="0" applyNumberFormat="1" applyFont="1" applyFill="1" applyBorder="1" applyAlignment="1">
      <alignment horizontal="center"/>
    </xf>
    <xf numFmtId="17" fontId="7" fillId="2" borderId="0" xfId="0" applyNumberFormat="1" applyFont="1" applyFill="1" applyBorder="1" applyAlignment="1">
      <alignment horizontal="center"/>
    </xf>
    <xf numFmtId="17" fontId="7" fillId="2" borderId="18" xfId="0" applyNumberFormat="1" applyFont="1" applyFill="1" applyBorder="1" applyAlignment="1">
      <alignment horizontal="center"/>
    </xf>
    <xf numFmtId="17" fontId="7" fillId="2" borderId="17" xfId="0" applyNumberFormat="1" applyFont="1" applyFill="1" applyBorder="1" applyAlignment="1" applyProtection="1">
      <alignment horizontal="center"/>
      <protection locked="0"/>
    </xf>
    <xf numFmtId="17" fontId="7" fillId="2" borderId="0" xfId="0" applyNumberFormat="1" applyFont="1" applyFill="1" applyBorder="1" applyAlignment="1" applyProtection="1">
      <alignment horizontal="center"/>
      <protection locked="0"/>
    </xf>
    <xf numFmtId="17" fontId="7" fillId="2" borderId="18" xfId="0" applyNumberFormat="1" applyFont="1" applyFill="1" applyBorder="1" applyAlignment="1" applyProtection="1">
      <alignment horizontal="center"/>
      <protection locked="0"/>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20" xfId="0" applyFont="1" applyBorder="1" applyAlignment="1">
      <alignment horizontal="left" vertical="center"/>
    </xf>
    <xf numFmtId="165" fontId="12" fillId="2" borderId="2" xfId="4" applyNumberFormat="1" applyFont="1" applyFill="1" applyBorder="1" applyAlignment="1" applyProtection="1">
      <alignment horizontal="distributed" vertical="distributed" wrapText="1" indent="1"/>
      <protection locked="0"/>
    </xf>
    <xf numFmtId="165" fontId="12" fillId="2" borderId="4" xfId="4" applyNumberFormat="1" applyFont="1" applyFill="1" applyBorder="1" applyAlignment="1" applyProtection="1">
      <alignment horizontal="distributed" vertical="distributed" wrapText="1" indent="1"/>
      <protection locked="0"/>
    </xf>
    <xf numFmtId="0" fontId="7" fillId="3" borderId="21" xfId="0" applyFont="1" applyFill="1" applyBorder="1" applyAlignment="1">
      <alignment horizontal="right" vertical="center"/>
    </xf>
    <xf numFmtId="0" fontId="7" fillId="3" borderId="3" xfId="0" applyFont="1" applyFill="1" applyBorder="1" applyAlignment="1">
      <alignment horizontal="right" vertical="center"/>
    </xf>
    <xf numFmtId="0" fontId="7" fillId="3" borderId="4" xfId="0" applyFont="1" applyFill="1" applyBorder="1" applyAlignment="1">
      <alignment horizontal="right" vertical="center"/>
    </xf>
    <xf numFmtId="0" fontId="7" fillId="5" borderId="37" xfId="0" applyFont="1" applyFill="1" applyBorder="1" applyAlignment="1">
      <alignment horizontal="left" vertical="center" wrapText="1"/>
    </xf>
    <xf numFmtId="0" fontId="7" fillId="5" borderId="41" xfId="0" applyFont="1" applyFill="1" applyBorder="1" applyAlignment="1">
      <alignment horizontal="left" vertical="center" wrapText="1"/>
    </xf>
    <xf numFmtId="0" fontId="7" fillId="5" borderId="38" xfId="0" applyFont="1" applyFill="1" applyBorder="1" applyAlignment="1">
      <alignment horizontal="left" vertical="center" wrapText="1"/>
    </xf>
    <xf numFmtId="0" fontId="7" fillId="5" borderId="42" xfId="0" applyFont="1" applyFill="1" applyBorder="1" applyAlignment="1">
      <alignment horizontal="left" vertical="center" wrapText="1"/>
    </xf>
    <xf numFmtId="0" fontId="19" fillId="12" borderId="37" xfId="0" applyFont="1" applyFill="1" applyBorder="1" applyAlignment="1">
      <alignment horizontal="left" vertical="center" wrapText="1"/>
    </xf>
    <xf numFmtId="0" fontId="19" fillId="12" borderId="41" xfId="0" applyFont="1" applyFill="1" applyBorder="1" applyAlignment="1">
      <alignment horizontal="left" vertical="center" wrapText="1"/>
    </xf>
    <xf numFmtId="0" fontId="19" fillId="12" borderId="38" xfId="0" applyFont="1" applyFill="1" applyBorder="1" applyAlignment="1">
      <alignment horizontal="left" vertical="center" wrapText="1"/>
    </xf>
    <xf numFmtId="0" fontId="19" fillId="12" borderId="42" xfId="0" applyFont="1" applyFill="1" applyBorder="1" applyAlignment="1">
      <alignment horizontal="left" vertical="center" wrapText="1"/>
    </xf>
    <xf numFmtId="0" fontId="21" fillId="0" borderId="21" xfId="0" applyFont="1" applyFill="1" applyBorder="1" applyAlignment="1">
      <alignment horizontal="center" vertical="center"/>
    </xf>
    <xf numFmtId="0" fontId="21" fillId="0" borderId="4" xfId="0" applyFont="1" applyFill="1" applyBorder="1" applyAlignment="1">
      <alignment horizontal="center" vertical="center"/>
    </xf>
    <xf numFmtId="165" fontId="21" fillId="11" borderId="2" xfId="0" applyNumberFormat="1" applyFont="1" applyFill="1" applyBorder="1" applyAlignment="1" applyProtection="1">
      <alignment horizontal="distributed" vertical="center" indent="1"/>
      <protection locked="0"/>
    </xf>
    <xf numFmtId="165" fontId="21" fillId="11" borderId="4" xfId="0" applyNumberFormat="1" applyFont="1" applyFill="1" applyBorder="1" applyAlignment="1" applyProtection="1">
      <alignment horizontal="distributed" vertical="center" indent="1"/>
      <protection locked="0"/>
    </xf>
    <xf numFmtId="0" fontId="7" fillId="3" borderId="23" xfId="0" applyFont="1" applyFill="1" applyBorder="1" applyAlignment="1">
      <alignment horizontal="right" vertical="center"/>
    </xf>
    <xf numFmtId="0" fontId="7" fillId="3" borderId="24" xfId="0" applyFont="1" applyFill="1" applyBorder="1" applyAlignment="1">
      <alignment horizontal="right" vertical="center"/>
    </xf>
    <xf numFmtId="0" fontId="7" fillId="3" borderId="25" xfId="0" applyFont="1" applyFill="1" applyBorder="1" applyAlignment="1">
      <alignment horizontal="right"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98" xfId="0" applyFont="1" applyFill="1" applyBorder="1" applyAlignment="1">
      <alignment horizontal="center" vertical="center"/>
    </xf>
    <xf numFmtId="0" fontId="7" fillId="5" borderId="79" xfId="0" applyFont="1" applyFill="1" applyBorder="1" applyAlignment="1">
      <alignment horizontal="left" vertical="center"/>
    </xf>
    <xf numFmtId="0" fontId="7" fillId="5" borderId="80" xfId="0" applyFont="1" applyFill="1" applyBorder="1" applyAlignment="1">
      <alignment horizontal="left" vertical="center"/>
    </xf>
    <xf numFmtId="0" fontId="7" fillId="5" borderId="107" xfId="0" applyFont="1" applyFill="1" applyBorder="1" applyAlignment="1">
      <alignment horizontal="left" vertical="center"/>
    </xf>
    <xf numFmtId="0" fontId="7" fillId="3" borderId="27" xfId="0" applyFont="1" applyFill="1" applyBorder="1" applyAlignment="1">
      <alignment horizontal="center"/>
    </xf>
    <xf numFmtId="0" fontId="7" fillId="3" borderId="8" xfId="0" applyFont="1" applyFill="1" applyBorder="1" applyAlignment="1">
      <alignment horizontal="center"/>
    </xf>
    <xf numFmtId="0" fontId="7" fillId="3" borderId="12" xfId="0" applyFont="1" applyFill="1" applyBorder="1" applyAlignment="1">
      <alignment horizontal="center"/>
    </xf>
    <xf numFmtId="0" fontId="7" fillId="3" borderId="28" xfId="0" applyFont="1" applyFill="1" applyBorder="1" applyAlignment="1">
      <alignment horizontal="center"/>
    </xf>
    <xf numFmtId="164" fontId="0" fillId="0" borderId="2" xfId="7" applyFont="1" applyBorder="1" applyAlignment="1" applyProtection="1">
      <alignment horizontal="center"/>
      <protection locked="0"/>
    </xf>
    <xf numFmtId="164" fontId="0" fillId="0" borderId="4" xfId="7" applyFont="1" applyBorder="1" applyAlignment="1" applyProtection="1">
      <alignment horizontal="center"/>
      <protection locked="0"/>
    </xf>
    <xf numFmtId="0" fontId="7" fillId="5" borderId="87" xfId="0" applyFont="1" applyFill="1" applyBorder="1" applyAlignment="1">
      <alignment horizontal="left" vertical="center"/>
    </xf>
    <xf numFmtId="0" fontId="7" fillId="5" borderId="88" xfId="0" applyFont="1" applyFill="1" applyBorder="1" applyAlignment="1">
      <alignment horizontal="left" vertical="center"/>
    </xf>
    <xf numFmtId="0" fontId="7" fillId="0" borderId="19" xfId="0" applyFont="1" applyBorder="1" applyAlignment="1">
      <alignment horizontal="left" vertical="center"/>
    </xf>
    <xf numFmtId="164" fontId="0" fillId="0" borderId="11" xfId="7" applyFont="1" applyBorder="1" applyAlignment="1" applyProtection="1">
      <alignment horizontal="center"/>
      <protection locked="0"/>
    </xf>
    <xf numFmtId="4" fontId="7" fillId="3" borderId="23" xfId="0" applyNumberFormat="1" applyFont="1" applyFill="1" applyBorder="1" applyAlignment="1">
      <alignment horizontal="right"/>
    </xf>
    <xf numFmtId="4" fontId="7" fillId="3" borderId="24" xfId="0" applyNumberFormat="1" applyFont="1" applyFill="1" applyBorder="1" applyAlignment="1">
      <alignment horizontal="right"/>
    </xf>
    <xf numFmtId="4" fontId="7" fillId="3" borderId="25" xfId="0" applyNumberFormat="1" applyFont="1" applyFill="1" applyBorder="1" applyAlignment="1">
      <alignment horizontal="right"/>
    </xf>
    <xf numFmtId="0" fontId="7" fillId="5" borderId="43" xfId="0" applyFont="1" applyFill="1" applyBorder="1" applyAlignment="1">
      <alignment horizontal="left" vertical="center"/>
    </xf>
    <xf numFmtId="0" fontId="7" fillId="5" borderId="39" xfId="0" applyFont="1" applyFill="1" applyBorder="1" applyAlignment="1">
      <alignment horizontal="left" vertical="center"/>
    </xf>
    <xf numFmtId="0" fontId="7" fillId="5" borderId="44" xfId="0" applyFont="1" applyFill="1" applyBorder="1" applyAlignment="1">
      <alignment horizontal="left" vertical="center"/>
    </xf>
    <xf numFmtId="0" fontId="7" fillId="0" borderId="11" xfId="0" applyFont="1" applyBorder="1" applyAlignment="1">
      <alignment horizontal="left" vertical="center"/>
    </xf>
    <xf numFmtId="0" fontId="7" fillId="0" borderId="6" xfId="0" applyFont="1" applyBorder="1" applyAlignment="1">
      <alignment horizontal="left" vertical="center"/>
    </xf>
    <xf numFmtId="0" fontId="7" fillId="0" borderId="111" xfId="0" applyFont="1" applyBorder="1" applyAlignment="1">
      <alignment horizontal="left" vertical="center"/>
    </xf>
    <xf numFmtId="0" fontId="7" fillId="0" borderId="14"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0"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7" fillId="3" borderId="106" xfId="0" applyFont="1" applyFill="1" applyBorder="1" applyAlignment="1">
      <alignment horizontal="center"/>
    </xf>
    <xf numFmtId="0" fontId="7" fillId="3" borderId="80" xfId="0" applyFont="1" applyFill="1" applyBorder="1" applyAlignment="1">
      <alignment horizontal="center"/>
    </xf>
    <xf numFmtId="0" fontId="7" fillId="3" borderId="107" xfId="0" applyFont="1" applyFill="1" applyBorder="1" applyAlignment="1">
      <alignment horizontal="center"/>
    </xf>
    <xf numFmtId="0" fontId="0" fillId="0" borderId="105" xfId="0" applyBorder="1" applyAlignment="1">
      <alignment horizontal="center" vertical="center"/>
    </xf>
    <xf numFmtId="0" fontId="0" fillId="0" borderId="84" xfId="0" applyBorder="1" applyAlignment="1">
      <alignment horizontal="center" vertical="center"/>
    </xf>
    <xf numFmtId="0" fontId="0" fillId="0" borderId="11" xfId="0" applyBorder="1" applyAlignment="1">
      <alignment horizontal="center" vertical="center"/>
    </xf>
    <xf numFmtId="0" fontId="0" fillId="0" borderId="34" xfId="0" applyBorder="1" applyAlignment="1">
      <alignment horizontal="center" vertical="center"/>
    </xf>
    <xf numFmtId="0" fontId="7" fillId="5" borderId="37" xfId="0" applyFont="1" applyFill="1" applyBorder="1" applyAlignment="1">
      <alignment horizontal="left" vertical="center"/>
    </xf>
    <xf numFmtId="0" fontId="7" fillId="5" borderId="41" xfId="0" applyFont="1" applyFill="1" applyBorder="1" applyAlignment="1">
      <alignment horizontal="left" vertical="center"/>
    </xf>
    <xf numFmtId="0" fontId="7" fillId="5" borderId="38" xfId="0" applyFont="1" applyFill="1" applyBorder="1" applyAlignment="1">
      <alignment horizontal="left" vertical="center"/>
    </xf>
    <xf numFmtId="0" fontId="7" fillId="5" borderId="42" xfId="0" applyFont="1" applyFill="1" applyBorder="1" applyAlignment="1">
      <alignment horizontal="left" vertical="center"/>
    </xf>
    <xf numFmtId="4" fontId="7" fillId="3" borderId="21" xfId="0" applyNumberFormat="1" applyFont="1" applyFill="1" applyBorder="1" applyAlignment="1">
      <alignment horizontal="right"/>
    </xf>
    <xf numFmtId="4" fontId="7" fillId="3" borderId="3" xfId="0" applyNumberFormat="1" applyFont="1" applyFill="1" applyBorder="1" applyAlignment="1">
      <alignment horizontal="right"/>
    </xf>
    <xf numFmtId="4" fontId="7" fillId="3" borderId="4" xfId="0" applyNumberFormat="1" applyFont="1" applyFill="1" applyBorder="1" applyAlignment="1">
      <alignment horizontal="right"/>
    </xf>
    <xf numFmtId="0" fontId="7" fillId="3" borderId="29" xfId="0" applyFont="1" applyFill="1" applyBorder="1" applyAlignment="1">
      <alignment horizontal="center"/>
    </xf>
    <xf numFmtId="0" fontId="7" fillId="3" borderId="5" xfId="0" applyFont="1" applyFill="1" applyBorder="1" applyAlignment="1">
      <alignment horizontal="center"/>
    </xf>
    <xf numFmtId="0" fontId="7" fillId="3" borderId="30" xfId="0" applyFont="1" applyFill="1" applyBorder="1" applyAlignment="1">
      <alignment horizontal="center"/>
    </xf>
    <xf numFmtId="0" fontId="7" fillId="0" borderId="0" xfId="0" applyFont="1" applyBorder="1" applyAlignment="1">
      <alignment horizontal="center"/>
    </xf>
    <xf numFmtId="0" fontId="7" fillId="3" borderId="19" xfId="0" applyFont="1" applyFill="1" applyBorder="1" applyAlignment="1">
      <alignment horizontal="center"/>
    </xf>
    <xf numFmtId="0" fontId="7" fillId="3" borderId="1" xfId="0" applyFont="1" applyFill="1" applyBorder="1" applyAlignment="1">
      <alignment horizontal="center"/>
    </xf>
    <xf numFmtId="0" fontId="7" fillId="3" borderId="20" xfId="0" applyFont="1" applyFill="1" applyBorder="1" applyAlignment="1">
      <alignment horizontal="center"/>
    </xf>
    <xf numFmtId="4" fontId="7" fillId="3" borderId="43" xfId="0" applyNumberFormat="1" applyFont="1" applyFill="1" applyBorder="1" applyAlignment="1">
      <alignment horizontal="right"/>
    </xf>
    <xf numFmtId="4" fontId="7" fillId="3" borderId="39" xfId="0" applyNumberFormat="1" applyFont="1" applyFill="1" applyBorder="1" applyAlignment="1">
      <alignment horizontal="right"/>
    </xf>
    <xf numFmtId="4" fontId="7" fillId="3" borderId="40" xfId="0" applyNumberFormat="1" applyFont="1" applyFill="1" applyBorder="1" applyAlignment="1">
      <alignment horizontal="right"/>
    </xf>
    <xf numFmtId="0" fontId="4" fillId="0" borderId="0" xfId="0" applyFont="1" applyAlignment="1">
      <alignment horizontal="center"/>
    </xf>
    <xf numFmtId="0" fontId="4" fillId="0" borderId="14" xfId="0" applyFont="1" applyBorder="1" applyAlignment="1" applyProtection="1">
      <alignment horizontal="center"/>
      <protection locked="0"/>
    </xf>
    <xf numFmtId="0" fontId="4" fillId="0" borderId="15" xfId="0" applyFont="1" applyBorder="1" applyAlignment="1" applyProtection="1">
      <alignment horizontal="center"/>
      <protection locked="0"/>
    </xf>
    <xf numFmtId="0" fontId="4" fillId="0" borderId="16" xfId="0" applyFont="1" applyBorder="1" applyAlignment="1" applyProtection="1">
      <alignment horizontal="center"/>
      <protection locked="0"/>
    </xf>
    <xf numFmtId="0" fontId="4" fillId="0" borderId="17"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18" xfId="0" applyFont="1" applyBorder="1" applyAlignment="1" applyProtection="1">
      <alignment horizontal="center"/>
      <protection locked="0"/>
    </xf>
    <xf numFmtId="165" fontId="4" fillId="0" borderId="84" xfId="0" applyNumberFormat="1" applyFont="1" applyBorder="1" applyAlignment="1">
      <alignment horizontal="center" vertical="center"/>
    </xf>
    <xf numFmtId="165" fontId="4" fillId="0" borderId="8" xfId="0" applyNumberFormat="1" applyFont="1" applyBorder="1" applyAlignment="1">
      <alignment horizontal="center" vertical="center"/>
    </xf>
    <xf numFmtId="10" fontId="4" fillId="0" borderId="34" xfId="5" applyNumberFormat="1" applyFont="1" applyBorder="1" applyAlignment="1">
      <alignment horizontal="center" vertical="center"/>
    </xf>
    <xf numFmtId="10" fontId="4" fillId="0" borderId="28" xfId="5" applyNumberFormat="1" applyFont="1" applyBorder="1" applyAlignment="1">
      <alignment horizontal="center" vertical="center"/>
    </xf>
    <xf numFmtId="0" fontId="7" fillId="0" borderId="17" xfId="0" applyFont="1" applyFill="1" applyBorder="1" applyAlignment="1" applyProtection="1">
      <alignment horizontal="center"/>
      <protection locked="0"/>
    </xf>
    <xf numFmtId="0" fontId="7" fillId="0" borderId="0" xfId="0" applyFont="1" applyFill="1" applyBorder="1" applyAlignment="1" applyProtection="1">
      <alignment horizontal="center"/>
      <protection locked="0"/>
    </xf>
    <xf numFmtId="0" fontId="7" fillId="0" borderId="18" xfId="0" applyFont="1" applyFill="1" applyBorder="1" applyAlignment="1" applyProtection="1">
      <alignment horizontal="center"/>
      <protection locked="0"/>
    </xf>
    <xf numFmtId="0" fontId="0" fillId="0" borderId="29" xfId="0" applyFont="1" applyBorder="1" applyProtection="1">
      <protection locked="0"/>
    </xf>
    <xf numFmtId="0" fontId="0" fillId="0" borderId="5" xfId="0" applyFont="1" applyBorder="1" applyProtection="1">
      <protection locked="0"/>
    </xf>
    <xf numFmtId="0" fontId="0" fillId="0" borderId="30" xfId="0" applyFont="1" applyBorder="1" applyProtection="1">
      <protection locked="0"/>
    </xf>
  </cellXfs>
  <cellStyles count="8">
    <cellStyle name="Moeda" xfId="7" builtinId="4"/>
    <cellStyle name="Moeda 2" xfId="4"/>
    <cellStyle name="Normal" xfId="0" builtinId="0"/>
    <cellStyle name="Normal 2" xfId="3"/>
    <cellStyle name="Normal 3" xfId="1"/>
    <cellStyle name="Porcentagem" xfId="5" builtinId="5"/>
    <cellStyle name="Vírgula" xfId="6" builtinId="3"/>
    <cellStyle name="Vírgula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180975</xdr:colOff>
          <xdr:row>248</xdr:row>
          <xdr:rowOff>9525</xdr:rowOff>
        </xdr:from>
        <xdr:to>
          <xdr:col>0</xdr:col>
          <xdr:colOff>714375</xdr:colOff>
          <xdr:row>252</xdr:row>
          <xdr:rowOff>76200</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PMC\Obras\PROCESSOS%20-%20EM%20AN&#193;LISE\CANALIZA&#199;&#195;O%20RIBEIR&#195;O%20PIRAPITINGA\OR&#199;AMENTO%20B&#193;SICO\PLANILHA%20%20-%20REV.17_PMC_28.12.2017_Consolidada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R&#199;AMENTO%20B&#193;SI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11"/>
      <sheetName val="PQP_REVISADO"/>
      <sheetName val="MC__2"/>
      <sheetName val="CRONOGRAMA"/>
      <sheetName val="MOBILIZ_DESMOB"/>
      <sheetName val="Questionamento"/>
      <sheetName val="MC_CONCRETO"/>
      <sheetName val="MC_AÇO"/>
      <sheetName val="Formas Geral"/>
      <sheetName val="Escoramento Geral "/>
      <sheetName val="CRONOGRAMA_"/>
      <sheetName val="ABC_SERVIÇOS"/>
    </sheetNames>
    <sheetDataSet>
      <sheetData sheetId="0"/>
      <sheetData sheetId="1"/>
      <sheetData sheetId="2"/>
      <sheetData sheetId="3"/>
      <sheetData sheetId="4"/>
      <sheetData sheetId="5"/>
      <sheetData sheetId="6"/>
      <sheetData sheetId="7"/>
      <sheetData sheetId="8"/>
      <sheetData sheetId="9"/>
      <sheetData sheetId="10"/>
      <sheetData sheetId="11">
        <row r="1">
          <cell r="A1" t="str">
            <v>CURVA ABC DE SERVIÇOS</v>
          </cell>
          <cell r="B1">
            <v>0</v>
          </cell>
          <cell r="C1">
            <v>0</v>
          </cell>
          <cell r="D1">
            <v>0</v>
          </cell>
          <cell r="E1">
            <v>0</v>
          </cell>
          <cell r="F1">
            <v>0</v>
          </cell>
          <cell r="G1">
            <v>0</v>
          </cell>
          <cell r="H1">
            <v>0</v>
          </cell>
          <cell r="I1">
            <v>0</v>
          </cell>
          <cell r="J1">
            <v>0</v>
          </cell>
        </row>
        <row r="2">
          <cell r="A2" t="str">
            <v>ITEM</v>
          </cell>
          <cell r="B2" t="str">
            <v>SERVIÇO</v>
          </cell>
          <cell r="C2" t="str">
            <v>UNID</v>
          </cell>
          <cell r="D2" t="str">
            <v>QUANT.</v>
          </cell>
          <cell r="E2" t="str">
            <v>CÓDIGO</v>
          </cell>
          <cell r="F2" t="str">
            <v>BASE</v>
          </cell>
          <cell r="G2" t="str">
            <v>CUSTO</v>
          </cell>
          <cell r="H2" t="str">
            <v>VENDA</v>
          </cell>
          <cell r="I2" t="str">
            <v>TOTAL</v>
          </cell>
          <cell r="J2">
            <v>0</v>
          </cell>
          <cell r="K2">
            <v>0</v>
          </cell>
          <cell r="L2">
            <v>0</v>
          </cell>
          <cell r="M2">
            <v>0</v>
          </cell>
        </row>
        <row r="3">
          <cell r="A3" t="str">
            <v>COMP_001</v>
          </cell>
          <cell r="B3" t="str">
            <v xml:space="preserve"> PLACA DE OBRA EM CHAPA DE ACO GALVANIZADO </v>
          </cell>
          <cell r="C3" t="str">
            <v>M2</v>
          </cell>
          <cell r="D3">
            <v>14.860800000000001</v>
          </cell>
          <cell r="E3" t="str">
            <v>74209/001</v>
          </cell>
          <cell r="F3" t="str">
            <v xml:space="preserve">SINAPI – 10/17   </v>
          </cell>
          <cell r="G3">
            <v>295.8</v>
          </cell>
          <cell r="H3">
            <v>376.55340000000007</v>
          </cell>
          <cell r="I3">
            <v>5595.8847667200016</v>
          </cell>
          <cell r="J3">
            <v>0</v>
          </cell>
        </row>
        <row r="4">
          <cell r="A4" t="str">
            <v>COMP_002</v>
          </cell>
          <cell r="B4" t="str">
            <v>EXECUÇÃO DE ESCRITÓRIO EM CANTEIRO DE OBRA EM CHAPA DE MADEIRA COMPENSADA, NÃO INCLUSO MOBILIÁRIO E EQUIPAMENTOS</v>
          </cell>
          <cell r="C4" t="str">
            <v>M2</v>
          </cell>
          <cell r="D4">
            <v>60</v>
          </cell>
          <cell r="E4" t="str">
            <v>93207</v>
          </cell>
          <cell r="F4" t="str">
            <v>SINAPI – 10/17</v>
          </cell>
          <cell r="G4">
            <v>523.39</v>
          </cell>
          <cell r="H4">
            <v>666.27547000000004</v>
          </cell>
          <cell r="I4">
            <v>39976.528200000001</v>
          </cell>
          <cell r="J4">
            <v>0</v>
          </cell>
          <cell r="K4">
            <v>0</v>
          </cell>
          <cell r="L4">
            <v>0</v>
          </cell>
          <cell r="M4">
            <v>0</v>
          </cell>
        </row>
        <row r="5">
          <cell r="A5" t="str">
            <v>COMP_003</v>
          </cell>
          <cell r="B5" t="str">
            <v>EXECUÇÃO DE ALMOXARIFADO EM CANTEIRO DE OBRA EM CHAPA DE MADEIRA COMPENSADA, INCLUSO PRATELEIRAS.</v>
          </cell>
          <cell r="C5" t="str">
            <v>M2</v>
          </cell>
          <cell r="D5">
            <v>72</v>
          </cell>
          <cell r="E5" t="str">
            <v>93208</v>
          </cell>
          <cell r="F5" t="str">
            <v>SINAPI – 10/17</v>
          </cell>
          <cell r="G5">
            <v>388.17</v>
          </cell>
          <cell r="H5">
            <v>494.14041000000009</v>
          </cell>
          <cell r="I5">
            <v>35578.109520000005</v>
          </cell>
          <cell r="J5">
            <v>0</v>
          </cell>
          <cell r="K5">
            <v>0</v>
          </cell>
          <cell r="L5">
            <v>0</v>
          </cell>
          <cell r="M5">
            <v>0</v>
          </cell>
        </row>
        <row r="6">
          <cell r="A6" t="str">
            <v>COMP_004</v>
          </cell>
          <cell r="B6" t="str">
            <v>EXECUÇÃO DE REFEITÓRIO EM CANTEIRO DE OBRA EM CHAPA DE MADEIRA COMPENSADA, NÃO INCLUSO MOBILIÁRIO E EQUIPAMENTOS</v>
          </cell>
          <cell r="C6" t="str">
            <v>M2</v>
          </cell>
          <cell r="D6">
            <v>100</v>
          </cell>
          <cell r="E6" t="str">
            <v>93210</v>
          </cell>
          <cell r="F6" t="str">
            <v>SINAPI – 10/17</v>
          </cell>
          <cell r="G6">
            <v>305.35000000000002</v>
          </cell>
          <cell r="H6">
            <v>388.71055000000007</v>
          </cell>
          <cell r="I6">
            <v>38871.055000000008</v>
          </cell>
          <cell r="J6">
            <v>0</v>
          </cell>
          <cell r="K6">
            <v>0</v>
          </cell>
          <cell r="L6">
            <v>0</v>
          </cell>
          <cell r="M6">
            <v>0</v>
          </cell>
        </row>
        <row r="7">
          <cell r="A7" t="str">
            <v>COMP_005</v>
          </cell>
          <cell r="B7" t="str">
            <v xml:space="preserve">EXECUÇÃO DE SANITÁRIO E VESTIÁRIO EM CANTEIRO DE OBRA EM CHAPA DE MADEIRA COMPENSADA, NÃO INCLUSO MOBILIÁRIO. </v>
          </cell>
          <cell r="C7" t="str">
            <v>M2</v>
          </cell>
          <cell r="D7">
            <v>30</v>
          </cell>
          <cell r="E7" t="str">
            <v>93212</v>
          </cell>
          <cell r="F7" t="str">
            <v>SINAPI – 10/17</v>
          </cell>
          <cell r="G7">
            <v>495.87</v>
          </cell>
          <cell r="H7">
            <v>631.24251000000004</v>
          </cell>
          <cell r="I7">
            <v>18937.275300000001</v>
          </cell>
          <cell r="J7">
            <v>0</v>
          </cell>
          <cell r="K7">
            <v>0</v>
          </cell>
          <cell r="L7">
            <v>0</v>
          </cell>
          <cell r="M7">
            <v>0</v>
          </cell>
        </row>
        <row r="8">
          <cell r="A8" t="str">
            <v>COMP_006</v>
          </cell>
          <cell r="B8" t="str">
            <v xml:space="preserve"> EXECUÇÃO DE RESERVATÓRIO ELEVADO DE ÁGUA (3000 LITROS) EM CANTEIRO DE OBRA, APOIADO EM ESTRUTURA DE MADEIRA</v>
          </cell>
          <cell r="C8" t="str">
            <v>UNID</v>
          </cell>
          <cell r="D8">
            <v>2</v>
          </cell>
          <cell r="E8" t="str">
            <v>93243</v>
          </cell>
          <cell r="F8" t="str">
            <v>SINAPI – 10/17</v>
          </cell>
          <cell r="G8">
            <v>1921.74</v>
          </cell>
          <cell r="H8">
            <v>2446.3750200000004</v>
          </cell>
          <cell r="I8">
            <v>4892.7500400000008</v>
          </cell>
          <cell r="J8">
            <v>0</v>
          </cell>
          <cell r="K8">
            <v>0</v>
          </cell>
          <cell r="L8">
            <v>0</v>
          </cell>
          <cell r="M8">
            <v>0</v>
          </cell>
        </row>
        <row r="9">
          <cell r="A9" t="str">
            <v>COMP_007</v>
          </cell>
          <cell r="B9" t="str">
            <v>EXECUÇÃO DE CENTRAL DE ARMADURA EM CANTEIRO DE OBRA, NÃO INCLUSO MOBILIÁRIO E EQUIPAMENTOS.</v>
          </cell>
          <cell r="C9" t="str">
            <v>M2</v>
          </cell>
          <cell r="D9">
            <v>25</v>
          </cell>
          <cell r="E9" t="str">
            <v>93582</v>
          </cell>
          <cell r="F9" t="str">
            <v>SINAPI – 10/17</v>
          </cell>
          <cell r="G9">
            <v>129.54</v>
          </cell>
          <cell r="H9">
            <v>164.90442000000002</v>
          </cell>
          <cell r="I9">
            <v>4122.6105000000007</v>
          </cell>
          <cell r="J9">
            <v>0</v>
          </cell>
          <cell r="K9">
            <v>0</v>
          </cell>
          <cell r="L9">
            <v>0</v>
          </cell>
          <cell r="M9">
            <v>0</v>
          </cell>
        </row>
        <row r="10">
          <cell r="A10" t="str">
            <v>COMP_008</v>
          </cell>
          <cell r="B10" t="str">
            <v xml:space="preserve"> EXECUÇÃO DE CENTRAL DE FÔRMAS, PRODUÇÃO DE ARGAMASSA OU CONCRETO EM CANTEIRO DE OBRA, NÃO INCLUSO MOBILIÁRIO E EQUIPAMENTOS.</v>
          </cell>
          <cell r="C10" t="str">
            <v>M2</v>
          </cell>
          <cell r="D10">
            <v>40</v>
          </cell>
          <cell r="E10" t="str">
            <v>93583</v>
          </cell>
          <cell r="F10" t="str">
            <v>SINAPI – 10/17</v>
          </cell>
          <cell r="G10">
            <v>252.77</v>
          </cell>
          <cell r="H10">
            <v>321.77621000000005</v>
          </cell>
          <cell r="I10">
            <v>12871.048400000001</v>
          </cell>
          <cell r="J10">
            <v>0</v>
          </cell>
          <cell r="K10">
            <v>0</v>
          </cell>
          <cell r="L10">
            <v>0</v>
          </cell>
          <cell r="M10">
            <v>0</v>
          </cell>
        </row>
        <row r="11">
          <cell r="A11" t="str">
            <v>COMP_009</v>
          </cell>
          <cell r="B11" t="str">
            <v>EXECUÇÃO DE GUARITA EM CANTEIRO DE OBRA EM CHAPA DE MADEIRA COMPENSADA , NÃO INCLUSO MOBILIÁRIO</v>
          </cell>
          <cell r="C11" t="str">
            <v>M2</v>
          </cell>
          <cell r="D11">
            <v>6.25</v>
          </cell>
          <cell r="E11" t="str">
            <v>93585</v>
          </cell>
          <cell r="F11" t="str">
            <v>SINAPI – 10/17</v>
          </cell>
          <cell r="G11">
            <v>495.85</v>
          </cell>
          <cell r="H11">
            <v>631.21705000000009</v>
          </cell>
          <cell r="I11">
            <v>3945.1065625000006</v>
          </cell>
          <cell r="J11">
            <v>0</v>
          </cell>
          <cell r="K11">
            <v>0</v>
          </cell>
          <cell r="L11">
            <v>0</v>
          </cell>
          <cell r="M11">
            <v>0</v>
          </cell>
        </row>
        <row r="12">
          <cell r="A12" t="str">
            <v>COMP_010</v>
          </cell>
          <cell r="B12" t="str">
            <v>CONE PLÁSTICO PARA CANALIZAÇÃO DE TRÂNSITO - UITILIZAÇÃO DE 5 VEZES</v>
          </cell>
          <cell r="C12" t="str">
            <v>UNID</v>
          </cell>
          <cell r="D12">
            <v>40</v>
          </cell>
          <cell r="E12" t="str">
            <v>5213835</v>
          </cell>
          <cell r="F12" t="str">
            <v>SICRO II – 05/17</v>
          </cell>
          <cell r="G12">
            <v>5.53</v>
          </cell>
          <cell r="H12">
            <v>7.0396900000000011</v>
          </cell>
          <cell r="I12">
            <v>281.58760000000007</v>
          </cell>
          <cell r="J12">
            <v>0</v>
          </cell>
          <cell r="K12">
            <v>0</v>
          </cell>
          <cell r="L12">
            <v>0</v>
          </cell>
          <cell r="M12">
            <v>0</v>
          </cell>
        </row>
        <row r="13">
          <cell r="A13" t="str">
            <v>COMP_011</v>
          </cell>
          <cell r="B13" t="str">
            <v>OPERAÇÃO DE SINALIZAÇÃO POR BANDEIROLA DE TECIDO OU COM PLACA METÁLICA</v>
          </cell>
          <cell r="C13" t="str">
            <v>h</v>
          </cell>
          <cell r="D13">
            <v>17600</v>
          </cell>
          <cell r="E13" t="str">
            <v>5213850</v>
          </cell>
          <cell r="F13" t="str">
            <v>SICRO II – 05/17</v>
          </cell>
          <cell r="G13">
            <v>13.88</v>
          </cell>
          <cell r="H13">
            <v>17.669240000000002</v>
          </cell>
          <cell r="I13">
            <v>310978.62400000001</v>
          </cell>
          <cell r="J13">
            <v>0</v>
          </cell>
          <cell r="K13">
            <v>0</v>
          </cell>
          <cell r="L13">
            <v>0</v>
          </cell>
          <cell r="M13">
            <v>0</v>
          </cell>
        </row>
        <row r="14">
          <cell r="A14" t="str">
            <v>COMP_012</v>
          </cell>
          <cell r="B14" t="str">
            <v>ISOLAMENTO DE OBRA COM TELA PLASTICA COM MALHA DE 5MM E ESTRUTURA DE MADEIRA PONTALETEADA</v>
          </cell>
          <cell r="C14" t="str">
            <v>m2</v>
          </cell>
          <cell r="D14">
            <v>1180</v>
          </cell>
          <cell r="E14" t="str">
            <v>85424</v>
          </cell>
          <cell r="F14" t="str">
            <v>SINAPI – 10/17</v>
          </cell>
          <cell r="G14">
            <v>18.940000000000001</v>
          </cell>
          <cell r="H14">
            <v>24.110620000000004</v>
          </cell>
          <cell r="I14">
            <v>28450.531600000006</v>
          </cell>
          <cell r="J14">
            <v>0</v>
          </cell>
          <cell r="K14">
            <v>0</v>
          </cell>
          <cell r="L14">
            <v>0</v>
          </cell>
          <cell r="M14">
            <v>0</v>
          </cell>
        </row>
        <row r="15">
          <cell r="A15" t="str">
            <v>COMP_013</v>
          </cell>
          <cell r="B15" t="str">
            <v xml:space="preserve"> MOBILIZACAO E INSTALACAO DE 01 EQUIPAMENTO DE SONDAGEM, DISTANCIA ACIMA DE 20KM</v>
          </cell>
          <cell r="C15" t="str">
            <v>UNID</v>
          </cell>
          <cell r="D15">
            <v>0</v>
          </cell>
          <cell r="E15" t="str">
            <v>72733</v>
          </cell>
          <cell r="F15" t="str">
            <v>SINAPI – 10/17</v>
          </cell>
          <cell r="G15">
            <v>850.21</v>
          </cell>
          <cell r="H15">
            <v>1082.3173300000001</v>
          </cell>
          <cell r="I15">
            <v>0</v>
          </cell>
          <cell r="J15">
            <v>0</v>
          </cell>
          <cell r="K15">
            <v>0</v>
          </cell>
          <cell r="L15">
            <v>0</v>
          </cell>
          <cell r="M15">
            <v>0</v>
          </cell>
        </row>
        <row r="16">
          <cell r="A16" t="str">
            <v>COMP_014</v>
          </cell>
          <cell r="B16" t="str">
            <v>ENGENHEIRO CIVIL DE OBRA PLENO COM ENCARGOS COMPLEMENTARES</v>
          </cell>
          <cell r="C16" t="str">
            <v>MÊS</v>
          </cell>
          <cell r="D16">
            <v>14</v>
          </cell>
          <cell r="E16" t="str">
            <v>93567</v>
          </cell>
          <cell r="F16" t="str">
            <v>SINAPI – 10/17</v>
          </cell>
          <cell r="G16">
            <v>15348.26</v>
          </cell>
          <cell r="H16">
            <v>19538.334980000003</v>
          </cell>
          <cell r="I16">
            <v>273536.68972000002</v>
          </cell>
          <cell r="J16">
            <v>0</v>
          </cell>
          <cell r="K16">
            <v>0</v>
          </cell>
          <cell r="L16">
            <v>0</v>
          </cell>
          <cell r="M16">
            <v>0</v>
          </cell>
        </row>
        <row r="17">
          <cell r="A17" t="str">
            <v>COMP_015</v>
          </cell>
          <cell r="B17" t="str">
            <v>LOCAÇÃO DE OBRA, COM USO DE EQUIPAMENTO TOPOGRAFICO, INCLUSIVE NIVELADOR</v>
          </cell>
          <cell r="C17" t="str">
            <v>M2</v>
          </cell>
          <cell r="D17">
            <v>39136.696000000004</v>
          </cell>
          <cell r="E17" t="str">
            <v>73686</v>
          </cell>
          <cell r="F17" t="str">
            <v>SINAPI – 10/17</v>
          </cell>
          <cell r="G17">
            <v>18.73</v>
          </cell>
          <cell r="H17">
            <v>23.843290000000003</v>
          </cell>
          <cell r="I17">
            <v>933147.59236984025</v>
          </cell>
          <cell r="J17">
            <v>0</v>
          </cell>
          <cell r="K17">
            <v>0</v>
          </cell>
          <cell r="L17">
            <v>0</v>
          </cell>
          <cell r="M17">
            <v>0</v>
          </cell>
        </row>
        <row r="18">
          <cell r="A18" t="str">
            <v>COMP_016</v>
          </cell>
          <cell r="B18" t="str">
            <v>DESMATAMENTO E LIMPEZA MECANIZADA DE TERRENO COM ARVORES ATE Ø 15CM, U M2 CR 0,44 TILIZANDO TRATOR DE ESTEIRAS</v>
          </cell>
          <cell r="C18" t="str">
            <v>M2</v>
          </cell>
          <cell r="D18">
            <v>15942.5</v>
          </cell>
          <cell r="E18" t="str">
            <v>73672</v>
          </cell>
          <cell r="F18" t="str">
            <v>SINAPI – 10/17</v>
          </cell>
          <cell r="G18">
            <v>0.35</v>
          </cell>
          <cell r="H18">
            <v>0.44555</v>
          </cell>
          <cell r="I18">
            <v>7103.180875</v>
          </cell>
          <cell r="J18">
            <v>0</v>
          </cell>
          <cell r="K18">
            <v>0</v>
          </cell>
          <cell r="L18">
            <v>0</v>
          </cell>
          <cell r="M18">
            <v>0</v>
          </cell>
        </row>
        <row r="19">
          <cell r="A19" t="str">
            <v>COMP_017</v>
          </cell>
          <cell r="B19" t="str">
            <v>PODA DE ÁRVORES COM LIMPEZA DE GALHOS SECOS E RETIRADA DE PARASITAS, INCLUINDO REMOÇÃO E ENTULHO</v>
          </cell>
          <cell r="C19" t="str">
            <v>UNID</v>
          </cell>
          <cell r="D19">
            <v>45</v>
          </cell>
          <cell r="E19" t="str">
            <v>85186</v>
          </cell>
          <cell r="F19" t="str">
            <v>SINAPI – 10/17</v>
          </cell>
          <cell r="G19">
            <v>74.31</v>
          </cell>
          <cell r="H19">
            <v>94.596630000000019</v>
          </cell>
          <cell r="I19">
            <v>4256.8483500000011</v>
          </cell>
          <cell r="J19">
            <v>0</v>
          </cell>
          <cell r="K19">
            <v>0</v>
          </cell>
          <cell r="L19">
            <v>0</v>
          </cell>
          <cell r="M19">
            <v>0</v>
          </cell>
        </row>
        <row r="20">
          <cell r="A20" t="str">
            <v>COMP_018</v>
          </cell>
          <cell r="B20" t="str">
            <v>LIMPEZA MECANIZADA DE TERRENO COM REMOCAO DE CAMADA VEGETAL, UTILIZAND</v>
          </cell>
          <cell r="C20" t="str">
            <v>M2</v>
          </cell>
          <cell r="D20">
            <v>0</v>
          </cell>
          <cell r="E20" t="str">
            <v>73822/002</v>
          </cell>
          <cell r="F20" t="str">
            <v>SINAPI – 10/17</v>
          </cell>
          <cell r="G20">
            <v>0.53</v>
          </cell>
          <cell r="H20">
            <v>0.67469000000000012</v>
          </cell>
          <cell r="I20">
            <v>0</v>
          </cell>
          <cell r="J20">
            <v>0</v>
          </cell>
          <cell r="K20">
            <v>0</v>
          </cell>
          <cell r="L20">
            <v>0</v>
          </cell>
          <cell r="M20">
            <v>0</v>
          </cell>
        </row>
        <row r="21">
          <cell r="A21" t="str">
            <v>COMP_019</v>
          </cell>
          <cell r="B21" t="str">
            <v>CARGA E DESCARGA MECANICA DE SOLO UTILIZANDO CAMINHAO BASCULANTE 6,0M3 /16T E PA CARREGADEIRA SOBRE PNEUS 128 HP, CAPACIDADE DA CAÇAMBA 1,7 A 2,8 M3, PESO OPERACIONAL 11632 KG</v>
          </cell>
          <cell r="C21" t="str">
            <v>M3</v>
          </cell>
          <cell r="D21">
            <v>111728.20970000001</v>
          </cell>
          <cell r="E21" t="str">
            <v>74010/001</v>
          </cell>
          <cell r="F21" t="str">
            <v>SINAPI – 10/17</v>
          </cell>
          <cell r="G21">
            <v>1.71</v>
          </cell>
          <cell r="H21">
            <v>2.1768300000000003</v>
          </cell>
          <cell r="I21">
            <v>243213.31872125104</v>
          </cell>
          <cell r="J21">
            <v>0</v>
          </cell>
        </row>
        <row r="22">
          <cell r="A22" t="str">
            <v>COMP_020</v>
          </cell>
          <cell r="B22" t="str">
            <v>TRANSPORTE COM CAMINHÃO BASCULANTE 6 M3 EM RODOVIA PAVIMENTADA ( PARA DISTÂNCIAS SUPERIORES A 4 KM)</v>
          </cell>
          <cell r="C22" t="str">
            <v>M3xKm</v>
          </cell>
          <cell r="D22">
            <v>1546172.2598000003</v>
          </cell>
          <cell r="E22" t="str">
            <v>95302</v>
          </cell>
          <cell r="F22" t="str">
            <v>SINAPI – 10/17</v>
          </cell>
          <cell r="G22">
            <v>1.41</v>
          </cell>
          <cell r="H22">
            <v>1.7949300000000001</v>
          </cell>
          <cell r="I22">
            <v>2775270.9742828147</v>
          </cell>
          <cell r="J22">
            <v>0</v>
          </cell>
          <cell r="K22">
            <v>0</v>
          </cell>
          <cell r="L22">
            <v>0</v>
          </cell>
          <cell r="M22">
            <v>0</v>
          </cell>
        </row>
        <row r="23">
          <cell r="A23" t="str">
            <v>COMP_021</v>
          </cell>
          <cell r="B23" t="str">
            <v>ESPALHAMENTO DE MATERIAL EM BOTA FORA, COM UTILIZACAO DE TRATOR DE ESTEIRAS DE 165 HP</v>
          </cell>
          <cell r="C23" t="str">
            <v>m3</v>
          </cell>
          <cell r="D23">
            <v>111728.20720000002</v>
          </cell>
          <cell r="E23" t="str">
            <v>83344</v>
          </cell>
          <cell r="F23" t="str">
            <v>SINAPI – 10/17</v>
          </cell>
          <cell r="G23">
            <v>0.82</v>
          </cell>
          <cell r="H23">
            <v>1.04386</v>
          </cell>
          <cell r="I23">
            <v>116628.60636779202</v>
          </cell>
          <cell r="J23">
            <v>0</v>
          </cell>
          <cell r="K23">
            <v>0</v>
          </cell>
          <cell r="L23">
            <v>0</v>
          </cell>
          <cell r="M23">
            <v>0</v>
          </cell>
        </row>
        <row r="24">
          <cell r="A24" t="str">
            <v>COMP_022</v>
          </cell>
          <cell r="B24">
            <v>0</v>
          </cell>
          <cell r="C24">
            <v>0</v>
          </cell>
          <cell r="D24">
            <v>0</v>
          </cell>
          <cell r="E24">
            <v>0</v>
          </cell>
          <cell r="F24">
            <v>0</v>
          </cell>
          <cell r="G24">
            <v>0</v>
          </cell>
          <cell r="H24">
            <v>0</v>
          </cell>
          <cell r="I24">
            <v>0</v>
          </cell>
          <cell r="J24">
            <v>0</v>
          </cell>
          <cell r="K24">
            <v>0</v>
          </cell>
          <cell r="L24">
            <v>0</v>
          </cell>
          <cell r="M24">
            <v>0</v>
          </cell>
        </row>
        <row r="25">
          <cell r="A25" t="str">
            <v>COMP_023</v>
          </cell>
          <cell r="B25" t="str">
            <v>REMOCAO DE BLOKRET COM EMPILHAMENTO</v>
          </cell>
          <cell r="C25" t="str">
            <v>M2</v>
          </cell>
          <cell r="D25">
            <v>918</v>
          </cell>
          <cell r="E25" t="str">
            <v>85375</v>
          </cell>
          <cell r="F25" t="str">
            <v>SINAPI – 10/17</v>
          </cell>
          <cell r="G25">
            <v>9.76</v>
          </cell>
          <cell r="H25">
            <v>12.424480000000001</v>
          </cell>
          <cell r="I25">
            <v>11405.672640000001</v>
          </cell>
          <cell r="J25">
            <v>0</v>
          </cell>
          <cell r="K25">
            <v>0</v>
          </cell>
          <cell r="L25">
            <v>0</v>
          </cell>
          <cell r="M25">
            <v>0</v>
          </cell>
        </row>
        <row r="26">
          <cell r="A26" t="str">
            <v>COMP_024</v>
          </cell>
          <cell r="B26" t="str">
            <v>DEMOLIÇÃO DE PAVIMENTAÇÃO ASFÁLTICA COM UTILIZAÇÃO DE MARTELO PERFURADOR, ESPESSURA ATÉ 15 CM, EXCLUSIVE CARGA E TRANSPORTE</v>
          </cell>
          <cell r="C26" t="str">
            <v>M2</v>
          </cell>
          <cell r="D26">
            <v>1420.5</v>
          </cell>
          <cell r="E26" t="str">
            <v>92970</v>
          </cell>
          <cell r="F26" t="str">
            <v>SINAPI – 10/17</v>
          </cell>
          <cell r="G26">
            <v>12.07</v>
          </cell>
          <cell r="H26">
            <v>15.365110000000001</v>
          </cell>
          <cell r="I26">
            <v>21826.138755000004</v>
          </cell>
          <cell r="J26">
            <v>0</v>
          </cell>
          <cell r="K26">
            <v>0</v>
          </cell>
          <cell r="L26">
            <v>0</v>
          </cell>
          <cell r="M26">
            <v>0</v>
          </cell>
        </row>
        <row r="27">
          <cell r="A27" t="str">
            <v>COMP_025</v>
          </cell>
          <cell r="B27" t="str">
            <v>ESCAVACAO MECANICA DE VALAS (SOLO COM AGUA), PROFUNDIDADE MAIOR QUE 4,00 M ATE 6,00 M.</v>
          </cell>
          <cell r="C27" t="str">
            <v>M3</v>
          </cell>
          <cell r="D27">
            <v>77215.094000000012</v>
          </cell>
          <cell r="E27">
            <v>83343</v>
          </cell>
          <cell r="F27" t="str">
            <v>SINAPI – 10/17</v>
          </cell>
          <cell r="G27">
            <v>13.07</v>
          </cell>
          <cell r="H27">
            <v>16.638110000000001</v>
          </cell>
          <cell r="I27">
            <v>1284713.2276323403</v>
          </cell>
          <cell r="J27">
            <v>0</v>
          </cell>
          <cell r="K27">
            <v>0</v>
          </cell>
          <cell r="L27">
            <v>0</v>
          </cell>
          <cell r="M27">
            <v>0</v>
          </cell>
        </row>
        <row r="28">
          <cell r="A28" t="str">
            <v>COMP_026</v>
          </cell>
          <cell r="B28" t="str">
            <v>ESCAVAÇÃO DE VALA EM MATERIAL DE 3ª CATEGORIA - RESISTÊNCIA A COMPRESSÃO ACIMA DE 110 MPA - COM ESCAVADEIRA E ROMPEDOR HIDRÁULICO 1.700 KG</v>
          </cell>
          <cell r="C28" t="str">
            <v>M3</v>
          </cell>
          <cell r="D28">
            <v>2220</v>
          </cell>
          <cell r="E28" t="str">
            <v>5502972</v>
          </cell>
          <cell r="F28" t="str">
            <v>SICRO II – 05/17</v>
          </cell>
          <cell r="G28">
            <v>209.19</v>
          </cell>
          <cell r="H28">
            <v>266.29887000000002</v>
          </cell>
          <cell r="I28">
            <v>591183.49140000006</v>
          </cell>
          <cell r="J28">
            <v>0</v>
          </cell>
        </row>
        <row r="29">
          <cell r="A29" t="str">
            <v>COMP_027</v>
          </cell>
          <cell r="B29" t="str">
            <v>ARGILA OU BARRO PARA ATERRO/REATERRO (RETIRADO NA JAZIDA, SEM TRANSPORTE)</v>
          </cell>
          <cell r="C29" t="str">
            <v>M3</v>
          </cell>
          <cell r="D29">
            <v>51701.396000000008</v>
          </cell>
          <cell r="E29" t="str">
            <v>( I ) - 6077</v>
          </cell>
          <cell r="F29" t="str">
            <v>SINAPI – 10/17</v>
          </cell>
          <cell r="G29">
            <v>15.69</v>
          </cell>
          <cell r="H29">
            <v>19.973370000000003</v>
          </cell>
          <cell r="I29">
            <v>1032651.1118245203</v>
          </cell>
          <cell r="J29">
            <v>0</v>
          </cell>
          <cell r="K29">
            <v>0</v>
          </cell>
          <cell r="L29">
            <v>0</v>
          </cell>
          <cell r="M29">
            <v>0</v>
          </cell>
        </row>
        <row r="30">
          <cell r="A30" t="str">
            <v>COMP_028</v>
          </cell>
          <cell r="B30" t="str">
            <v>ESCAVACAO E CARGA MATERIAL 1A CATEGORIA, UTILIZANDO TRATOR DE ESTEIRAS DE 110 A 160HP COM LAMINA, PESO OPERACIONAL * 13T E PA CARREGADEIRA COM 170 HP.</v>
          </cell>
          <cell r="C30" t="str">
            <v>M3</v>
          </cell>
          <cell r="D30">
            <v>72995.8606</v>
          </cell>
          <cell r="E30" t="str">
            <v>74151</v>
          </cell>
          <cell r="F30" t="str">
            <v>SINAPI – 10/17</v>
          </cell>
          <cell r="G30">
            <v>3.09</v>
          </cell>
          <cell r="H30">
            <v>3.93357</v>
          </cell>
          <cell r="I30">
            <v>287134.327380342</v>
          </cell>
          <cell r="J30">
            <v>0</v>
          </cell>
        </row>
        <row r="31">
          <cell r="A31" t="str">
            <v>COMP_029</v>
          </cell>
          <cell r="B31" t="str">
            <v>ESPALHAMENTO DE MATERIAL DE 1A CATEGORIA COM TRATOR DE ESTEIRA COM 153HP</v>
          </cell>
          <cell r="C31" t="str">
            <v>M3</v>
          </cell>
          <cell r="D31">
            <v>51701.396000000008</v>
          </cell>
          <cell r="E31" t="str">
            <v>74034/001</v>
          </cell>
          <cell r="F31" t="str">
            <v>SINAPI – 10/17</v>
          </cell>
          <cell r="G31">
            <v>1.63</v>
          </cell>
          <cell r="H31">
            <v>2.0749900000000001</v>
          </cell>
          <cell r="I31">
            <v>107279.87968604002</v>
          </cell>
          <cell r="J31">
            <v>0</v>
          </cell>
          <cell r="K31">
            <v>0</v>
          </cell>
          <cell r="L31">
            <v>0</v>
          </cell>
          <cell r="M31">
            <v>0</v>
          </cell>
        </row>
        <row r="32">
          <cell r="A32" t="str">
            <v>COMP_030</v>
          </cell>
          <cell r="B32" t="str">
            <v>EXECUÇÃO E COMPACTAÇÃO DE ATERRO COM SOLO PREDOMINANTEMENTE ARGILOSO - EXCLUSIVE ESCAVAÇÃO, CARGA E TRANSPORTE E SOLO. AF_09/2017</v>
          </cell>
          <cell r="C32" t="str">
            <v>M3</v>
          </cell>
          <cell r="D32">
            <v>51701.396000000008</v>
          </cell>
          <cell r="E32" t="str">
            <v>96385</v>
          </cell>
          <cell r="F32" t="str">
            <v>SINAPI – 10/17</v>
          </cell>
          <cell r="G32">
            <v>5.65</v>
          </cell>
          <cell r="H32">
            <v>7.1924500000000009</v>
          </cell>
          <cell r="I32">
            <v>371859.7056602001</v>
          </cell>
          <cell r="J32">
            <v>0</v>
          </cell>
          <cell r="K32">
            <v>0</v>
          </cell>
          <cell r="L32">
            <v>0</v>
          </cell>
          <cell r="M32">
            <v>0</v>
          </cell>
        </row>
        <row r="33">
          <cell r="A33" t="str">
            <v>COMP_031</v>
          </cell>
          <cell r="B33" t="str">
            <v>SERVIÇOS TOPOGRAFICOS PARA PAVIMENTAÇÃO, INCLUSIVE NOTA DE SERVIÇO, ACOMPANHAMENTO E GRAIDE</v>
          </cell>
          <cell r="C33" t="str">
            <v>M2</v>
          </cell>
          <cell r="D33">
            <v>10588.04</v>
          </cell>
          <cell r="E33" t="str">
            <v>78472</v>
          </cell>
          <cell r="F33" t="str">
            <v>SINAPI – 10/17</v>
          </cell>
          <cell r="G33">
            <v>0.31</v>
          </cell>
          <cell r="H33">
            <v>0.39463000000000004</v>
          </cell>
          <cell r="I33">
            <v>4178.3582252000006</v>
          </cell>
          <cell r="J33">
            <v>0</v>
          </cell>
          <cell r="K33">
            <v>0</v>
          </cell>
          <cell r="L33">
            <v>0</v>
          </cell>
          <cell r="M33">
            <v>0</v>
          </cell>
        </row>
        <row r="34">
          <cell r="A34" t="str">
            <v>COMP_032</v>
          </cell>
          <cell r="B34" t="str">
            <v>PEDREGULHO OU PICARRA DE JAZIDA, AO NATURAL, PARA BASE DE PAVIMENTACAO (RETIRADO NA JAZIDA, SEM TRANSPORTE)</v>
          </cell>
          <cell r="C34" t="str">
            <v>M3</v>
          </cell>
          <cell r="D34">
            <v>4449.2660000000005</v>
          </cell>
          <cell r="E34" t="str">
            <v>( I ) - 4746</v>
          </cell>
          <cell r="F34" t="str">
            <v>SINAPI – 10/17</v>
          </cell>
          <cell r="G34">
            <v>42.69</v>
          </cell>
          <cell r="H34">
            <v>54.344370000000005</v>
          </cell>
          <cell r="I34">
            <v>241792.55773242004</v>
          </cell>
          <cell r="J34">
            <v>0</v>
          </cell>
          <cell r="K34">
            <v>0</v>
          </cell>
          <cell r="L34">
            <v>0</v>
          </cell>
          <cell r="M34">
            <v>0</v>
          </cell>
        </row>
        <row r="35">
          <cell r="A35" t="str">
            <v>COMP_033</v>
          </cell>
          <cell r="B35" t="str">
            <v>REGULARIZACAO E COMPACTACAO DE SUBLEITO ATE 20 CM DE ESPESSURA</v>
          </cell>
          <cell r="C35" t="str">
            <v>M2</v>
          </cell>
          <cell r="D35">
            <v>10588.04</v>
          </cell>
          <cell r="E35" t="str">
            <v>72961</v>
          </cell>
          <cell r="F35" t="str">
            <v>SINAPI – 10/17</v>
          </cell>
          <cell r="G35">
            <v>1.29</v>
          </cell>
          <cell r="H35">
            <v>1.6421700000000001</v>
          </cell>
          <cell r="I35">
            <v>17387.361646800004</v>
          </cell>
          <cell r="J35">
            <v>0</v>
          </cell>
          <cell r="K35">
            <v>0</v>
          </cell>
          <cell r="L35">
            <v>0</v>
          </cell>
          <cell r="M35">
            <v>0</v>
          </cell>
        </row>
        <row r="36">
          <cell r="A36" t="str">
            <v>COMP_034</v>
          </cell>
          <cell r="B36" t="str">
            <v>EXECUÇÃO E COMPACTAÇÃO DE BASE E OU SUB BASE COM SOLO ESTABILIZADO GRANULOMETRICAMENTE - EXCLUSIVE ESCAVAÇÃO, CARGA E TRANSPORTE E SOLO. AF_09/2017</v>
          </cell>
          <cell r="C36" t="str">
            <v>M3</v>
          </cell>
          <cell r="D36">
            <v>4218.4160000000002</v>
          </cell>
          <cell r="E36" t="str">
            <v>96387</v>
          </cell>
          <cell r="F36" t="str">
            <v>SINAPI – 10/17</v>
          </cell>
          <cell r="G36">
            <v>7.15</v>
          </cell>
          <cell r="H36">
            <v>9.1019500000000022</v>
          </cell>
          <cell r="I36">
            <v>38395.811511200009</v>
          </cell>
          <cell r="J36">
            <v>0</v>
          </cell>
          <cell r="K36">
            <v>0</v>
          </cell>
          <cell r="L36">
            <v>0</v>
          </cell>
          <cell r="M36">
            <v>0</v>
          </cell>
        </row>
        <row r="37">
          <cell r="A37" t="str">
            <v>COMP_035</v>
          </cell>
          <cell r="B37" t="str">
            <v>EXECUÇÃO DE IMPRIMAÇÃO COM ASFALTO DILUÍDO CM-30. AF_09/2017</v>
          </cell>
          <cell r="C37" t="str">
            <v>M2</v>
          </cell>
          <cell r="D37">
            <v>10588.04</v>
          </cell>
          <cell r="E37" t="str">
            <v>96401</v>
          </cell>
          <cell r="F37" t="str">
            <v>SINAPI – 10/17</v>
          </cell>
          <cell r="G37">
            <v>4.2</v>
          </cell>
          <cell r="H37">
            <v>5.3466000000000005</v>
          </cell>
          <cell r="I37">
            <v>56610.014664000009</v>
          </cell>
          <cell r="J37">
            <v>0</v>
          </cell>
          <cell r="K37">
            <v>0</v>
          </cell>
          <cell r="L37">
            <v>0</v>
          </cell>
          <cell r="M37">
            <v>0</v>
          </cell>
        </row>
        <row r="38">
          <cell r="A38" t="str">
            <v>COMP_036</v>
          </cell>
          <cell r="B38" t="str">
            <v>EXECUÇÃO DE IMPRIMAÇÃO LIGANTE COM EMULSÃO ASFÁLTICA RR-2C. AF_09/2017</v>
          </cell>
          <cell r="C38" t="str">
            <v>M2</v>
          </cell>
          <cell r="D38">
            <v>10588.04</v>
          </cell>
          <cell r="E38" t="str">
            <v>96402</v>
          </cell>
          <cell r="F38" t="str">
            <v>SINAPI – 10/17</v>
          </cell>
          <cell r="G38">
            <v>2.74</v>
          </cell>
          <cell r="H38">
            <v>3.4880200000000006</v>
          </cell>
          <cell r="I38">
            <v>36931.295280800012</v>
          </cell>
          <cell r="J38">
            <v>0</v>
          </cell>
          <cell r="K38">
            <v>0</v>
          </cell>
          <cell r="L38">
            <v>0</v>
          </cell>
          <cell r="M38">
            <v>0</v>
          </cell>
        </row>
        <row r="39">
          <cell r="A39" t="str">
            <v>COMP_037</v>
          </cell>
          <cell r="B39" t="str">
            <v>CONSTRUÇÃO DE PAVIMENTO COM APLICAÇÃO DE CONCRETO BETUMINOSO USINADO A QUENTE (CBUQ), CAMADA DE ROLAMENTO, COM ESPESSURA DE 5,0 CM EXCLUSIVE TRANSPORTE</v>
          </cell>
          <cell r="C39" t="str">
            <v>M3</v>
          </cell>
          <cell r="D39">
            <v>586.90200000000004</v>
          </cell>
          <cell r="E39" t="str">
            <v>95990</v>
          </cell>
          <cell r="F39" t="str">
            <v>SINAPI – 10/17</v>
          </cell>
          <cell r="G39">
            <v>692.32</v>
          </cell>
          <cell r="H39">
            <v>881.32336000000021</v>
          </cell>
          <cell r="I39">
            <v>517250.44263072015</v>
          </cell>
          <cell r="J39">
            <v>0</v>
          </cell>
          <cell r="K39">
            <v>0</v>
          </cell>
          <cell r="L39">
            <v>0</v>
          </cell>
          <cell r="M39">
            <v>0</v>
          </cell>
        </row>
        <row r="40">
          <cell r="A40" t="str">
            <v>COMP_038</v>
          </cell>
          <cell r="B40" t="str">
            <v>TRANSPORTE COM CAMINHÃO BASCULANTE 10 M3 DE MASSA ASFALTICA PARA PAVIMENTAÇÃO URBANA</v>
          </cell>
          <cell r="C40" t="str">
            <v>M3</v>
          </cell>
          <cell r="D40">
            <v>58690.200000000004</v>
          </cell>
          <cell r="E40" t="str">
            <v>95303</v>
          </cell>
          <cell r="F40" t="str">
            <v>SINAPI – 10/17</v>
          </cell>
          <cell r="G40">
            <v>0.96</v>
          </cell>
          <cell r="H40">
            <v>1.2220800000000001</v>
          </cell>
          <cell r="I40">
            <v>71724.119616000011</v>
          </cell>
          <cell r="J40">
            <v>0</v>
          </cell>
          <cell r="K40">
            <v>0</v>
          </cell>
          <cell r="L40">
            <v>0</v>
          </cell>
          <cell r="M40">
            <v>0</v>
          </cell>
        </row>
        <row r="41">
          <cell r="A41" t="str">
            <v>COMP_039</v>
          </cell>
          <cell r="B41" t="str">
            <v>EXECUÇÃO DE PASSEIO (CALÇADA) OU PISO DE CONCRETO COM CONCRETO MOLDADO IN LOCO, USINADO, ACABAMENTO CONVENCIONAL, ESPESSURA 10 CM, ARMADO._07/2016</v>
          </cell>
          <cell r="C41" t="str">
            <v>M2</v>
          </cell>
          <cell r="D41">
            <v>8603.43</v>
          </cell>
          <cell r="E41" t="str">
            <v>94997</v>
          </cell>
          <cell r="F41" t="str">
            <v>SINAPI – 10/17</v>
          </cell>
          <cell r="G41">
            <v>63.55</v>
          </cell>
          <cell r="H41">
            <v>80.899150000000006</v>
          </cell>
          <cell r="I41">
            <v>696010.17408450006</v>
          </cell>
          <cell r="J41">
            <v>0</v>
          </cell>
          <cell r="K41">
            <v>0</v>
          </cell>
          <cell r="L41">
            <v>0</v>
          </cell>
          <cell r="M41">
            <v>0</v>
          </cell>
        </row>
        <row r="42">
          <cell r="A42" t="str">
            <v>COMP_040</v>
          </cell>
          <cell r="B42" t="str">
            <v>ENSAIOS DE BASE ESTABILIZADA GRANULOMETRICAMENTE</v>
          </cell>
          <cell r="C42" t="str">
            <v>M3</v>
          </cell>
          <cell r="D42">
            <v>4218.4160000000002</v>
          </cell>
          <cell r="E42" t="str">
            <v>74021/006</v>
          </cell>
          <cell r="F42" t="str">
            <v>SINAPI – 10/17</v>
          </cell>
          <cell r="G42">
            <v>1.79</v>
          </cell>
          <cell r="H42">
            <v>2.2786700000000004</v>
          </cell>
          <cell r="I42">
            <v>9612.3779867200028</v>
          </cell>
          <cell r="J42">
            <v>0</v>
          </cell>
          <cell r="K42">
            <v>0</v>
          </cell>
          <cell r="L42">
            <v>0</v>
          </cell>
          <cell r="M42">
            <v>0</v>
          </cell>
        </row>
        <row r="43">
          <cell r="A43" t="str">
            <v>COMP_041</v>
          </cell>
          <cell r="B43" t="str">
            <v>ENSAIO DE TERRAPLENAGEM - CAMADA FINAL DO ATERRO</v>
          </cell>
          <cell r="C43" t="str">
            <v>M3</v>
          </cell>
          <cell r="D43">
            <v>0</v>
          </cell>
          <cell r="E43" t="str">
            <v>74021/002</v>
          </cell>
          <cell r="F43" t="str">
            <v>SINAPI – 10/17</v>
          </cell>
          <cell r="G43">
            <v>1.99</v>
          </cell>
          <cell r="H43">
            <v>2.5332700000000004</v>
          </cell>
          <cell r="I43">
            <v>0</v>
          </cell>
          <cell r="J43">
            <v>0</v>
          </cell>
          <cell r="K43">
            <v>0</v>
          </cell>
          <cell r="L43">
            <v>0</v>
          </cell>
          <cell r="M43">
            <v>0</v>
          </cell>
        </row>
        <row r="44">
          <cell r="A44" t="str">
            <v>COMP_042</v>
          </cell>
          <cell r="B44" t="str">
            <v>ENSAIOS DE REGULARIZACAO DO SUBLEITO</v>
          </cell>
          <cell r="C44" t="str">
            <v>M2</v>
          </cell>
          <cell r="D44">
            <v>10588.04</v>
          </cell>
          <cell r="E44" t="str">
            <v>74021/003</v>
          </cell>
          <cell r="F44" t="str">
            <v>SINAPI – 10/17</v>
          </cell>
          <cell r="G44">
            <v>0.91</v>
          </cell>
          <cell r="H44">
            <v>1.1584300000000001</v>
          </cell>
          <cell r="I44">
            <v>12265.503177200002</v>
          </cell>
          <cell r="J44">
            <v>0</v>
          </cell>
          <cell r="K44">
            <v>0</v>
          </cell>
          <cell r="L44">
            <v>0</v>
          </cell>
          <cell r="M44">
            <v>0</v>
          </cell>
        </row>
        <row r="45">
          <cell r="A45" t="str">
            <v>COMP_043</v>
          </cell>
          <cell r="B45" t="str">
            <v>ENSAIOS DE CONCRETO ASFALTICO</v>
          </cell>
          <cell r="C45" t="str">
            <v>T</v>
          </cell>
          <cell r="D45">
            <v>1408.5648000000001</v>
          </cell>
          <cell r="E45" t="str">
            <v>73900/012</v>
          </cell>
          <cell r="F45" t="str">
            <v>SINAPI – 10/17</v>
          </cell>
          <cell r="G45">
            <v>53.29</v>
          </cell>
          <cell r="H45">
            <v>67.838170000000005</v>
          </cell>
          <cell r="I45">
            <v>95554.458358416014</v>
          </cell>
          <cell r="J45">
            <v>0</v>
          </cell>
          <cell r="K45">
            <v>0</v>
          </cell>
          <cell r="L45">
            <v>0</v>
          </cell>
          <cell r="M45">
            <v>0</v>
          </cell>
        </row>
        <row r="46">
          <cell r="A46" t="str">
            <v>COMP_044</v>
          </cell>
          <cell r="B46"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46" t="str">
            <v>M3</v>
          </cell>
          <cell r="D46">
            <v>831.06</v>
          </cell>
          <cell r="E46">
            <v>90084</v>
          </cell>
          <cell r="F46" t="str">
            <v>SINAPI – 10/17</v>
          </cell>
          <cell r="G46">
            <v>11.08</v>
          </cell>
          <cell r="H46">
            <v>14.104840000000001</v>
          </cell>
          <cell r="I46">
            <v>11721.968330400001</v>
          </cell>
          <cell r="J46">
            <v>0</v>
          </cell>
          <cell r="K46">
            <v>0</v>
          </cell>
          <cell r="L46">
            <v>0</v>
          </cell>
          <cell r="M46">
            <v>0</v>
          </cell>
        </row>
        <row r="47">
          <cell r="A47" t="str">
            <v>COMP_045</v>
          </cell>
          <cell r="B47" t="str">
            <v>PREPARO DE FUNDO DE VALA COM LARGURA MAIOR OU IGUAL A 1,5 M E MENOR QUE 2,5 M, EM LOCAL COM NÍVEL ALTO DE INTERFERÊNCIA. AF_06/2016</v>
          </cell>
          <cell r="C47" t="str">
            <v>M2</v>
          </cell>
          <cell r="D47">
            <v>437.40000000000003</v>
          </cell>
          <cell r="E47">
            <v>94100</v>
          </cell>
          <cell r="F47" t="str">
            <v>SINAPI – 10/17</v>
          </cell>
          <cell r="G47">
            <v>2.56</v>
          </cell>
          <cell r="H47">
            <v>3.2588800000000004</v>
          </cell>
          <cell r="I47">
            <v>1425.4341120000004</v>
          </cell>
          <cell r="J47">
            <v>0</v>
          </cell>
          <cell r="K47">
            <v>0</v>
          </cell>
          <cell r="L47">
            <v>0</v>
          </cell>
          <cell r="M47">
            <v>0</v>
          </cell>
        </row>
        <row r="48">
          <cell r="A48" t="str">
            <v>COMP_046</v>
          </cell>
          <cell r="B48" t="str">
            <v>LASTRO COM PREPARO DE FUNDO, LARGURA MAIOR OU IGUAL A 1,5 M, COM CAMAD DE AREIA, LANÇAMENTO MANUAL, EM LOCAL COM NÍVEL ALTO DE INTERFERÊNCIA</v>
          </cell>
          <cell r="C48" t="str">
            <v>M3</v>
          </cell>
          <cell r="D48">
            <v>87.48</v>
          </cell>
          <cell r="E48">
            <v>94108</v>
          </cell>
          <cell r="F48" t="str">
            <v>SINAPI – 10/17</v>
          </cell>
          <cell r="G48">
            <v>150.08000000000001</v>
          </cell>
          <cell r="H48">
            <v>191.05184000000003</v>
          </cell>
          <cell r="I48">
            <v>16713.214963200004</v>
          </cell>
          <cell r="J48">
            <v>0</v>
          </cell>
          <cell r="K48">
            <v>0</v>
          </cell>
          <cell r="L48">
            <v>0</v>
          </cell>
          <cell r="M48">
            <v>0</v>
          </cell>
        </row>
        <row r="49">
          <cell r="A49" t="str">
            <v>COMP_047</v>
          </cell>
          <cell r="B49" t="str">
            <v>ASSENTAMENTO DE TUBO DE CONCRETO PARA REDES COLETORAS DE ÁGUAS PLUVIAIS, DIÂMETRO DE 600 MM, JUNTA RÍGIDA, INSTALADO EM LOCAL COM ALTO NÍVEL DE INTERFERÊNCIAS (NÃO INCLUI FORNECIMENTO)</v>
          </cell>
          <cell r="C49" t="str">
            <v>M</v>
          </cell>
          <cell r="D49">
            <v>243</v>
          </cell>
          <cell r="E49">
            <v>92824</v>
          </cell>
          <cell r="F49" t="str">
            <v>SINAPI – 10/17</v>
          </cell>
          <cell r="G49">
            <v>64.040000000000006</v>
          </cell>
          <cell r="H49">
            <v>81.522920000000013</v>
          </cell>
          <cell r="I49">
            <v>19810.069560000004</v>
          </cell>
          <cell r="J49">
            <v>0</v>
          </cell>
          <cell r="K49">
            <v>0</v>
          </cell>
          <cell r="L49">
            <v>0</v>
          </cell>
          <cell r="M49">
            <v>0</v>
          </cell>
        </row>
        <row r="50">
          <cell r="A50" t="str">
            <v>COMP_048</v>
          </cell>
          <cell r="B50" t="str">
            <v xml:space="preserve">TUBO DE CONCRETO SIMPLES, CLASSE- PS2, PB, DN 600 MM, PARA AGUAS PLUVIAIS </v>
          </cell>
          <cell r="C50" t="str">
            <v>M</v>
          </cell>
          <cell r="D50">
            <v>243</v>
          </cell>
          <cell r="E50">
            <v>7793</v>
          </cell>
          <cell r="F50" t="str">
            <v>SINAPI – 10/17</v>
          </cell>
          <cell r="G50">
            <v>60.71</v>
          </cell>
          <cell r="H50">
            <v>77.283830000000009</v>
          </cell>
          <cell r="I50">
            <v>18779.970690000002</v>
          </cell>
          <cell r="J50">
            <v>0</v>
          </cell>
          <cell r="K50">
            <v>0</v>
          </cell>
          <cell r="L50">
            <v>0</v>
          </cell>
          <cell r="M50">
            <v>0</v>
          </cell>
        </row>
        <row r="51">
          <cell r="A51" t="str">
            <v>COMP_049</v>
          </cell>
          <cell r="B51" t="str">
            <v>ATERRO COM AREIA COM ADENSAMENTO HIDRAULICO - AREIA POSTO JAZIDA</v>
          </cell>
          <cell r="C51" t="str">
            <v>m3</v>
          </cell>
          <cell r="D51">
            <v>485.36819999999994</v>
          </cell>
          <cell r="E51">
            <v>79482</v>
          </cell>
          <cell r="F51" t="str">
            <v>SINAPI – 10/17</v>
          </cell>
          <cell r="G51">
            <v>78.61</v>
          </cell>
          <cell r="H51">
            <v>100.07053000000001</v>
          </cell>
          <cell r="I51">
            <v>48571.053019145998</v>
          </cell>
          <cell r="J51">
            <v>0</v>
          </cell>
          <cell r="K51">
            <v>0</v>
          </cell>
          <cell r="L51">
            <v>0</v>
          </cell>
          <cell r="M51">
            <v>0</v>
          </cell>
        </row>
        <row r="52">
          <cell r="A52" t="str">
            <v>COMP_050</v>
          </cell>
          <cell r="B52" t="str">
            <v>REATERRO DE VALA COM COMPACTAÇÃO MANUAL</v>
          </cell>
          <cell r="C52" t="str">
            <v>m3</v>
          </cell>
          <cell r="D52">
            <v>230.85</v>
          </cell>
          <cell r="E52" t="str">
            <v>73964/006</v>
          </cell>
          <cell r="F52" t="str">
            <v>SINAPI – 10/17</v>
          </cell>
          <cell r="G52">
            <v>36.630000000000003</v>
          </cell>
          <cell r="H52">
            <v>46.629990000000006</v>
          </cell>
          <cell r="I52">
            <v>10764.533191500001</v>
          </cell>
          <cell r="J52">
            <v>0</v>
          </cell>
          <cell r="K52">
            <v>0</v>
          </cell>
          <cell r="L52">
            <v>0</v>
          </cell>
          <cell r="M52">
            <v>0</v>
          </cell>
        </row>
        <row r="53">
          <cell r="A53" t="str">
            <v>COMP_051</v>
          </cell>
          <cell r="B53" t="str">
            <v>CARGA E DESCARGA MECANIZADAS DE ENTULHO EM CAMINHAO BASCULANTE 6 M3</v>
          </cell>
          <cell r="C53" t="str">
            <v>m3</v>
          </cell>
          <cell r="D53">
            <v>0</v>
          </cell>
          <cell r="E53">
            <v>72898</v>
          </cell>
          <cell r="F53" t="str">
            <v>SINAPI – 10/17</v>
          </cell>
          <cell r="G53">
            <v>3.91</v>
          </cell>
          <cell r="H53">
            <v>4.9774300000000009</v>
          </cell>
          <cell r="I53">
            <v>0</v>
          </cell>
          <cell r="J53">
            <v>0</v>
          </cell>
          <cell r="K53">
            <v>0</v>
          </cell>
          <cell r="L53">
            <v>0</v>
          </cell>
          <cell r="M53">
            <v>0</v>
          </cell>
        </row>
        <row r="54">
          <cell r="A54" t="str">
            <v>COMP_052</v>
          </cell>
          <cell r="B54" t="str">
            <v>BOCA DE LOBO EM ALVENARIA TIJOLO MACICO, REVESTIDA C/ ARGAMASSA DE CIMENTO E AREIA 1:3, SOBRE LASTRO DE CONCRETO 10CM E TAMPA DE CONCRETO ARADO</v>
          </cell>
          <cell r="C54" t="str">
            <v>UNID</v>
          </cell>
          <cell r="D54">
            <v>23</v>
          </cell>
          <cell r="E54">
            <v>83659</v>
          </cell>
          <cell r="F54" t="str">
            <v>SINAPI – 10/17</v>
          </cell>
          <cell r="G54">
            <v>626.77</v>
          </cell>
          <cell r="H54">
            <v>797.87821000000008</v>
          </cell>
          <cell r="I54">
            <v>18351.198830000001</v>
          </cell>
          <cell r="J54">
            <v>0</v>
          </cell>
          <cell r="K54">
            <v>0</v>
          </cell>
          <cell r="L54">
            <v>0</v>
          </cell>
          <cell r="M54">
            <v>0</v>
          </cell>
        </row>
        <row r="55">
          <cell r="A55" t="str">
            <v>COMP_053</v>
          </cell>
          <cell r="B55" t="str">
            <v>GUIA (MEIO-FIO) E SARJETA CONJUGADOS DE CONCRETO, MOLDADA IN LOCO EM TRECHO RETO COM EXTRUSORA, GUIA 13 CM BASE X 22 CM ALTURA, SARJETA 30CM BASE X 8,5 CM ALTURA. AF_06/2016</v>
          </cell>
          <cell r="C55" t="str">
            <v>M</v>
          </cell>
          <cell r="D55">
            <v>1672.566</v>
          </cell>
          <cell r="E55">
            <v>94267</v>
          </cell>
          <cell r="F55" t="str">
            <v>SINAPI – 10/17</v>
          </cell>
          <cell r="G55">
            <v>30.98</v>
          </cell>
          <cell r="H55">
            <v>39.437540000000006</v>
          </cell>
          <cell r="I55">
            <v>65961.888527640011</v>
          </cell>
          <cell r="J55">
            <v>0</v>
          </cell>
          <cell r="K55">
            <v>0</v>
          </cell>
          <cell r="L55">
            <v>0</v>
          </cell>
          <cell r="M55">
            <v>0</v>
          </cell>
        </row>
        <row r="56">
          <cell r="A56" t="str">
            <v>COMP_054</v>
          </cell>
          <cell r="B56" t="str">
            <v>SINALIZACAO HORIZONTAL COM TINTA RETRORREFLETIVA A BASE DE RESINA ACRILICA COM MICROESFERAS DE VIDRO</v>
          </cell>
          <cell r="C56" t="str">
            <v>M2</v>
          </cell>
          <cell r="D56">
            <v>354.16980000000007</v>
          </cell>
          <cell r="E56">
            <v>72947</v>
          </cell>
          <cell r="F56" t="str">
            <v>SINAPI – 10/17</v>
          </cell>
          <cell r="G56">
            <v>20.56</v>
          </cell>
          <cell r="H56">
            <v>26.172880000000003</v>
          </cell>
          <cell r="I56">
            <v>9269.6436750240027</v>
          </cell>
          <cell r="J56">
            <v>0</v>
          </cell>
          <cell r="K56">
            <v>0</v>
          </cell>
          <cell r="L56">
            <v>0</v>
          </cell>
          <cell r="M56">
            <v>0</v>
          </cell>
        </row>
        <row r="57">
          <cell r="A57" t="str">
            <v>COMP_055</v>
          </cell>
          <cell r="B57" t="str">
            <v>CAIACAO EM MEIO FIO</v>
          </cell>
          <cell r="C57" t="str">
            <v>M2</v>
          </cell>
          <cell r="D57">
            <v>773.03150000000005</v>
          </cell>
          <cell r="E57">
            <v>83693</v>
          </cell>
          <cell r="F57" t="str">
            <v>SINAPI – 10/17</v>
          </cell>
          <cell r="G57">
            <v>2.88</v>
          </cell>
          <cell r="H57">
            <v>3.6662400000000002</v>
          </cell>
          <cell r="I57">
            <v>2834.1190065600003</v>
          </cell>
          <cell r="J57">
            <v>0</v>
          </cell>
          <cell r="K57">
            <v>0</v>
          </cell>
          <cell r="L57">
            <v>0</v>
          </cell>
          <cell r="M57">
            <v>0</v>
          </cell>
        </row>
        <row r="58">
          <cell r="A58" t="str">
            <v>COMP_056</v>
          </cell>
          <cell r="B58" t="str">
            <v>PLACA ESMALTADA PARA IDENTIFICAÇÃO NR DE RUA, DIMENSÕES 45X25CM</v>
          </cell>
          <cell r="C58" t="str">
            <v>UNID</v>
          </cell>
          <cell r="D58">
            <v>13</v>
          </cell>
          <cell r="E58" t="str">
            <v>73916/2</v>
          </cell>
          <cell r="F58" t="str">
            <v>SINAPI – 10/17</v>
          </cell>
          <cell r="G58">
            <v>79.53</v>
          </cell>
          <cell r="H58">
            <v>101.24169000000001</v>
          </cell>
          <cell r="I58">
            <v>1316.1419700000001</v>
          </cell>
          <cell r="J58">
            <v>0</v>
          </cell>
          <cell r="K58">
            <v>0</v>
          </cell>
          <cell r="L58">
            <v>0</v>
          </cell>
          <cell r="M58">
            <v>0</v>
          </cell>
        </row>
        <row r="59">
          <cell r="A59" t="str">
            <v>COMP_057</v>
          </cell>
          <cell r="B59" t="str">
            <v>ESTACAS DUPLO TRILHO TR 37 - COM EMENDA - FORNECIMENTO E CRAVAÇÃO</v>
          </cell>
          <cell r="C59" t="str">
            <v>M</v>
          </cell>
          <cell r="D59">
            <v>1344</v>
          </cell>
          <cell r="E59">
            <v>2306115</v>
          </cell>
          <cell r="F59" t="str">
            <v>SICRO II – 05/17</v>
          </cell>
          <cell r="G59">
            <v>398.6</v>
          </cell>
          <cell r="H59">
            <v>507.41780000000006</v>
          </cell>
          <cell r="I59">
            <v>681969.52320000005</v>
          </cell>
          <cell r="J59">
            <v>0</v>
          </cell>
          <cell r="K59">
            <v>0</v>
          </cell>
          <cell r="L59">
            <v>0</v>
          </cell>
          <cell r="M59">
            <v>0</v>
          </cell>
        </row>
        <row r="60">
          <cell r="A60" t="str">
            <v>COMP_058</v>
          </cell>
          <cell r="B60" t="str">
            <v>MONTAGEM E DESMONTAGEM DE FÔRMA DE PILARES RETANGULARES E ESTRUTURAS SIMILARES COM ÁREA MÉDIA DAS SEÇÕES MAIOR QUE 0,25 M2, PÉ-DIREITO SIMPLES, EM MADEIRA SERRADA, 2 UTILIZAÇÕES. AF_12/2015</v>
          </cell>
          <cell r="C60" t="str">
            <v>M2</v>
          </cell>
          <cell r="D60">
            <v>8199.0560000000005</v>
          </cell>
          <cell r="E60">
            <v>92411</v>
          </cell>
          <cell r="F60" t="str">
            <v>SINAPI – 10/17</v>
          </cell>
          <cell r="G60">
            <v>96.64</v>
          </cell>
          <cell r="H60">
            <v>123.02272000000001</v>
          </cell>
          <cell r="I60">
            <v>1008670.1705523201</v>
          </cell>
          <cell r="J60">
            <v>0</v>
          </cell>
          <cell r="K60">
            <v>0</v>
          </cell>
          <cell r="L60">
            <v>0</v>
          </cell>
          <cell r="M60">
            <v>0</v>
          </cell>
        </row>
        <row r="61">
          <cell r="A61" t="str">
            <v>COMP_059</v>
          </cell>
          <cell r="B61" t="str">
            <v>FORNE, CORTE E DOBRA E ARMAÇÃO DE AÇO CA-60, DIÂMETRO DE 5.0 MM</v>
          </cell>
          <cell r="C61" t="str">
            <v>KG</v>
          </cell>
          <cell r="D61">
            <v>2630</v>
          </cell>
          <cell r="E61">
            <v>92915</v>
          </cell>
          <cell r="F61" t="str">
            <v>SINAPI – 10/17</v>
          </cell>
          <cell r="G61">
            <v>9.26</v>
          </cell>
          <cell r="H61">
            <v>11.787980000000001</v>
          </cell>
          <cell r="I61">
            <v>31002.387400000003</v>
          </cell>
          <cell r="J61">
            <v>0</v>
          </cell>
          <cell r="K61">
            <v>0</v>
          </cell>
          <cell r="L61">
            <v>0</v>
          </cell>
          <cell r="M61">
            <v>0</v>
          </cell>
        </row>
        <row r="62">
          <cell r="A62" t="str">
            <v>COMP_060</v>
          </cell>
          <cell r="B62" t="str">
            <v>FORNE, CORTE E DOBRA E ARMAÇÃO DE AÇO CA-50, DIÂMETRO DE 6.3 MM</v>
          </cell>
          <cell r="C62" t="str">
            <v>KG</v>
          </cell>
          <cell r="D62">
            <v>4640</v>
          </cell>
          <cell r="E62">
            <v>92916</v>
          </cell>
          <cell r="F62" t="str">
            <v>SINAPI – 10/17</v>
          </cell>
          <cell r="G62">
            <v>7.97</v>
          </cell>
          <cell r="H62">
            <v>10.145810000000001</v>
          </cell>
          <cell r="I62">
            <v>47076.558400000002</v>
          </cell>
          <cell r="J62">
            <v>0</v>
          </cell>
          <cell r="K62">
            <v>0</v>
          </cell>
          <cell r="L62">
            <v>0</v>
          </cell>
          <cell r="M62">
            <v>0</v>
          </cell>
        </row>
        <row r="63">
          <cell r="A63" t="str">
            <v>COMP_061</v>
          </cell>
          <cell r="B63" t="str">
            <v>FORNE, CORTE E DOBRA E ARMAÇÃO DE AÇO CA-50, DIÂMETRO DE 8.0 MM</v>
          </cell>
          <cell r="C63" t="str">
            <v>KG</v>
          </cell>
          <cell r="D63">
            <v>22720</v>
          </cell>
          <cell r="E63">
            <v>92917</v>
          </cell>
          <cell r="F63" t="str">
            <v>SINAPI – 10/17</v>
          </cell>
          <cell r="G63">
            <v>7.61</v>
          </cell>
          <cell r="H63">
            <v>9.6875300000000006</v>
          </cell>
          <cell r="I63">
            <v>220100.68160000001</v>
          </cell>
          <cell r="J63">
            <v>0</v>
          </cell>
          <cell r="K63">
            <v>0</v>
          </cell>
          <cell r="L63">
            <v>0</v>
          </cell>
          <cell r="M63">
            <v>0</v>
          </cell>
        </row>
        <row r="64">
          <cell r="A64" t="str">
            <v>COMP_062</v>
          </cell>
          <cell r="B64" t="str">
            <v>FORNE, CORTE E DOBRA E ARMAÇÃO DE AÇO CA-50, DIÂMETRO DE 10.0 MM</v>
          </cell>
          <cell r="C64" t="str">
            <v>KG</v>
          </cell>
          <cell r="D64">
            <v>82350</v>
          </cell>
          <cell r="E64">
            <v>92919</v>
          </cell>
          <cell r="F64" t="str">
            <v>SINAPI – 10/17</v>
          </cell>
          <cell r="G64">
            <v>6.15</v>
          </cell>
          <cell r="H64">
            <v>7.8289500000000016</v>
          </cell>
          <cell r="I64">
            <v>644714.03250000009</v>
          </cell>
          <cell r="J64">
            <v>0</v>
          </cell>
          <cell r="K64">
            <v>0</v>
          </cell>
          <cell r="L64">
            <v>0</v>
          </cell>
          <cell r="M64">
            <v>0</v>
          </cell>
        </row>
        <row r="65">
          <cell r="A65" t="str">
            <v>COMP_063</v>
          </cell>
          <cell r="B65" t="str">
            <v>FORNE, CORTE E DOBRA E ARMAÇÃO DE AÇO CA-50, DIÂMETRO DE 12.5 MM</v>
          </cell>
          <cell r="C65" t="str">
            <v>KG</v>
          </cell>
          <cell r="D65">
            <v>5320</v>
          </cell>
          <cell r="E65">
            <v>92921</v>
          </cell>
          <cell r="F65" t="str">
            <v>SINAPI – 10/17</v>
          </cell>
          <cell r="G65">
            <v>5.45</v>
          </cell>
          <cell r="H65">
            <v>6.937850000000001</v>
          </cell>
          <cell r="I65">
            <v>36909.362000000008</v>
          </cell>
          <cell r="J65">
            <v>0</v>
          </cell>
          <cell r="K65">
            <v>0</v>
          </cell>
          <cell r="L65">
            <v>0</v>
          </cell>
          <cell r="M65">
            <v>0</v>
          </cell>
        </row>
        <row r="66">
          <cell r="A66" t="str">
            <v>COMP_064</v>
          </cell>
          <cell r="B66" t="str">
            <v>FORNE, CORTE E DOBRA E ARMAÇÃO DE AÇO CA-50, DIÂMETRO DE 25.0 MM</v>
          </cell>
          <cell r="C66" t="str">
            <v>KG</v>
          </cell>
          <cell r="D66">
            <v>17360</v>
          </cell>
          <cell r="E66">
            <v>92924</v>
          </cell>
          <cell r="F66" t="str">
            <v>SINAPI – 10/17</v>
          </cell>
          <cell r="G66">
            <v>4.9400000000000004</v>
          </cell>
          <cell r="H66">
            <v>6.2886200000000008</v>
          </cell>
          <cell r="I66">
            <v>109170.44320000001</v>
          </cell>
          <cell r="J66">
            <v>0</v>
          </cell>
          <cell r="K66">
            <v>0</v>
          </cell>
          <cell r="L66">
            <v>0</v>
          </cell>
          <cell r="M66">
            <v>0</v>
          </cell>
        </row>
        <row r="67">
          <cell r="A67" t="str">
            <v>COMP_065</v>
          </cell>
          <cell r="B67" t="str">
            <v>CONCRETO FCK=25 MPA - LANÇAMENTO, ADENSAMENTO E ACABAMENTO</v>
          </cell>
          <cell r="C67" t="str">
            <v>M3</v>
          </cell>
          <cell r="D67">
            <v>2763.7829999999999</v>
          </cell>
          <cell r="E67">
            <v>92720</v>
          </cell>
          <cell r="F67" t="str">
            <v>SINAPI – 10/17</v>
          </cell>
          <cell r="G67">
            <v>372.15</v>
          </cell>
          <cell r="H67">
            <v>473.74695000000003</v>
          </cell>
          <cell r="I67">
            <v>1309333.76671185</v>
          </cell>
          <cell r="J67">
            <v>0</v>
          </cell>
          <cell r="K67">
            <v>0</v>
          </cell>
          <cell r="L67">
            <v>0</v>
          </cell>
          <cell r="M67">
            <v>0</v>
          </cell>
        </row>
        <row r="68">
          <cell r="A68" t="str">
            <v>COMP_066</v>
          </cell>
          <cell r="B68" t="str">
            <v>CONCRETO USINADO BOMBEAVEL, CLASSE DE RESISTENCIA C50, COM BRITA 0 E 1, SLUMP =100 +/- 20 MM, INCLUI SERVICO DE BOMBEAMENTO (NBR 8953)</v>
          </cell>
          <cell r="C68" t="str">
            <v>M3</v>
          </cell>
          <cell r="D68">
            <v>222.50799999999998</v>
          </cell>
          <cell r="E68" t="str">
            <v>(I) – 34483</v>
          </cell>
          <cell r="F68" t="str">
            <v>SINAPI – 10/17</v>
          </cell>
          <cell r="G68">
            <v>470.87</v>
          </cell>
          <cell r="H68">
            <v>599.41751000000011</v>
          </cell>
          <cell r="I68">
            <v>133375.19131508001</v>
          </cell>
          <cell r="J68">
            <v>0</v>
          </cell>
          <cell r="K68">
            <v>0</v>
          </cell>
          <cell r="L68">
            <v>0</v>
          </cell>
          <cell r="M68">
            <v>0</v>
          </cell>
        </row>
        <row r="69">
          <cell r="A69" t="str">
            <v>COMP_067</v>
          </cell>
          <cell r="B69" t="str">
            <v>LANÇAMENTO COM USO DE BOMBA, ADENSAMENTO E ACABAMENTO DE CONCRETO EM ESTRUTURAS. AF_12/2015</v>
          </cell>
          <cell r="C69" t="str">
            <v>M3</v>
          </cell>
          <cell r="D69">
            <v>3195.20766</v>
          </cell>
          <cell r="E69">
            <v>92874</v>
          </cell>
          <cell r="F69" t="str">
            <v>SINAPI – 10/17</v>
          </cell>
          <cell r="G69">
            <v>21.58</v>
          </cell>
          <cell r="H69">
            <v>27.471340000000001</v>
          </cell>
          <cell r="I69">
            <v>87776.635998464408</v>
          </cell>
          <cell r="J69">
            <v>0</v>
          </cell>
          <cell r="K69">
            <v>0</v>
          </cell>
          <cell r="L69">
            <v>0</v>
          </cell>
          <cell r="M69">
            <v>0</v>
          </cell>
        </row>
        <row r="70">
          <cell r="A70" t="str">
            <v>COMP_068</v>
          </cell>
          <cell r="B70" t="str">
            <v xml:space="preserve"> LASTRO DE CONCRETO, PREPARO MECÂNICO, INCLUSOS ADITIVO IMPERMEABILIZANTE, LANÇAMENTO E ADENSAMENTO</v>
          </cell>
          <cell r="C70" t="str">
            <v>M3</v>
          </cell>
          <cell r="D70">
            <v>15.4</v>
          </cell>
          <cell r="E70">
            <v>83534</v>
          </cell>
          <cell r="F70" t="str">
            <v>SINAPI – 10/17</v>
          </cell>
          <cell r="G70">
            <v>437.51</v>
          </cell>
          <cell r="H70">
            <v>556.95023000000003</v>
          </cell>
          <cell r="I70">
            <v>8577.033542000001</v>
          </cell>
          <cell r="J70">
            <v>0</v>
          </cell>
          <cell r="K70">
            <v>0</v>
          </cell>
          <cell r="L70">
            <v>0</v>
          </cell>
          <cell r="M70">
            <v>0</v>
          </cell>
        </row>
        <row r="71">
          <cell r="A71" t="str">
            <v>COMP_069</v>
          </cell>
          <cell r="B71" t="str">
            <v>ESCORAMENTO FORMAS H=3,50 A 4,00 M, COM MADEIRA DE 3A QUALIDADE, NAO A ARELHADA, APROVEITAMENTO TABUAS 3X E PRUMOS 4X</v>
          </cell>
          <cell r="C71" t="str">
            <v>M3</v>
          </cell>
          <cell r="D71">
            <v>1475.3399999999997</v>
          </cell>
          <cell r="E71">
            <v>83516</v>
          </cell>
          <cell r="F71" t="str">
            <v>SINAPI – 10/17</v>
          </cell>
          <cell r="G71">
            <v>15.54</v>
          </cell>
          <cell r="H71">
            <v>19.782420000000002</v>
          </cell>
          <cell r="I71">
            <v>29185.795522799996</v>
          </cell>
          <cell r="J71">
            <v>0</v>
          </cell>
          <cell r="K71">
            <v>0</v>
          </cell>
          <cell r="L71">
            <v>0</v>
          </cell>
          <cell r="M71">
            <v>0</v>
          </cell>
        </row>
        <row r="72">
          <cell r="A72" t="str">
            <v>COMP_070</v>
          </cell>
          <cell r="B72" t="str">
            <v>VIGAS PRE-MOLDADAS DE CONCRETO ARMADO - COMP.=8,00M - TRANSPORTE E MONTAGEM</v>
          </cell>
          <cell r="C72" t="str">
            <v>UNID</v>
          </cell>
          <cell r="D72">
            <v>38</v>
          </cell>
          <cell r="E72">
            <v>3806424</v>
          </cell>
          <cell r="F72" t="str">
            <v>SICRO II – 05/17</v>
          </cell>
          <cell r="G72">
            <v>3013.3</v>
          </cell>
          <cell r="H72">
            <v>3835.9309000000007</v>
          </cell>
          <cell r="I72">
            <v>145765.37420000002</v>
          </cell>
          <cell r="J72">
            <v>0</v>
          </cell>
          <cell r="K72">
            <v>0</v>
          </cell>
          <cell r="L72">
            <v>0</v>
          </cell>
          <cell r="M72">
            <v>0</v>
          </cell>
        </row>
        <row r="73">
          <cell r="A73" t="str">
            <v>COMP_071</v>
          </cell>
          <cell r="B73" t="str">
            <v>GUARDA-CORPO EM TUBO DE ACO GALVANIZADO 1 1/2"</v>
          </cell>
          <cell r="C73" t="str">
            <v>M2</v>
          </cell>
          <cell r="D73">
            <v>72</v>
          </cell>
          <cell r="E73">
            <v>73631</v>
          </cell>
          <cell r="F73" t="str">
            <v>SINAPI – 10/17</v>
          </cell>
          <cell r="G73">
            <v>275.69</v>
          </cell>
          <cell r="H73">
            <v>350.95337000000001</v>
          </cell>
          <cell r="I73">
            <v>25268.642640000002</v>
          </cell>
          <cell r="J73">
            <v>0</v>
          </cell>
          <cell r="K73">
            <v>0</v>
          </cell>
          <cell r="L73">
            <v>0</v>
          </cell>
          <cell r="M73">
            <v>0</v>
          </cell>
        </row>
        <row r="74">
          <cell r="A74" t="str">
            <v>COMP_072</v>
          </cell>
          <cell r="B74" t="str">
            <v>PINTURA COM TINTA PROTETORA ACABAMENTO GRAFITE ESMALTE SOBRE SUPERFICIE METALICA, 2 DEMAOS</v>
          </cell>
          <cell r="C74" t="str">
            <v>M2</v>
          </cell>
          <cell r="D74">
            <v>144</v>
          </cell>
          <cell r="E74" t="str">
            <v>73794/1</v>
          </cell>
          <cell r="F74" t="str">
            <v>SINAPI – 10/17</v>
          </cell>
          <cell r="G74">
            <v>27.72</v>
          </cell>
          <cell r="H74">
            <v>35.287559999999999</v>
          </cell>
          <cell r="I74">
            <v>5081.4086399999997</v>
          </cell>
          <cell r="J74">
            <v>0</v>
          </cell>
          <cell r="K74">
            <v>0</v>
          </cell>
          <cell r="L74">
            <v>0</v>
          </cell>
          <cell r="M74">
            <v>0</v>
          </cell>
        </row>
        <row r="75">
          <cell r="A75" t="str">
            <v>COMP_073</v>
          </cell>
          <cell r="B75" t="str">
            <v>ENSAIO DE CONCRETO</v>
          </cell>
          <cell r="C75" t="str">
            <v>M3</v>
          </cell>
          <cell r="D75">
            <v>3210.6076599999997</v>
          </cell>
          <cell r="E75" t="str">
            <v>74020/1</v>
          </cell>
          <cell r="F75" t="str">
            <v>SINAPI – 10/17</v>
          </cell>
          <cell r="G75">
            <v>27.1</v>
          </cell>
          <cell r="H75">
            <v>34.498300000000008</v>
          </cell>
          <cell r="I75">
            <v>110760.50623697801</v>
          </cell>
          <cell r="J75">
            <v>0</v>
          </cell>
          <cell r="K75">
            <v>0</v>
          </cell>
          <cell r="L75">
            <v>0</v>
          </cell>
          <cell r="M75">
            <v>0</v>
          </cell>
        </row>
        <row r="76">
          <cell r="A76" t="str">
            <v>COMP_074</v>
          </cell>
          <cell r="B76" t="str">
            <v>FORNECIMENTO E LANCAMENTO DE PEDRA DE MAO</v>
          </cell>
          <cell r="C76" t="str">
            <v>M3</v>
          </cell>
          <cell r="D76">
            <v>2584.5360000000001</v>
          </cell>
          <cell r="E76">
            <v>6454</v>
          </cell>
          <cell r="F76" t="str">
            <v>SINAPI – 10/17</v>
          </cell>
          <cell r="G76">
            <v>123.88</v>
          </cell>
          <cell r="H76">
            <v>157.69924</v>
          </cell>
          <cell r="I76">
            <v>407579.36295263999</v>
          </cell>
          <cell r="J76">
            <v>0</v>
          </cell>
          <cell r="K76">
            <v>0</v>
          </cell>
          <cell r="L76">
            <v>0</v>
          </cell>
          <cell r="M76">
            <v>0</v>
          </cell>
        </row>
        <row r="77">
          <cell r="A77" t="str">
            <v>COMP_075</v>
          </cell>
          <cell r="B77" t="str">
            <v>FORNECIMENTO E INSTALACAO DE MANTA BIDIM RT - 14</v>
          </cell>
          <cell r="C77" t="str">
            <v>M2</v>
          </cell>
          <cell r="D77">
            <v>8615.119999999999</v>
          </cell>
          <cell r="E77">
            <v>83665</v>
          </cell>
          <cell r="F77" t="str">
            <v>SINAPI – 10/17</v>
          </cell>
          <cell r="G77">
            <v>4.87</v>
          </cell>
          <cell r="H77">
            <v>6.199510000000001</v>
          </cell>
          <cell r="I77">
            <v>53409.522591200002</v>
          </cell>
          <cell r="J77">
            <v>0</v>
          </cell>
          <cell r="K77">
            <v>0</v>
          </cell>
          <cell r="L77">
            <v>0</v>
          </cell>
          <cell r="M77">
            <v>0</v>
          </cell>
        </row>
        <row r="78">
          <cell r="A78" t="str">
            <v>COMP_076</v>
          </cell>
          <cell r="B78" t="str">
            <v>CAMADA DRENANTE COM BRITA NUM 3</v>
          </cell>
          <cell r="C78" t="str">
            <v>M3</v>
          </cell>
          <cell r="D78">
            <v>1240.57728</v>
          </cell>
          <cell r="E78" t="str">
            <v>73902/001</v>
          </cell>
          <cell r="F78" t="str">
            <v>SINAPI – 10/17</v>
          </cell>
          <cell r="G78">
            <v>78.94</v>
          </cell>
          <cell r="H78">
            <v>100.49062000000001</v>
          </cell>
          <cell r="I78">
            <v>124666.38002511361</v>
          </cell>
          <cell r="J78">
            <v>0</v>
          </cell>
          <cell r="K78">
            <v>0</v>
          </cell>
          <cell r="L78">
            <v>0</v>
          </cell>
          <cell r="M78">
            <v>0</v>
          </cell>
        </row>
        <row r="79">
          <cell r="A79" t="str">
            <v>COMP_077</v>
          </cell>
          <cell r="B79" t="str">
            <v>EXECUCAO DE DRENO COM TUBOS DE PVC CORRUGADO FLEXIVEL PERFURADO - DN 100</v>
          </cell>
          <cell r="C79" t="str">
            <v>M</v>
          </cell>
          <cell r="D79">
            <v>1265.5509333333332</v>
          </cell>
          <cell r="E79" t="str">
            <v>73816/1</v>
          </cell>
          <cell r="F79" t="str">
            <v>SINAPI – 10/17</v>
          </cell>
          <cell r="G79">
            <v>22.05</v>
          </cell>
          <cell r="H79">
            <v>28.069650000000003</v>
          </cell>
          <cell r="I79">
            <v>35523.571755839999</v>
          </cell>
          <cell r="J79">
            <v>0</v>
          </cell>
          <cell r="K79">
            <v>0</v>
          </cell>
          <cell r="L79">
            <v>0</v>
          </cell>
          <cell r="M79">
            <v>0</v>
          </cell>
        </row>
        <row r="80">
          <cell r="A80" t="str">
            <v>COMP_078</v>
          </cell>
          <cell r="B80" t="str">
            <v>TRANSPORTE COMERCIAL DE BRITA/PEDRA</v>
          </cell>
          <cell r="C80" t="str">
            <v>M3xKm</v>
          </cell>
          <cell r="D80">
            <v>620460.94240000006</v>
          </cell>
          <cell r="E80">
            <v>83356</v>
          </cell>
          <cell r="F80" t="str">
            <v>SINAPI – 10/17</v>
          </cell>
          <cell r="G80">
            <v>0.75</v>
          </cell>
          <cell r="H80">
            <v>0.9547500000000001</v>
          </cell>
          <cell r="I80">
            <v>592385.08475640009</v>
          </cell>
          <cell r="J80">
            <v>0</v>
          </cell>
          <cell r="K80">
            <v>0</v>
          </cell>
          <cell r="L80">
            <v>0</v>
          </cell>
          <cell r="M80">
            <v>0</v>
          </cell>
        </row>
        <row r="81">
          <cell r="A81" t="str">
            <v>COMP_079</v>
          </cell>
          <cell r="B81" t="str">
            <v>BOMBA SUBMERSÍVEL ELÉTRICA TRIFÁSICA, POTÊNCIA 2,96 HP, Ø ROTOR 144 MM SEMI-ABERTO, BOCAL DE SAÍDA Ø 2, HM/Q = 2 MCA / 38,8 M3/H A 28 MCA /5 M3/H - CHP DIURNO. AF_06/2014</v>
          </cell>
          <cell r="C81" t="str">
            <v>HP</v>
          </cell>
          <cell r="D81">
            <v>16896</v>
          </cell>
          <cell r="E81">
            <v>89021</v>
          </cell>
          <cell r="F81" t="str">
            <v>SINAPI – 10/17</v>
          </cell>
          <cell r="G81">
            <v>1.81</v>
          </cell>
          <cell r="H81">
            <v>2.3041300000000002</v>
          </cell>
          <cell r="I81">
            <v>38930.580480000004</v>
          </cell>
          <cell r="J81">
            <v>0</v>
          </cell>
          <cell r="K81">
            <v>0</v>
          </cell>
          <cell r="L81">
            <v>0</v>
          </cell>
          <cell r="M81">
            <v>0</v>
          </cell>
        </row>
        <row r="82">
          <cell r="A82" t="str">
            <v>COMP_080</v>
          </cell>
          <cell r="B82" t="str">
            <v>JUNTA DE DILATACAO ELASTICA (PVC) O-220/6 PRESSAO ATE 30 MCA</v>
          </cell>
          <cell r="C82" t="str">
            <v>M</v>
          </cell>
          <cell r="D82">
            <v>484</v>
          </cell>
          <cell r="E82" t="str">
            <v>73898/001</v>
          </cell>
          <cell r="F82" t="str">
            <v>SINAPI – 10/17</v>
          </cell>
          <cell r="G82">
            <v>94.73</v>
          </cell>
          <cell r="H82">
            <v>120.59129000000001</v>
          </cell>
          <cell r="I82">
            <v>58366.184360000007</v>
          </cell>
          <cell r="J82">
            <v>0</v>
          </cell>
          <cell r="K82">
            <v>0</v>
          </cell>
          <cell r="L82">
            <v>0</v>
          </cell>
          <cell r="M82">
            <v>0</v>
          </cell>
        </row>
        <row r="83">
          <cell r="A83" t="str">
            <v>COMP_081</v>
          </cell>
          <cell r="B83" t="str">
            <v>ALVENARIA DE BLOCOS DE CONCRETO ESTRUTURAL 14X19X39 CM, (ESPESSURA 14CM) FBK = 14,0 MPA</v>
          </cell>
          <cell r="C83" t="str">
            <v>M2</v>
          </cell>
          <cell r="D83">
            <v>1350</v>
          </cell>
          <cell r="E83">
            <v>89455</v>
          </cell>
          <cell r="F83" t="str">
            <v>SINAPI – 10/17</v>
          </cell>
          <cell r="G83">
            <v>65.61</v>
          </cell>
          <cell r="H83">
            <v>83.521530000000013</v>
          </cell>
          <cell r="I83">
            <v>112754.06550000001</v>
          </cell>
          <cell r="J83">
            <v>0</v>
          </cell>
          <cell r="K83">
            <v>0</v>
          </cell>
          <cell r="L83">
            <v>0</v>
          </cell>
          <cell r="M83">
            <v>0</v>
          </cell>
        </row>
        <row r="84">
          <cell r="A84" t="str">
            <v>COMP_082</v>
          </cell>
          <cell r="B84" t="str">
            <v xml:space="preserve">CHAPISCO APLICADO SOMENTE EM ESTRUTURAS DE CONCRETO EM ALVENARIAS </v>
          </cell>
          <cell r="C84" t="str">
            <v>M2</v>
          </cell>
          <cell r="D84">
            <v>2700</v>
          </cell>
          <cell r="E84">
            <v>87877</v>
          </cell>
          <cell r="F84" t="str">
            <v>SINAPI – 10/17</v>
          </cell>
          <cell r="G84">
            <v>6.07</v>
          </cell>
          <cell r="H84">
            <v>7.7271100000000015</v>
          </cell>
          <cell r="I84">
            <v>20863.197000000004</v>
          </cell>
          <cell r="J84">
            <v>0</v>
          </cell>
          <cell r="K84">
            <v>0</v>
          </cell>
          <cell r="L84">
            <v>0</v>
          </cell>
          <cell r="M84">
            <v>0</v>
          </cell>
        </row>
        <row r="85">
          <cell r="A85" t="str">
            <v>COMP_083</v>
          </cell>
          <cell r="B85" t="str">
            <v>MASSA ÚNICA, PARA RECEBIMENTO DE PINTURA, EM ARGAMASSA TRAÇO 1:2:8 E=2CM</v>
          </cell>
          <cell r="C85" t="str">
            <v>M2</v>
          </cell>
          <cell r="D85">
            <v>2700</v>
          </cell>
          <cell r="E85">
            <v>87530</v>
          </cell>
          <cell r="F85" t="str">
            <v>SINAPI – 10/17</v>
          </cell>
          <cell r="G85">
            <v>25.8</v>
          </cell>
          <cell r="H85">
            <v>32.843400000000003</v>
          </cell>
          <cell r="I85">
            <v>88677.180000000008</v>
          </cell>
          <cell r="J85">
            <v>0</v>
          </cell>
          <cell r="K85">
            <v>0</v>
          </cell>
          <cell r="L85">
            <v>0</v>
          </cell>
          <cell r="M85">
            <v>0</v>
          </cell>
        </row>
        <row r="86">
          <cell r="A86" t="str">
            <v>COMP_084</v>
          </cell>
          <cell r="B86" t="str">
            <v>MOBILIZAÇÃO /DESMOBILIZAÇAO ( MÃO DE OBRA / EQUIPAMENTO )</v>
          </cell>
          <cell r="C86" t="str">
            <v>UNID</v>
          </cell>
          <cell r="D86">
            <v>1</v>
          </cell>
          <cell r="E86" t="str">
            <v>COMPOSIÇÃO</v>
          </cell>
          <cell r="F86" t="str">
            <v>SICRO II - 01/17</v>
          </cell>
          <cell r="G86">
            <v>218775.05499999999</v>
          </cell>
          <cell r="H86">
            <v>278500.64501500002</v>
          </cell>
          <cell r="I86">
            <v>278500.64501500002</v>
          </cell>
          <cell r="J86">
            <v>0</v>
          </cell>
          <cell r="K86">
            <v>0</v>
          </cell>
          <cell r="L86">
            <v>0</v>
          </cell>
          <cell r="M86">
            <v>0</v>
          </cell>
        </row>
        <row r="87">
          <cell r="A87" t="str">
            <v>COMP_085</v>
          </cell>
          <cell r="B87" t="str">
            <v>TRANSPORTE EQUIPAMENTOS P/SONDAGEM ( INCLUSO NO VALOR O RETORNO)</v>
          </cell>
          <cell r="C87" t="str">
            <v>KM</v>
          </cell>
          <cell r="D87">
            <v>15</v>
          </cell>
          <cell r="E87">
            <v>50102</v>
          </cell>
          <cell r="F87" t="str">
            <v>AGETOP – T128 – DESON</v>
          </cell>
          <cell r="G87">
            <v>2.8</v>
          </cell>
          <cell r="H87">
            <v>3.5644</v>
          </cell>
          <cell r="I87">
            <v>53.466000000000001</v>
          </cell>
          <cell r="J87">
            <v>0</v>
          </cell>
          <cell r="K87">
            <v>0</v>
          </cell>
          <cell r="L87">
            <v>0</v>
          </cell>
          <cell r="M87">
            <v>0</v>
          </cell>
        </row>
        <row r="88">
          <cell r="A88" t="str">
            <v>COMP_086</v>
          </cell>
          <cell r="B88" t="str">
            <v>SONDAGENS P/INTERIOR - (OBRAS CIVIS)</v>
          </cell>
          <cell r="C88" t="str">
            <v>M</v>
          </cell>
          <cell r="D88">
            <v>135</v>
          </cell>
          <cell r="E88">
            <v>50101</v>
          </cell>
          <cell r="F88" t="str">
            <v>AGETOP – T128 – DESON</v>
          </cell>
          <cell r="G88">
            <v>71.459999999999994</v>
          </cell>
          <cell r="H88">
            <v>90.968580000000003</v>
          </cell>
          <cell r="I88">
            <v>12280.7583</v>
          </cell>
          <cell r="J88">
            <v>0</v>
          </cell>
          <cell r="K88">
            <v>0</v>
          </cell>
          <cell r="L88">
            <v>0</v>
          </cell>
          <cell r="M88">
            <v>0</v>
          </cell>
        </row>
        <row r="89">
          <cell r="A89" t="str">
            <v>COMP_087</v>
          </cell>
          <cell r="B89" t="str">
            <v>PROJETO DEFINITIVO</v>
          </cell>
          <cell r="C89" t="str">
            <v>UNID</v>
          </cell>
          <cell r="D89">
            <v>1</v>
          </cell>
          <cell r="E89" t="str">
            <v>CMD</v>
          </cell>
          <cell r="F89" t="str">
            <v>SICRO II - 01/17</v>
          </cell>
          <cell r="G89">
            <v>104212.03945239999</v>
          </cell>
          <cell r="H89">
            <v>132661.9262229052</v>
          </cell>
          <cell r="I89">
            <v>132661.9262229052</v>
          </cell>
          <cell r="J89">
            <v>0</v>
          </cell>
          <cell r="K89">
            <v>0</v>
          </cell>
          <cell r="L89">
            <v>0</v>
          </cell>
          <cell r="M89">
            <v>0</v>
          </cell>
        </row>
        <row r="90">
          <cell r="A90" t="str">
            <v>COMP_088</v>
          </cell>
          <cell r="B90" t="str">
            <v>SILICA ATIVA PARA ADICAO EM CONCRETO E ARGAMASSA (28,40 KG/M3)</v>
          </cell>
          <cell r="C90" t="str">
            <v>KG</v>
          </cell>
          <cell r="D90">
            <v>84810.664399999994</v>
          </cell>
          <cell r="E90">
            <v>26026</v>
          </cell>
          <cell r="F90" t="str">
            <v>SINAPI – 10/17</v>
          </cell>
          <cell r="G90">
            <v>2.4300000000000002</v>
          </cell>
          <cell r="H90">
            <v>3.0933900000000003</v>
          </cell>
          <cell r="I90">
            <v>262352.46114831598</v>
          </cell>
          <cell r="J90">
            <v>0</v>
          </cell>
          <cell r="K90">
            <v>0</v>
          </cell>
          <cell r="L90">
            <v>0</v>
          </cell>
          <cell r="M90">
            <v>0</v>
          </cell>
        </row>
        <row r="91">
          <cell r="A91" t="str">
            <v>COMP_089</v>
          </cell>
          <cell r="B91" t="str">
            <v>APOIO DE NEOPRENE FRETADO 150 X 200 X 35 MM COM CAPACIDADE DE 300 KN PARA ESTRUTURAS PRÉ-MOLDADAS - FORNECIMENTO E INSTALAÇÃO</v>
          </cell>
          <cell r="C91" t="str">
            <v>DM3</v>
          </cell>
          <cell r="D91">
            <v>106.39999999999999</v>
          </cell>
          <cell r="E91">
            <v>84154</v>
          </cell>
          <cell r="F91" t="str">
            <v>SINAPI – 10/17</v>
          </cell>
          <cell r="G91">
            <v>103.17</v>
          </cell>
          <cell r="H91">
            <v>131.33541000000002</v>
          </cell>
          <cell r="I91">
            <v>13974.087624000002</v>
          </cell>
          <cell r="J91">
            <v>0</v>
          </cell>
        </row>
        <row r="92">
          <cell r="A92" t="str">
            <v>COMP_090</v>
          </cell>
          <cell r="B92" t="str">
            <v xml:space="preserve">ESTRUTURA METALICA EM ACO ESTRUTURAL </v>
          </cell>
          <cell r="C92" t="str">
            <v>KG</v>
          </cell>
          <cell r="D92">
            <v>0</v>
          </cell>
          <cell r="E92" t="str">
            <v>73970/001</v>
          </cell>
          <cell r="F92" t="str">
            <v>SINAPI – 10/17</v>
          </cell>
          <cell r="G92">
            <v>8.39</v>
          </cell>
          <cell r="H92">
            <v>10.680470000000001</v>
          </cell>
          <cell r="I92">
            <v>0</v>
          </cell>
          <cell r="J92">
            <v>0</v>
          </cell>
          <cell r="K92">
            <v>0</v>
          </cell>
          <cell r="L92">
            <v>0</v>
          </cell>
          <cell r="M92">
            <v>0</v>
          </cell>
        </row>
        <row r="93">
          <cell r="A93" t="str">
            <v>COMP_091</v>
          </cell>
          <cell r="B93" t="str">
            <v>LIMPEZA FINAL DA OBRA</v>
          </cell>
          <cell r="C93" t="str">
            <v>M2</v>
          </cell>
          <cell r="D93">
            <v>12922.679999999998</v>
          </cell>
          <cell r="E93">
            <v>9537</v>
          </cell>
          <cell r="F93" t="str">
            <v>SINAPI – 10/17</v>
          </cell>
          <cell r="G93">
            <v>1.87</v>
          </cell>
          <cell r="H93">
            <v>2.3805100000000006</v>
          </cell>
          <cell r="I93">
            <v>30762.568966800005</v>
          </cell>
          <cell r="J93">
            <v>0</v>
          </cell>
          <cell r="K93">
            <v>0</v>
          </cell>
          <cell r="L93">
            <v>0</v>
          </cell>
          <cell r="M93">
            <v>0</v>
          </cell>
        </row>
        <row r="94">
          <cell r="A94" t="str">
            <v>COMP_092</v>
          </cell>
          <cell r="B94" t="str">
            <v>ENTRADA PROVISORIA DE ENERGIA ELETRICA AEREA TRIFASICA 40A EM POSTE MADEIRA</v>
          </cell>
          <cell r="C94" t="str">
            <v>UNID</v>
          </cell>
          <cell r="D94">
            <v>1</v>
          </cell>
          <cell r="E94">
            <v>41598</v>
          </cell>
          <cell r="F94" t="str">
            <v>SINAPI – 10/17</v>
          </cell>
          <cell r="G94">
            <v>1339.66</v>
          </cell>
          <cell r="H94">
            <v>1705.3871800000002</v>
          </cell>
          <cell r="I94">
            <v>1705.3871800000002</v>
          </cell>
          <cell r="J94">
            <v>0</v>
          </cell>
          <cell r="K94">
            <v>0</v>
          </cell>
          <cell r="L94">
            <v>0</v>
          </cell>
          <cell r="M94">
            <v>0</v>
          </cell>
        </row>
        <row r="95">
          <cell r="A95" t="str">
            <v>COMP_093</v>
          </cell>
          <cell r="B95" t="str">
            <v>KIT CAVALETE PARA MEDIÇÃO DE ÁGUA - ENTRADA PRINCIPAL, EM PVC SOLDÁVEL DN 25 (3⁄4 )
FORNECIMENTO E INSTALAÇÃO (EXCLUSIVE HIDRÔMETRO). AF_11/2016</v>
          </cell>
          <cell r="C95" t="str">
            <v>UNID</v>
          </cell>
          <cell r="D95">
            <v>1</v>
          </cell>
          <cell r="E95">
            <v>95635</v>
          </cell>
          <cell r="F95" t="str">
            <v>SINAPI – 10/17</v>
          </cell>
          <cell r="G95">
            <v>117.98</v>
          </cell>
          <cell r="H95">
            <v>150.18854000000002</v>
          </cell>
          <cell r="I95">
            <v>150.18854000000002</v>
          </cell>
          <cell r="J95">
            <v>0</v>
          </cell>
          <cell r="K95">
            <v>0</v>
          </cell>
          <cell r="L95">
            <v>0</v>
          </cell>
          <cell r="M95">
            <v>0</v>
          </cell>
        </row>
        <row r="96">
          <cell r="A96" t="str">
            <v>COMP_094</v>
          </cell>
          <cell r="B96" t="str">
            <v>HIDROMETRO UNIJATO, VAZAO MAXIMA DE 5,0 M3/H, DE ¾"</v>
          </cell>
          <cell r="C96" t="str">
            <v>UNID</v>
          </cell>
          <cell r="D96">
            <v>1</v>
          </cell>
          <cell r="E96">
            <v>12744</v>
          </cell>
          <cell r="F96" t="str">
            <v>SINAPI – 10/17</v>
          </cell>
          <cell r="G96">
            <v>118.98</v>
          </cell>
          <cell r="H96">
            <v>151.46154000000001</v>
          </cell>
          <cell r="I96">
            <v>151.46154000000001</v>
          </cell>
          <cell r="J96">
            <v>0</v>
          </cell>
          <cell r="K96">
            <v>0</v>
          </cell>
          <cell r="L96">
            <v>0</v>
          </cell>
          <cell r="M96">
            <v>0</v>
          </cell>
        </row>
        <row r="97">
          <cell r="A97" t="str">
            <v>COMP_095</v>
          </cell>
          <cell r="B97" t="str">
            <v>MOBILIZACAO E INSTALACAO DE 01 EQUIPAMENTO DE SONDAGEM, DISTANCIA DE 10KM ATE 20KM</v>
          </cell>
          <cell r="C97" t="str">
            <v>UNID</v>
          </cell>
          <cell r="D97">
            <v>1</v>
          </cell>
          <cell r="E97">
            <v>72872</v>
          </cell>
          <cell r="F97" t="str">
            <v>SINAPI – 10/17</v>
          </cell>
          <cell r="G97">
            <v>628.32000000000005</v>
          </cell>
          <cell r="H97">
            <v>799.85136000000011</v>
          </cell>
          <cell r="I97">
            <v>799.85136000000011</v>
          </cell>
          <cell r="J97">
            <v>0</v>
          </cell>
          <cell r="K97">
            <v>0</v>
          </cell>
          <cell r="L97">
            <v>0</v>
          </cell>
          <cell r="M97">
            <v>0</v>
          </cell>
        </row>
        <row r="98">
          <cell r="A98" t="str">
            <v>COMP_096</v>
          </cell>
          <cell r="B98" t="str">
            <v>ENGENHEIRO CIVIL DE OBRA JUNIOR (MENSALISTA)</v>
          </cell>
          <cell r="C98" t="str">
            <v>MÊS</v>
          </cell>
          <cell r="D98">
            <v>28</v>
          </cell>
          <cell r="E98">
            <v>93565</v>
          </cell>
          <cell r="F98" t="str">
            <v>SINAPI – 10/17</v>
          </cell>
          <cell r="G98">
            <v>12203.12</v>
          </cell>
          <cell r="H98">
            <v>15534.571760000003</v>
          </cell>
          <cell r="I98">
            <v>434968.00928000006</v>
          </cell>
          <cell r="J98">
            <v>0</v>
          </cell>
          <cell r="K98">
            <v>0</v>
          </cell>
          <cell r="L98">
            <v>0</v>
          </cell>
          <cell r="M98">
            <v>0</v>
          </cell>
        </row>
        <row r="99">
          <cell r="A99" t="str">
            <v>COMP_097</v>
          </cell>
          <cell r="B99" t="str">
            <v>TÉCNICO EM SEGURANÇA DO TRABALHO (O. CIVIS)</v>
          </cell>
          <cell r="C99" t="str">
            <v>H</v>
          </cell>
          <cell r="D99">
            <v>6160</v>
          </cell>
          <cell r="E99">
            <v>250113</v>
          </cell>
          <cell r="F99" t="str">
            <v>AGETOP – T128 – DESON</v>
          </cell>
          <cell r="G99">
            <v>12.77</v>
          </cell>
          <cell r="H99">
            <v>16.256209999999999</v>
          </cell>
          <cell r="I99">
            <v>100138.2536</v>
          </cell>
          <cell r="J99">
            <v>0</v>
          </cell>
          <cell r="K99">
            <v>0</v>
          </cell>
          <cell r="L99">
            <v>0</v>
          </cell>
          <cell r="M99">
            <v>0</v>
          </cell>
        </row>
        <row r="100">
          <cell r="A100" t="str">
            <v>COMP_098</v>
          </cell>
          <cell r="B100" t="str">
            <v>APONTADOR OU APROPRIADOR COM ENCARGOS COMPLEMENTARES</v>
          </cell>
          <cell r="C100" t="str">
            <v>MES</v>
          </cell>
          <cell r="D100">
            <v>42</v>
          </cell>
          <cell r="E100">
            <v>93564</v>
          </cell>
          <cell r="F100" t="str">
            <v>SINAPI – 10/17</v>
          </cell>
          <cell r="G100">
            <v>3918</v>
          </cell>
          <cell r="H100">
            <v>4987.6140000000005</v>
          </cell>
          <cell r="I100">
            <v>209479.78800000003</v>
          </cell>
          <cell r="J100">
            <v>0</v>
          </cell>
          <cell r="K100">
            <v>0</v>
          </cell>
          <cell r="L100">
            <v>0</v>
          </cell>
          <cell r="M100">
            <v>0</v>
          </cell>
        </row>
        <row r="101">
          <cell r="A101" t="str">
            <v>COMP_099</v>
          </cell>
          <cell r="B101" t="str">
            <v>AUXILIAR DE ESCRITORIO COM ENCARGOS COMPLEMENTARES</v>
          </cell>
          <cell r="C101" t="str">
            <v>MES</v>
          </cell>
          <cell r="D101">
            <v>42</v>
          </cell>
          <cell r="E101">
            <v>93566</v>
          </cell>
          <cell r="F101" t="str">
            <v>SINAPI – 10/17</v>
          </cell>
          <cell r="G101">
            <v>2655.12</v>
          </cell>
          <cell r="H101">
            <v>3379.96776</v>
          </cell>
          <cell r="I101">
            <v>141958.64592000001</v>
          </cell>
          <cell r="J101">
            <v>0</v>
          </cell>
          <cell r="K101">
            <v>0</v>
          </cell>
          <cell r="L101">
            <v>0</v>
          </cell>
          <cell r="M101">
            <v>0</v>
          </cell>
        </row>
        <row r="102">
          <cell r="A102" t="str">
            <v>COMP_100</v>
          </cell>
          <cell r="B102" t="str">
            <v>AUXILIAR TECNICO / ASSISTENTE DE ENGENHARIA (MENSALISTA)</v>
          </cell>
          <cell r="C102" t="str">
            <v>MES</v>
          </cell>
          <cell r="D102">
            <v>28</v>
          </cell>
          <cell r="E102" t="str">
            <v>40931 (I)</v>
          </cell>
          <cell r="F102" t="str">
            <v>SINAPI – 10/17</v>
          </cell>
          <cell r="G102">
            <v>3879.24</v>
          </cell>
          <cell r="H102">
            <v>4938.2725200000004</v>
          </cell>
          <cell r="I102">
            <v>138271.63056000002</v>
          </cell>
          <cell r="J102">
            <v>0</v>
          </cell>
          <cell r="K102">
            <v>0</v>
          </cell>
          <cell r="L102">
            <v>0</v>
          </cell>
          <cell r="M102">
            <v>0</v>
          </cell>
        </row>
        <row r="103">
          <cell r="A103" t="str">
            <v>COMP_101</v>
          </cell>
          <cell r="B103" t="str">
            <v>VIGIA NOTURNO, HORA EFETIVAMENTE TRABALHADA DE 22 H AS 5 H (COM ADICIONAL
NOTURNO)</v>
          </cell>
          <cell r="C103" t="str">
            <v>H</v>
          </cell>
          <cell r="D103">
            <v>6160</v>
          </cell>
          <cell r="E103" t="str">
            <v>41776 (I)</v>
          </cell>
          <cell r="F103" t="str">
            <v>SINAPI – 10/17</v>
          </cell>
          <cell r="G103">
            <v>20.239999999999998</v>
          </cell>
          <cell r="H103">
            <v>25.765520000000002</v>
          </cell>
          <cell r="I103">
            <v>158715.60320000001</v>
          </cell>
          <cell r="J103">
            <v>0</v>
          </cell>
          <cell r="K103">
            <v>0</v>
          </cell>
          <cell r="L103">
            <v>0</v>
          </cell>
          <cell r="M103">
            <v>0</v>
          </cell>
        </row>
        <row r="104">
          <cell r="A104" t="str">
            <v>COMP_102</v>
          </cell>
          <cell r="B104" t="str">
            <v>VIGIA DIURNO</v>
          </cell>
          <cell r="C104" t="str">
            <v>H</v>
          </cell>
          <cell r="D104">
            <v>1344</v>
          </cell>
          <cell r="E104" t="str">
            <v>34345 (I)</v>
          </cell>
          <cell r="F104" t="str">
            <v>SINAPI – 10/17</v>
          </cell>
          <cell r="G104">
            <v>14.74</v>
          </cell>
          <cell r="H104">
            <v>18.764020000000002</v>
          </cell>
          <cell r="I104">
            <v>25218.842880000004</v>
          </cell>
          <cell r="J104">
            <v>0</v>
          </cell>
          <cell r="K104">
            <v>0</v>
          </cell>
          <cell r="L104">
            <v>0</v>
          </cell>
          <cell r="M104">
            <v>0</v>
          </cell>
        </row>
        <row r="105">
          <cell r="A105" t="str">
            <v>COMP_103</v>
          </cell>
          <cell r="B105" t="str">
            <v>ENCARREGADO ADMINISTRATIVO</v>
          </cell>
          <cell r="C105" t="str">
            <v>MES</v>
          </cell>
          <cell r="D105">
            <v>14</v>
          </cell>
          <cell r="E105" t="str">
            <v>P9809</v>
          </cell>
          <cell r="F105" t="str">
            <v>SICRO II – 01/17</v>
          </cell>
          <cell r="G105">
            <v>5416.14</v>
          </cell>
          <cell r="H105">
            <v>6894.7462200000009</v>
          </cell>
          <cell r="I105">
            <v>96526.447080000013</v>
          </cell>
          <cell r="J105">
            <v>0</v>
          </cell>
          <cell r="K105">
            <v>0</v>
          </cell>
          <cell r="L105">
            <v>0</v>
          </cell>
          <cell r="M105">
            <v>0</v>
          </cell>
        </row>
        <row r="106">
          <cell r="A106" t="str">
            <v>COMP_104</v>
          </cell>
          <cell r="B106" t="str">
            <v>ALMOXARIFE COM ENCARGOS COMPLEMENTARES</v>
          </cell>
          <cell r="C106" t="str">
            <v>MES</v>
          </cell>
          <cell r="D106">
            <v>14</v>
          </cell>
          <cell r="E106">
            <v>93563</v>
          </cell>
          <cell r="F106" t="str">
            <v>SINAPI – 10/17</v>
          </cell>
          <cell r="G106">
            <v>4081.43</v>
          </cell>
          <cell r="H106">
            <v>5195.66039</v>
          </cell>
          <cell r="I106">
            <v>72739.245460000006</v>
          </cell>
          <cell r="J106">
            <v>0</v>
          </cell>
          <cell r="K106">
            <v>0</v>
          </cell>
          <cell r="L106">
            <v>0</v>
          </cell>
          <cell r="M106">
            <v>0</v>
          </cell>
        </row>
        <row r="107">
          <cell r="A107" t="str">
            <v>COMP_105</v>
          </cell>
          <cell r="B107" t="str">
            <v>MOTORISTA DE VEICULO LEVE COM ENCARGOS COMPLEMENTARES</v>
          </cell>
          <cell r="C107" t="str">
            <v>H</v>
          </cell>
          <cell r="D107">
            <v>3080</v>
          </cell>
          <cell r="E107">
            <v>88284</v>
          </cell>
          <cell r="F107" t="str">
            <v>SINAPI – 10/17</v>
          </cell>
          <cell r="G107">
            <v>26.28</v>
          </cell>
          <cell r="H107">
            <v>33.454440000000005</v>
          </cell>
          <cell r="I107">
            <v>103039.67520000001</v>
          </cell>
          <cell r="J107">
            <v>0</v>
          </cell>
          <cell r="K107">
            <v>0</v>
          </cell>
          <cell r="L107">
            <v>0</v>
          </cell>
          <cell r="M107">
            <v>0</v>
          </cell>
        </row>
        <row r="108">
          <cell r="A108" t="str">
            <v>COMP_106</v>
          </cell>
          <cell r="B108" t="str">
            <v>AUXILIAR DE ALMOXARIFE (MENSALISTA)</v>
          </cell>
          <cell r="C108" t="str">
            <v>MES</v>
          </cell>
          <cell r="D108">
            <v>14</v>
          </cell>
          <cell r="E108">
            <v>40908</v>
          </cell>
          <cell r="F108" t="str">
            <v>SINAPI – 10/17</v>
          </cell>
          <cell r="G108">
            <v>2665.25</v>
          </cell>
          <cell r="H108">
            <v>3392.8632500000003</v>
          </cell>
          <cell r="I108">
            <v>47500.085500000001</v>
          </cell>
          <cell r="J108">
            <v>0</v>
          </cell>
          <cell r="K108">
            <v>0</v>
          </cell>
          <cell r="L108">
            <v>0</v>
          </cell>
          <cell r="M108">
            <v>0</v>
          </cell>
        </row>
        <row r="109">
          <cell r="A109" t="str">
            <v>COMP_107</v>
          </cell>
          <cell r="B109" t="str">
            <v>ELETRICISTA (MENSALISTA)</v>
          </cell>
          <cell r="C109" t="str">
            <v>MES</v>
          </cell>
          <cell r="D109">
            <v>14</v>
          </cell>
          <cell r="E109" t="str">
            <v>40918 (I)</v>
          </cell>
          <cell r="F109" t="str">
            <v>SINAPI – 10/17</v>
          </cell>
          <cell r="G109">
            <v>2352.8000000000002</v>
          </cell>
          <cell r="H109">
            <v>2995.1144000000004</v>
          </cell>
          <cell r="I109">
            <v>41931.601600000009</v>
          </cell>
          <cell r="J109">
            <v>0</v>
          </cell>
          <cell r="K109">
            <v>0</v>
          </cell>
          <cell r="L109">
            <v>0</v>
          </cell>
          <cell r="M109">
            <v>0</v>
          </cell>
        </row>
        <row r="110">
          <cell r="A110" t="str">
            <v>COMP_108</v>
          </cell>
          <cell r="B110" t="str">
            <v>MESTRE DE OBRAS COM ENCARGOS COMPLEMENTARES</v>
          </cell>
          <cell r="C110" t="str">
            <v>MES</v>
          </cell>
          <cell r="D110">
            <v>14</v>
          </cell>
          <cell r="E110">
            <v>94295</v>
          </cell>
          <cell r="F110" t="str">
            <v>SINAPI – 10/17</v>
          </cell>
          <cell r="G110">
            <v>6535.2</v>
          </cell>
          <cell r="H110">
            <v>8319.3096000000005</v>
          </cell>
          <cell r="I110">
            <v>116470.33440000001</v>
          </cell>
          <cell r="J110">
            <v>0</v>
          </cell>
          <cell r="K110">
            <v>0</v>
          </cell>
          <cell r="L110">
            <v>0</v>
          </cell>
          <cell r="M110">
            <v>0</v>
          </cell>
        </row>
        <row r="111">
          <cell r="A111" t="str">
            <v>COMP_109</v>
          </cell>
          <cell r="B111" t="str">
            <v>ENCARREGADO GERAL DE OBRAS COM ENCARGOS COMPLEMENTARES</v>
          </cell>
          <cell r="C111" t="str">
            <v>MES</v>
          </cell>
          <cell r="D111">
            <v>14</v>
          </cell>
          <cell r="E111">
            <v>93572</v>
          </cell>
          <cell r="F111" t="str">
            <v>SINAPI – 10/17</v>
          </cell>
          <cell r="G111">
            <v>4395.5600000000004</v>
          </cell>
          <cell r="H111">
            <v>5595.547880000001</v>
          </cell>
          <cell r="I111">
            <v>78337.670320000019</v>
          </cell>
          <cell r="J111">
            <v>0</v>
          </cell>
          <cell r="K111">
            <v>0</v>
          </cell>
          <cell r="L111">
            <v>0</v>
          </cell>
          <cell r="M111">
            <v>0</v>
          </cell>
        </row>
        <row r="112">
          <cell r="A112" t="str">
            <v>COMP_110</v>
          </cell>
          <cell r="B112" t="str">
            <v>AUXILIAR DE SERVICOS GERAIS (MENSALISTA)</v>
          </cell>
          <cell r="C112" t="str">
            <v>MES</v>
          </cell>
          <cell r="D112">
            <v>56</v>
          </cell>
          <cell r="E112" t="str">
            <v>41071 (I)</v>
          </cell>
          <cell r="F112" t="str">
            <v>SINAPI – 10/17</v>
          </cell>
          <cell r="G112">
            <v>1705.12</v>
          </cell>
          <cell r="H112">
            <v>2170.6177600000001</v>
          </cell>
          <cell r="I112">
            <v>121554.59456</v>
          </cell>
          <cell r="J112">
            <v>0</v>
          </cell>
          <cell r="K112">
            <v>0</v>
          </cell>
          <cell r="L112">
            <v>0</v>
          </cell>
          <cell r="M112">
            <v>0</v>
          </cell>
        </row>
        <row r="113">
          <cell r="A113" t="str">
            <v>COMP_111</v>
          </cell>
          <cell r="B113" t="str">
            <v xml:space="preserve">VEICULO SEDÃ – 71 A 115CV -  “BDI 17,77% </v>
          </cell>
          <cell r="C113" t="str">
            <v>MES</v>
          </cell>
          <cell r="D113">
            <v>56</v>
          </cell>
          <cell r="E113">
            <v>43201</v>
          </cell>
          <cell r="F113" t="str">
            <v>AGETOP – T128 – DESON</v>
          </cell>
          <cell r="G113">
            <v>3461.84</v>
          </cell>
          <cell r="H113">
            <v>4406.9223200000006</v>
          </cell>
          <cell r="I113">
            <v>246787.64992000003</v>
          </cell>
          <cell r="J113">
            <v>0</v>
          </cell>
          <cell r="K113">
            <v>0</v>
          </cell>
          <cell r="L113">
            <v>0</v>
          </cell>
          <cell r="M113">
            <v>0</v>
          </cell>
        </row>
        <row r="114">
          <cell r="A114" t="str">
            <v>COMP_112</v>
          </cell>
          <cell r="B114" t="str">
            <v>FERRAMENTAS (ENCARGOS COMPLEMENTARES) – MENSALISTA</v>
          </cell>
          <cell r="C114" t="str">
            <v>MES</v>
          </cell>
          <cell r="D114">
            <v>420</v>
          </cell>
          <cell r="E114">
            <v>93556</v>
          </cell>
          <cell r="F114" t="str">
            <v>SINAPI – 10/17</v>
          </cell>
          <cell r="G114">
            <v>85.61</v>
          </cell>
          <cell r="H114">
            <v>108.98153000000001</v>
          </cell>
          <cell r="I114">
            <v>45772.242600000005</v>
          </cell>
          <cell r="J114">
            <v>0</v>
          </cell>
          <cell r="K114">
            <v>0</v>
          </cell>
          <cell r="L114">
            <v>0</v>
          </cell>
          <cell r="M114">
            <v>0</v>
          </cell>
        </row>
        <row r="115">
          <cell r="A115" t="str">
            <v>COMP_113</v>
          </cell>
          <cell r="B115" t="str">
            <v>EPI (ENCARGOS COMPLEMENTARES) – MENSALISTA</v>
          </cell>
          <cell r="C115" t="str">
            <v>MES</v>
          </cell>
          <cell r="D115">
            <v>560</v>
          </cell>
          <cell r="E115">
            <v>93557</v>
          </cell>
          <cell r="F115" t="str">
            <v>SINAPI – 10/17</v>
          </cell>
          <cell r="G115">
            <v>154.91999999999999</v>
          </cell>
          <cell r="H115">
            <v>197.21316000000002</v>
          </cell>
          <cell r="I115">
            <v>110439.36960000001</v>
          </cell>
          <cell r="J115">
            <v>0</v>
          </cell>
          <cell r="K115">
            <v>0</v>
          </cell>
          <cell r="L115">
            <v>0</v>
          </cell>
          <cell r="M115">
            <v>0</v>
          </cell>
        </row>
        <row r="116">
          <cell r="A116" t="str">
            <v>COMP_114</v>
          </cell>
          <cell r="B116" t="str">
            <v>RETIRADA DE MEIO FIO C/ EMPILHAMENTO E S/ REMOCAO</v>
          </cell>
          <cell r="C116" t="str">
            <v>M</v>
          </cell>
          <cell r="D116">
            <v>655.33999999999992</v>
          </cell>
          <cell r="E116">
            <v>85335</v>
          </cell>
          <cell r="F116" t="str">
            <v>SINAPI – 10/17</v>
          </cell>
          <cell r="G116">
            <v>6.23</v>
          </cell>
          <cell r="H116">
            <v>7.9307900000000018</v>
          </cell>
          <cell r="I116">
            <v>5197.3639186000009</v>
          </cell>
          <cell r="J116">
            <v>0</v>
          </cell>
          <cell r="K116">
            <v>0</v>
          </cell>
          <cell r="L116">
            <v>0</v>
          </cell>
          <cell r="M116">
            <v>0</v>
          </cell>
        </row>
        <row r="117">
          <cell r="A117" t="str">
            <v>COMP_115</v>
          </cell>
          <cell r="B117" t="str">
            <v>DEMOLICAO MANUAL DE ESTRUTURA DE CONCRETO ARMADO</v>
          </cell>
          <cell r="C117" t="str">
            <v>M3</v>
          </cell>
          <cell r="D117">
            <v>765</v>
          </cell>
          <cell r="E117">
            <v>85364</v>
          </cell>
          <cell r="F117" t="str">
            <v>SINAPI – 10/17</v>
          </cell>
          <cell r="G117">
            <v>181.45</v>
          </cell>
          <cell r="H117">
            <v>230.98585</v>
          </cell>
          <cell r="I117">
            <v>176704.17525</v>
          </cell>
          <cell r="J117">
            <v>0</v>
          </cell>
          <cell r="K117">
            <v>0</v>
          </cell>
          <cell r="L117">
            <v>0</v>
          </cell>
          <cell r="M117">
            <v>0</v>
          </cell>
        </row>
        <row r="118">
          <cell r="A118" t="str">
            <v>COMP_116</v>
          </cell>
          <cell r="B118" t="str">
            <v>TRANSPORTE DE MATERIAL ASFALTICO, COM CAMINHÃO COM CAPACIDADE DE 30000 L EM RODOVIA PAVIMENTADA PARA DISTÂNCIAS MÉDIAS DE TRANSPORTE SUPERIORES A 100 KM. AF_02/2016</v>
          </cell>
          <cell r="C118" t="str">
            <v>T x Km</v>
          </cell>
          <cell r="D118">
            <v>18525.401023999999</v>
          </cell>
          <cell r="E118">
            <v>93176</v>
          </cell>
          <cell r="F118" t="str">
            <v>SINAPI – 10/17</v>
          </cell>
          <cell r="G118">
            <v>0.42</v>
          </cell>
          <cell r="H118">
            <v>0.53466000000000002</v>
          </cell>
          <cell r="I118">
            <v>9904.7909114918402</v>
          </cell>
          <cell r="J118">
            <v>0</v>
          </cell>
          <cell r="K118">
            <v>0</v>
          </cell>
          <cell r="L118">
            <v>0</v>
          </cell>
          <cell r="M118">
            <v>0</v>
          </cell>
        </row>
        <row r="119">
          <cell r="A119" t="str">
            <v>COMP_117</v>
          </cell>
          <cell r="B119" t="str">
            <v>LADRILHO HIDRAULICO, *20 X 20* CM, E= 2 CM, TATIL ALERTA OU DIRECIONAL, AMARELO</v>
          </cell>
          <cell r="C119" t="str">
            <v>M2</v>
          </cell>
          <cell r="D119">
            <v>204.20000000000002</v>
          </cell>
          <cell r="E119" t="str">
            <v>38135 (I)</v>
          </cell>
          <cell r="F119" t="str">
            <v>SINAPI – 10/17</v>
          </cell>
          <cell r="G119">
            <v>58.65</v>
          </cell>
          <cell r="H119">
            <v>74.661450000000002</v>
          </cell>
          <cell r="I119">
            <v>15245.868090000002</v>
          </cell>
          <cell r="J119">
            <v>0</v>
          </cell>
          <cell r="K119">
            <v>0</v>
          </cell>
          <cell r="L119">
            <v>0</v>
          </cell>
          <cell r="M119">
            <v>0</v>
          </cell>
        </row>
        <row r="120">
          <cell r="A120" t="str">
            <v>COMP_118</v>
          </cell>
          <cell r="B120" t="str">
            <v>ENSAIO DE PENETRACAO - MATERIAL BETUMINOSO</v>
          </cell>
          <cell r="C120" t="str">
            <v>UNID</v>
          </cell>
          <cell r="D120">
            <v>0</v>
          </cell>
          <cell r="E120" t="str">
            <v>74022/1</v>
          </cell>
          <cell r="F120" t="str">
            <v>SINAPI – 10/17</v>
          </cell>
          <cell r="G120">
            <v>143.78</v>
          </cell>
          <cell r="H120">
            <v>183.03194000000002</v>
          </cell>
          <cell r="I120">
            <v>0</v>
          </cell>
          <cell r="J120">
            <v>0</v>
          </cell>
          <cell r="K120">
            <v>0</v>
          </cell>
          <cell r="L120">
            <v>0</v>
          </cell>
          <cell r="M120">
            <v>0</v>
          </cell>
        </row>
        <row r="121">
          <cell r="A121" t="str">
            <v>COMP_119</v>
          </cell>
          <cell r="B121" t="str">
            <v>ENSAIO DE VISCOSIDADE SAYBOLT - FUROL - MATERIAL BETUMINOSO</v>
          </cell>
          <cell r="C121" t="str">
            <v>UNID</v>
          </cell>
          <cell r="D121">
            <v>32</v>
          </cell>
          <cell r="E121" t="str">
            <v>74022/2</v>
          </cell>
          <cell r="F121" t="str">
            <v>SINAPI – 10/17</v>
          </cell>
          <cell r="G121">
            <v>186.07</v>
          </cell>
          <cell r="H121">
            <v>236.86711000000003</v>
          </cell>
          <cell r="I121">
            <v>7579.7475200000008</v>
          </cell>
          <cell r="J121">
            <v>0</v>
          </cell>
          <cell r="K121">
            <v>0</v>
          </cell>
          <cell r="L121">
            <v>0</v>
          </cell>
          <cell r="M121">
            <v>0</v>
          </cell>
        </row>
        <row r="122">
          <cell r="A122" t="str">
            <v>COMP_120</v>
          </cell>
          <cell r="B122" t="str">
            <v>ENSAIO DE DETERMINACAO DA PENEIRACAO - EMULSAO ASFALTICA</v>
          </cell>
          <cell r="C122" t="str">
            <v>UNID</v>
          </cell>
          <cell r="D122">
            <v>32</v>
          </cell>
          <cell r="E122" t="str">
            <v>74022/3</v>
          </cell>
          <cell r="F122" t="str">
            <v>SINAPI – 10/17</v>
          </cell>
          <cell r="G122">
            <v>169.16</v>
          </cell>
          <cell r="H122">
            <v>215.34068000000002</v>
          </cell>
          <cell r="I122">
            <v>6890.9017600000006</v>
          </cell>
          <cell r="J122">
            <v>0</v>
          </cell>
          <cell r="K122">
            <v>0</v>
          </cell>
          <cell r="L122">
            <v>0</v>
          </cell>
          <cell r="M122">
            <v>0</v>
          </cell>
        </row>
        <row r="123">
          <cell r="A123" t="str">
            <v>COMP_121</v>
          </cell>
          <cell r="B123">
            <v>0</v>
          </cell>
          <cell r="C123">
            <v>0</v>
          </cell>
          <cell r="D123">
            <v>0</v>
          </cell>
          <cell r="E123">
            <v>0</v>
          </cell>
          <cell r="F123">
            <v>0</v>
          </cell>
          <cell r="G123">
            <v>0</v>
          </cell>
          <cell r="H123">
            <v>0</v>
          </cell>
          <cell r="I123">
            <v>0</v>
          </cell>
          <cell r="J123">
            <v>0</v>
          </cell>
          <cell r="K123">
            <v>0</v>
          </cell>
          <cell r="L123">
            <v>0</v>
          </cell>
          <cell r="M123">
            <v>0</v>
          </cell>
        </row>
        <row r="124">
          <cell r="A124" t="str">
            <v>COMP_122</v>
          </cell>
          <cell r="B124" t="str">
            <v>ENSAIO DE DETERMINACAO DO TEOR DE BETUME - CIMENTO ASFALTICO DE PETROL</v>
          </cell>
          <cell r="C124" t="str">
            <v>UNID</v>
          </cell>
          <cell r="D124">
            <v>32</v>
          </cell>
          <cell r="E124" t="str">
            <v>74022/5</v>
          </cell>
          <cell r="F124" t="str">
            <v>SINAPI – 10/17</v>
          </cell>
          <cell r="G124">
            <v>148.01</v>
          </cell>
          <cell r="H124">
            <v>188.41673</v>
          </cell>
          <cell r="I124">
            <v>6029.33536</v>
          </cell>
          <cell r="J124">
            <v>0</v>
          </cell>
          <cell r="K124">
            <v>0</v>
          </cell>
          <cell r="L124">
            <v>0</v>
          </cell>
          <cell r="M124">
            <v>0</v>
          </cell>
        </row>
        <row r="125">
          <cell r="A125" t="str">
            <v>COMP_123</v>
          </cell>
          <cell r="B125" t="str">
            <v>ENSAIO DE COMPACTACAO - AMOSTRAS NAO TRABALHADAS - ENERGIA INTERMEDIARIA – SOLOS</v>
          </cell>
          <cell r="C125" t="str">
            <v>UNID</v>
          </cell>
          <cell r="D125">
            <v>173</v>
          </cell>
          <cell r="E125" t="str">
            <v>74022/11</v>
          </cell>
          <cell r="F125" t="str">
            <v>SINAPI – 10/17</v>
          </cell>
          <cell r="G125">
            <v>245.28</v>
          </cell>
          <cell r="H125">
            <v>312.24144000000001</v>
          </cell>
          <cell r="I125">
            <v>54017.769120000004</v>
          </cell>
          <cell r="J125">
            <v>0</v>
          </cell>
          <cell r="K125">
            <v>0</v>
          </cell>
          <cell r="L125">
            <v>0</v>
          </cell>
          <cell r="M125">
            <v>0</v>
          </cell>
        </row>
        <row r="126">
          <cell r="A126" t="str">
            <v>COMP_124</v>
          </cell>
          <cell r="B126" t="str">
            <v>CARGA, MANOBRAS E DESCARGA DE AREIA, BRITA, PEDRA DE MAO E SOLOS COM AMINHAO BASCULANTE 6 M3 (DESCARGA LIVRE)</v>
          </cell>
          <cell r="C126" t="str">
            <v>T</v>
          </cell>
          <cell r="D126">
            <v>85927.23</v>
          </cell>
          <cell r="E126">
            <v>72844</v>
          </cell>
          <cell r="F126" t="str">
            <v>SINAPI – 10/17</v>
          </cell>
          <cell r="G126">
            <v>0.74</v>
          </cell>
          <cell r="H126">
            <v>0.94202000000000008</v>
          </cell>
          <cell r="I126">
            <v>80945.16920460001</v>
          </cell>
          <cell r="J126">
            <v>0</v>
          </cell>
          <cell r="K126">
            <v>0</v>
          </cell>
          <cell r="L126">
            <v>0</v>
          </cell>
          <cell r="M126">
            <v>0</v>
          </cell>
        </row>
        <row r="127">
          <cell r="A127" t="str">
            <v>COMP_125</v>
          </cell>
          <cell r="B127" t="str">
            <v>GUIA (MEIO-FIO) CONCRETO, MOLDADA IN LOCO EM TRECHO CURVO COM EXTRUSORA, 11,5 CM BASE X 22 CM ALTURA. AF_06/2016</v>
          </cell>
          <cell r="C127" t="str">
            <v>M</v>
          </cell>
          <cell r="D127">
            <v>1419.56</v>
          </cell>
          <cell r="E127">
            <v>94264</v>
          </cell>
          <cell r="F127" t="str">
            <v>SINAPI – 10/17</v>
          </cell>
          <cell r="G127">
            <v>22.26</v>
          </cell>
          <cell r="H127">
            <v>28.336980000000004</v>
          </cell>
          <cell r="I127">
            <v>40226.043328800006</v>
          </cell>
          <cell r="J127">
            <v>0</v>
          </cell>
          <cell r="K127">
            <v>0</v>
          </cell>
          <cell r="L127">
            <v>0</v>
          </cell>
          <cell r="M127">
            <v>0</v>
          </cell>
        </row>
        <row r="128">
          <cell r="A128" t="str">
            <v>COMP_126</v>
          </cell>
          <cell r="B128" t="str">
            <v>PLACA DE SINALIZACAO EM CHAPA DE ALUMINIO COM PINTURA REFLETIVA, E = 2 MM</v>
          </cell>
          <cell r="C128" t="str">
            <v>M2</v>
          </cell>
          <cell r="D128">
            <v>1.62</v>
          </cell>
          <cell r="E128">
            <v>34721</v>
          </cell>
          <cell r="F128" t="str">
            <v>SINAPI – 10/17</v>
          </cell>
          <cell r="G128">
            <v>648</v>
          </cell>
          <cell r="H128">
            <v>824.90400000000011</v>
          </cell>
          <cell r="I128">
            <v>1336.3444800000002</v>
          </cell>
          <cell r="J128">
            <v>0</v>
          </cell>
          <cell r="K128">
            <v>0</v>
          </cell>
          <cell r="L128">
            <v>0</v>
          </cell>
          <cell r="M128">
            <v>0</v>
          </cell>
        </row>
        <row r="129">
          <cell r="A129" t="str">
            <v>COMP_127</v>
          </cell>
          <cell r="B129" t="str">
            <v>POSTE CONICO CONTINUO EM ACO GALVANIZADO, RETO, FLANGEADO, H = 3 M, DIAMETRO
INFERIOR = *95* MM</v>
          </cell>
          <cell r="C129" t="str">
            <v>UNID</v>
          </cell>
          <cell r="D129">
            <v>20</v>
          </cell>
          <cell r="E129" t="str">
            <v>73769/4</v>
          </cell>
          <cell r="F129" t="str">
            <v>SINAPI – 10/17</v>
          </cell>
          <cell r="G129">
            <v>299.02999999999997</v>
          </cell>
          <cell r="H129">
            <v>380.66519</v>
          </cell>
          <cell r="I129">
            <v>7613.3037999999997</v>
          </cell>
          <cell r="J129">
            <v>0</v>
          </cell>
          <cell r="K129">
            <v>0</v>
          </cell>
          <cell r="L129">
            <v>0</v>
          </cell>
          <cell r="M129">
            <v>0</v>
          </cell>
        </row>
        <row r="130">
          <cell r="A130" t="str">
            <v>COMP_128</v>
          </cell>
          <cell r="B130" t="str">
            <v>LASTRO DE CONCRETO, PREPARO MECÂNICO, INCLUSOS ADITIVO IMPERMEABILIZANTE, LANÇAMENTO E ADENSAMENTO</v>
          </cell>
          <cell r="C130" t="str">
            <v>M3</v>
          </cell>
          <cell r="D130">
            <v>208.91665999999998</v>
          </cell>
          <cell r="E130">
            <v>83534</v>
          </cell>
          <cell r="F130" t="str">
            <v>SINAPI – 10/17</v>
          </cell>
          <cell r="G130">
            <v>437.51</v>
          </cell>
          <cell r="H130">
            <v>556.95023000000003</v>
          </cell>
          <cell r="I130">
            <v>116356.1818378318</v>
          </cell>
          <cell r="J130">
            <v>0</v>
          </cell>
          <cell r="K130">
            <v>0</v>
          </cell>
          <cell r="L130">
            <v>0</v>
          </cell>
          <cell r="M130">
            <v>0</v>
          </cell>
        </row>
        <row r="131">
          <cell r="A131" t="str">
            <v>COMP_129</v>
          </cell>
          <cell r="B131" t="str">
            <v>CAMADA HORIZONTAL DRENANTE C/ PEDRA BRITADA 1 E 2</v>
          </cell>
          <cell r="C131" t="str">
            <v>M3</v>
          </cell>
          <cell r="D131">
            <v>947.66319999999996</v>
          </cell>
          <cell r="E131">
            <v>83683</v>
          </cell>
          <cell r="F131" t="str">
            <v>SINAPI – 10/17</v>
          </cell>
          <cell r="G131">
            <v>86.81</v>
          </cell>
          <cell r="H131">
            <v>110.50913000000001</v>
          </cell>
          <cell r="I131">
            <v>104725.43576501601</v>
          </cell>
          <cell r="J131">
            <v>0</v>
          </cell>
          <cell r="K131">
            <v>0</v>
          </cell>
          <cell r="L131">
            <v>0</v>
          </cell>
          <cell r="M131">
            <v>0</v>
          </cell>
        </row>
        <row r="132">
          <cell r="A132" t="str">
            <v>COMP_130</v>
          </cell>
          <cell r="B132" t="str">
            <v>PLANTIO DE GRAMA ESMERALDA EM ROLO</v>
          </cell>
          <cell r="C132" t="str">
            <v>M2</v>
          </cell>
          <cell r="D132">
            <v>0</v>
          </cell>
          <cell r="E132">
            <v>85180</v>
          </cell>
          <cell r="F132" t="str">
            <v>SINAPI – 10/17</v>
          </cell>
          <cell r="G132">
            <v>11.45</v>
          </cell>
          <cell r="H132">
            <v>14.575850000000001</v>
          </cell>
          <cell r="I132">
            <v>0</v>
          </cell>
        </row>
        <row r="133">
          <cell r="A133" t="str">
            <v>COMP_131</v>
          </cell>
          <cell r="B133" t="str">
            <v>PLANTIO DE ARVORE, ALTURA DE 1,00M, EM CAVAS DE 80X80X80CM</v>
          </cell>
          <cell r="C133" t="str">
            <v>UNID</v>
          </cell>
          <cell r="D133">
            <v>0</v>
          </cell>
          <cell r="E133" t="str">
            <v>73967/1</v>
          </cell>
          <cell r="F133" t="str">
            <v>SINAPI – 10/17</v>
          </cell>
          <cell r="G133">
            <v>89.7</v>
          </cell>
          <cell r="H133">
            <v>114.18810000000002</v>
          </cell>
          <cell r="I133">
            <v>0</v>
          </cell>
        </row>
        <row r="134">
          <cell r="A134" t="str">
            <v>COMP_132</v>
          </cell>
          <cell r="B134" t="str">
            <v>PLANTIO DE ARVORE REGIONAL, ALTURA MAIOR QUE 2,00M, EM CAVAS DE 80X80X80CM</v>
          </cell>
          <cell r="C134" t="str">
            <v>UNID</v>
          </cell>
          <cell r="D134">
            <v>0</v>
          </cell>
          <cell r="E134" t="str">
            <v>73967/2</v>
          </cell>
          <cell r="F134" t="str">
            <v>SINAPI – 10/17</v>
          </cell>
          <cell r="G134">
            <v>112.11</v>
          </cell>
          <cell r="H134">
            <v>142.71603000000002</v>
          </cell>
          <cell r="I134">
            <v>0</v>
          </cell>
        </row>
        <row r="135">
          <cell r="A135" t="str">
            <v>COMP_133</v>
          </cell>
          <cell r="B135" t="str">
            <v>MUDA DE PALMEIRA, ARECA, H= *1,50* CM</v>
          </cell>
          <cell r="C135" t="str">
            <v>UNID</v>
          </cell>
          <cell r="D135">
            <v>0</v>
          </cell>
          <cell r="E135" t="str">
            <v>38641(I)</v>
          </cell>
          <cell r="F135" t="str">
            <v>SINAPI – 10/17</v>
          </cell>
          <cell r="G135">
            <v>43.1</v>
          </cell>
          <cell r="H135">
            <v>54.86630000000001</v>
          </cell>
          <cell r="I135">
            <v>0</v>
          </cell>
        </row>
        <row r="136">
          <cell r="A136" t="str">
            <v>COMP_134</v>
          </cell>
          <cell r="B136" t="str">
            <v>MUDA DE ARBUSTO FLORIFERO, CLUSIA/GARDENIA/MOREIA BRANCA/ AZALEIA OU
EQUIVALENTE DA REGIAO, H= *50 A 70* CM</v>
          </cell>
          <cell r="C136" t="str">
            <v>UNID</v>
          </cell>
          <cell r="D136">
            <v>0</v>
          </cell>
          <cell r="E136" t="str">
            <v>10826(I)</v>
          </cell>
          <cell r="F136" t="str">
            <v>SINAPI – 10/17</v>
          </cell>
          <cell r="G136">
            <v>28.73</v>
          </cell>
          <cell r="H136">
            <v>36.573290000000007</v>
          </cell>
          <cell r="I136">
            <v>0</v>
          </cell>
          <cell r="J136">
            <v>0</v>
          </cell>
          <cell r="K136">
            <v>0</v>
          </cell>
          <cell r="L136">
            <v>0</v>
          </cell>
          <cell r="M136">
            <v>0</v>
          </cell>
        </row>
        <row r="137">
          <cell r="A137" t="str">
            <v>COMP_135</v>
          </cell>
          <cell r="B137" t="str">
            <v>MUDA DE ARBUSTO, PINGO DE OURO/ VIOLETEIRA, H = *10 A 20* CM</v>
          </cell>
          <cell r="C137" t="str">
            <v>UNID</v>
          </cell>
          <cell r="D137">
            <v>0</v>
          </cell>
          <cell r="E137" t="str">
            <v>38640(I)</v>
          </cell>
          <cell r="F137" t="str">
            <v>SINAPI – 10/17</v>
          </cell>
          <cell r="G137">
            <v>1.08</v>
          </cell>
          <cell r="H137">
            <v>1.3748400000000003</v>
          </cell>
          <cell r="I137">
            <v>0</v>
          </cell>
          <cell r="J137">
            <v>0</v>
          </cell>
          <cell r="K137">
            <v>0</v>
          </cell>
          <cell r="L137">
            <v>0</v>
          </cell>
          <cell r="M137">
            <v>0</v>
          </cell>
        </row>
        <row r="138">
          <cell r="A138" t="str">
            <v>COMP_136</v>
          </cell>
          <cell r="B138" t="str">
            <v>MUDA DE RASTEIRA/FORRACAO, AMENDOIM RASTEIRO/ONZE HORAS/AZULZINHA/IMPATIENS
OU EQUIVALENTE DA REGIAO</v>
          </cell>
          <cell r="C138" t="str">
            <v>UNID</v>
          </cell>
          <cell r="D138">
            <v>0</v>
          </cell>
          <cell r="E138" t="str">
            <v>360(I)</v>
          </cell>
          <cell r="F138" t="str">
            <v>SINAPI – 10/17</v>
          </cell>
          <cell r="G138">
            <v>1</v>
          </cell>
          <cell r="H138">
            <v>1.2730000000000001</v>
          </cell>
          <cell r="I138">
            <v>0</v>
          </cell>
          <cell r="J138">
            <v>0</v>
          </cell>
          <cell r="K138">
            <v>0</v>
          </cell>
          <cell r="L138">
            <v>0</v>
          </cell>
          <cell r="M138">
            <v>0</v>
          </cell>
        </row>
        <row r="139">
          <cell r="A139" t="str">
            <v>COMP_137</v>
          </cell>
          <cell r="B139" t="str">
            <v>GRANILHA/ GRANA/ PEDRISCO OU AGREGADO EM MARMORE/ GRANITO/ QUARTZO E
CALCARIO, PRETO, CINZA, PALHA OU BRANCO</v>
          </cell>
          <cell r="C139" t="str">
            <v>KG</v>
          </cell>
          <cell r="D139">
            <v>0</v>
          </cell>
          <cell r="E139" t="str">
            <v>4824(I)</v>
          </cell>
          <cell r="F139" t="str">
            <v>SINAPI – 10/17</v>
          </cell>
          <cell r="G139">
            <v>0.36</v>
          </cell>
          <cell r="H139">
            <v>0.45828000000000002</v>
          </cell>
          <cell r="I139">
            <v>0</v>
          </cell>
          <cell r="J139">
            <v>0</v>
          </cell>
          <cell r="K139">
            <v>0</v>
          </cell>
          <cell r="L139">
            <v>0</v>
          </cell>
          <cell r="M139">
            <v>0</v>
          </cell>
        </row>
        <row r="140">
          <cell r="A140" t="str">
            <v>COMP_138</v>
          </cell>
          <cell r="B140" t="str">
            <v>BANCO DE CONCRETO POLIDO BASE EM ALVENARIA REBOCADA E PINTADA - PADRÃO AGETOP 2015</v>
          </cell>
          <cell r="C140" t="str">
            <v>UNID</v>
          </cell>
          <cell r="D140">
            <v>0</v>
          </cell>
          <cell r="E140">
            <v>271303</v>
          </cell>
          <cell r="F140" t="str">
            <v>AGETOP – T128 – DESON</v>
          </cell>
          <cell r="G140">
            <v>158.27000000000001</v>
          </cell>
          <cell r="H140">
            <v>201.47771000000003</v>
          </cell>
          <cell r="I140">
            <v>0</v>
          </cell>
          <cell r="J140">
            <v>0</v>
          </cell>
          <cell r="K140">
            <v>0</v>
          </cell>
          <cell r="L140">
            <v>0</v>
          </cell>
          <cell r="M140">
            <v>0</v>
          </cell>
        </row>
        <row r="141">
          <cell r="A141" t="str">
            <v>COMP_139</v>
          </cell>
          <cell r="B141" t="str">
            <v>PAVIMENTO EM CONCRETO TIPO CONCREGRAMA/PISOGRAMA/PATIOGRAMA ( PLANTIO DA GRAMA
INCLUSO</v>
          </cell>
          <cell r="C141" t="str">
            <v>M2</v>
          </cell>
          <cell r="D141">
            <v>0</v>
          </cell>
          <cell r="E141">
            <v>270215</v>
          </cell>
          <cell r="F141" t="str">
            <v>AGETOP – T128 – DESON</v>
          </cell>
          <cell r="G141">
            <v>44</v>
          </cell>
          <cell r="H141">
            <v>56.012000000000008</v>
          </cell>
          <cell r="I141">
            <v>0</v>
          </cell>
          <cell r="J141">
            <v>0</v>
          </cell>
          <cell r="K141">
            <v>0</v>
          </cell>
          <cell r="L141">
            <v>0</v>
          </cell>
          <cell r="M141">
            <v>0</v>
          </cell>
        </row>
        <row r="142">
          <cell r="A142" t="str">
            <v>COMP_140</v>
          </cell>
          <cell r="B142" t="str">
            <v>ALCA PREFORMADA DE DISTRIBUICAO, EM ACO GALVANIZADO, PARA CONDUTORES DE
ALUMINIO AWG 2 (CAA 6/1 OU CA 7 FIOS)</v>
          </cell>
          <cell r="C142" t="str">
            <v>UNID</v>
          </cell>
          <cell r="D142">
            <v>0</v>
          </cell>
          <cell r="E142" t="str">
            <v>11272 (I)</v>
          </cell>
          <cell r="F142" t="str">
            <v>SINAPI – 10/17</v>
          </cell>
          <cell r="G142">
            <v>3.56</v>
          </cell>
          <cell r="H142">
            <v>4.5318800000000001</v>
          </cell>
          <cell r="I142">
            <v>0</v>
          </cell>
          <cell r="J142">
            <v>0</v>
          </cell>
          <cell r="K142">
            <v>0</v>
          </cell>
          <cell r="L142">
            <v>0</v>
          </cell>
          <cell r="M142">
            <v>0</v>
          </cell>
        </row>
        <row r="143">
          <cell r="A143" t="str">
            <v>COMP_141</v>
          </cell>
          <cell r="B143" t="str">
            <v>ALCA PREFORMADA DE CONTRA POSTE, EM ACO GALVANIZADO, PARA CABO 3/16",
COMPRIMENTO *860* MM</v>
          </cell>
          <cell r="C143" t="str">
            <v>UNID</v>
          </cell>
          <cell r="D143">
            <v>0</v>
          </cell>
          <cell r="E143" t="str">
            <v>427 (I)</v>
          </cell>
          <cell r="F143" t="str">
            <v>SINAPI – 10/17</v>
          </cell>
          <cell r="G143">
            <v>4.03</v>
          </cell>
          <cell r="H143">
            <v>5.1301900000000007</v>
          </cell>
          <cell r="I143">
            <v>0</v>
          </cell>
          <cell r="J143">
            <v>0</v>
          </cell>
          <cell r="K143">
            <v>0</v>
          </cell>
          <cell r="L143">
            <v>0</v>
          </cell>
          <cell r="M143">
            <v>0</v>
          </cell>
        </row>
        <row r="144">
          <cell r="A144" t="str">
            <v>COMP_142</v>
          </cell>
          <cell r="B144" t="str">
            <v>ALCA PREFORMADA DE DISTRIBUICAO, EM ACO GALVANIZADO, PARA CABO DE ALUMINIO
DIAMETRO 16 A 25 MM</v>
          </cell>
          <cell r="C144" t="str">
            <v>UNID</v>
          </cell>
          <cell r="D144">
            <v>0</v>
          </cell>
          <cell r="E144" t="str">
            <v>417 (I)</v>
          </cell>
          <cell r="F144" t="str">
            <v>SINAPI – 10/17</v>
          </cell>
          <cell r="G144">
            <v>1.9</v>
          </cell>
          <cell r="H144">
            <v>2.4187000000000003</v>
          </cell>
          <cell r="I144">
            <v>0</v>
          </cell>
          <cell r="J144">
            <v>0</v>
          </cell>
          <cell r="K144">
            <v>0</v>
          </cell>
          <cell r="L144">
            <v>0</v>
          </cell>
          <cell r="M144">
            <v>0</v>
          </cell>
        </row>
        <row r="145">
          <cell r="A145" t="str">
            <v>COMP_143</v>
          </cell>
          <cell r="B145" t="str">
            <v>ARMACAO SECUNDARIA OU REX COMPLETA PARA QUATRO LINHAS-FORNECIMENTO E INSTALACAO.</v>
          </cell>
          <cell r="C145" t="str">
            <v>UNID</v>
          </cell>
          <cell r="D145">
            <v>0</v>
          </cell>
          <cell r="E145">
            <v>88545</v>
          </cell>
          <cell r="F145" t="str">
            <v>SINAPI – 10/17</v>
          </cell>
          <cell r="G145">
            <v>129.28</v>
          </cell>
          <cell r="H145">
            <v>164.57344000000001</v>
          </cell>
          <cell r="I145">
            <v>0</v>
          </cell>
          <cell r="J145">
            <v>0</v>
          </cell>
          <cell r="K145">
            <v>0</v>
          </cell>
          <cell r="L145">
            <v>0</v>
          </cell>
          <cell r="M145">
            <v>0</v>
          </cell>
        </row>
        <row r="146">
          <cell r="A146" t="str">
            <v>COMP_144</v>
          </cell>
          <cell r="B146" t="str">
            <v>ARMACAO SECUNDARIA OU REX COMPLETA PARA DUAS LINHAS-FORNECIMENTO E INSTALAÇÃO</v>
          </cell>
          <cell r="C146" t="str">
            <v>UNID</v>
          </cell>
          <cell r="D146">
            <v>0</v>
          </cell>
          <cell r="E146">
            <v>88544</v>
          </cell>
          <cell r="F146" t="str">
            <v>SINAPI – 10/17</v>
          </cell>
          <cell r="G146">
            <v>70.239999999999995</v>
          </cell>
          <cell r="H146">
            <v>89.415520000000001</v>
          </cell>
          <cell r="I146">
            <v>0</v>
          </cell>
          <cell r="J146">
            <v>0</v>
          </cell>
          <cell r="K146">
            <v>0</v>
          </cell>
          <cell r="L146">
            <v>0</v>
          </cell>
          <cell r="M146">
            <v>0</v>
          </cell>
        </row>
        <row r="147">
          <cell r="A147" t="str">
            <v>COMP_145</v>
          </cell>
          <cell r="B147" t="str">
            <v>ARRUELA QUADRADA EM ACO GALVANIZADO, DIMENSAO = 38 MM, ESPESSURA = 3MM,
DIAMETRO DO FURO= 18 MM</v>
          </cell>
          <cell r="C147" t="str">
            <v>UNID</v>
          </cell>
          <cell r="D147">
            <v>0</v>
          </cell>
          <cell r="E147" t="str">
            <v>379(I)</v>
          </cell>
          <cell r="F147" t="str">
            <v>SINAPI – 10/17</v>
          </cell>
          <cell r="G147">
            <v>0.55000000000000004</v>
          </cell>
          <cell r="H147">
            <v>0.70015000000000016</v>
          </cell>
          <cell r="I147">
            <v>0</v>
          </cell>
          <cell r="J147">
            <v>0</v>
          </cell>
          <cell r="K147">
            <v>0</v>
          </cell>
          <cell r="L147">
            <v>0</v>
          </cell>
          <cell r="M147">
            <v>0</v>
          </cell>
        </row>
        <row r="148">
          <cell r="A148" t="str">
            <v>COMP_146</v>
          </cell>
          <cell r="B148" t="str">
            <v>ABRACADEIRA DE NYLON PARA AMARRACAO DE CABOS, COMPRIMENTO DE *230* X *7,6* MM</v>
          </cell>
          <cell r="C148" t="str">
            <v>UNID</v>
          </cell>
          <cell r="D148">
            <v>0</v>
          </cell>
          <cell r="E148" t="str">
            <v>4129(I)</v>
          </cell>
          <cell r="F148" t="str">
            <v>SINAPI – 10/17</v>
          </cell>
          <cell r="G148">
            <v>0.56000000000000005</v>
          </cell>
          <cell r="H148">
            <v>0.71288000000000018</v>
          </cell>
          <cell r="I148">
            <v>0</v>
          </cell>
          <cell r="J148">
            <v>0</v>
          </cell>
          <cell r="K148">
            <v>0</v>
          </cell>
          <cell r="L148">
            <v>0</v>
          </cell>
          <cell r="M148">
            <v>0</v>
          </cell>
        </row>
        <row r="149">
          <cell r="A149" t="str">
            <v>COMP_147</v>
          </cell>
          <cell r="B149" t="str">
            <v>CABO DE COBRE, RIGIDO, CLASSE 2, COMPACTADO, BLINDADO, ISOLACAO EM EPR OU XLPE,
COBERTURA ANTICHAMA EM PVC, PEAD OU HFFR, 1 CONDUTOR, 20/35 KV, SECAO NOMINAL
400 MM2</v>
          </cell>
          <cell r="C149" t="str">
            <v>M</v>
          </cell>
          <cell r="D149">
            <v>0</v>
          </cell>
          <cell r="E149" t="str">
            <v>880(I)</v>
          </cell>
          <cell r="F149" t="str">
            <v>SINAPI – 10/17</v>
          </cell>
          <cell r="G149">
            <v>275.63</v>
          </cell>
          <cell r="H149">
            <v>350.87699000000003</v>
          </cell>
          <cell r="I149">
            <v>0</v>
          </cell>
          <cell r="J149">
            <v>0</v>
          </cell>
          <cell r="K149">
            <v>0</v>
          </cell>
          <cell r="L149">
            <v>0</v>
          </cell>
          <cell r="M149">
            <v>0</v>
          </cell>
        </row>
        <row r="150">
          <cell r="A150" t="str">
            <v>COMP_148</v>
          </cell>
          <cell r="B150" t="str">
            <v>CABO DE COBRE FLEXÍVEL ISOLADO, 50 MM2, ANTI-CHAMA 0,6/1,0 KV, PARA DISTRIBUIÇÃO - FORNECIMENTO E INSTALAÇÃO. AF_12/2015</v>
          </cell>
          <cell r="C150" t="str">
            <v>M</v>
          </cell>
          <cell r="D150">
            <v>0</v>
          </cell>
          <cell r="E150">
            <v>92988</v>
          </cell>
          <cell r="F150" t="str">
            <v>SINAPI – 10/17</v>
          </cell>
          <cell r="G150">
            <v>29.47</v>
          </cell>
          <cell r="H150">
            <v>37.515309999999999</v>
          </cell>
          <cell r="I150">
            <v>0</v>
          </cell>
          <cell r="J150">
            <v>0</v>
          </cell>
          <cell r="K150">
            <v>0</v>
          </cell>
          <cell r="L150">
            <v>0</v>
          </cell>
          <cell r="M150">
            <v>0</v>
          </cell>
        </row>
        <row r="151">
          <cell r="A151" t="str">
            <v>COMP_149</v>
          </cell>
          <cell r="B151" t="str">
            <v>CABO MULTIPOLAR DE COBRE, FLEXIVEL, CLASSE 4 OU 5, ISOLACAO EM HEPR, COBERTURA
EM PVC-ST2, ANTICHAMA BWF-B, 0,6/1 KV, 3 CONDUTORES DE 35 MM2</v>
          </cell>
          <cell r="C151" t="str">
            <v>M</v>
          </cell>
          <cell r="D151">
            <v>0</v>
          </cell>
          <cell r="E151" t="str">
            <v>39264(I)</v>
          </cell>
          <cell r="F151" t="str">
            <v>SINAPI – 10/17</v>
          </cell>
          <cell r="G151">
            <v>58.58</v>
          </cell>
          <cell r="H151">
            <v>74.572340000000011</v>
          </cell>
          <cell r="I151">
            <v>0</v>
          </cell>
          <cell r="J151">
            <v>0</v>
          </cell>
          <cell r="K151">
            <v>0</v>
          </cell>
          <cell r="L151">
            <v>0</v>
          </cell>
          <cell r="M151">
            <v>0</v>
          </cell>
        </row>
        <row r="152">
          <cell r="A152" t="str">
            <v>COMP_150</v>
          </cell>
          <cell r="B152" t="str">
            <v>CABO MULTIPOLAR DE COBRE, FLEXIVEL, CLASSE 4 OU 5, ISOLACAO EM HEPR, COBERTURA
EM PVC-ST2, ANTICHAMA BWF-B, 0,6/1 KV, 3 CONDUTORES DE 70 MM2</v>
          </cell>
          <cell r="C152" t="str">
            <v>M</v>
          </cell>
          <cell r="D152">
            <v>0</v>
          </cell>
          <cell r="E152" t="str">
            <v>39266(I)</v>
          </cell>
          <cell r="F152" t="str">
            <v>SINAPI – 10/17</v>
          </cell>
          <cell r="G152">
            <v>121.08</v>
          </cell>
          <cell r="H152">
            <v>154.13484000000003</v>
          </cell>
          <cell r="I152">
            <v>0</v>
          </cell>
          <cell r="J152">
            <v>0</v>
          </cell>
          <cell r="K152">
            <v>0</v>
          </cell>
          <cell r="L152">
            <v>0</v>
          </cell>
          <cell r="M152">
            <v>0</v>
          </cell>
        </row>
        <row r="153">
          <cell r="A153" t="str">
            <v>COMP_151</v>
          </cell>
          <cell r="B153" t="str">
            <v>CABO DE ALUMINIO NU COM ALMA DE ACO, BITOLA 2 AWG</v>
          </cell>
          <cell r="C153" t="str">
            <v>M</v>
          </cell>
          <cell r="D153">
            <v>0</v>
          </cell>
          <cell r="E153" t="str">
            <v>25002(I)</v>
          </cell>
          <cell r="F153" t="str">
            <v>SINAPI – 10/17</v>
          </cell>
          <cell r="G153">
            <v>22.66</v>
          </cell>
          <cell r="H153">
            <v>28.846180000000004</v>
          </cell>
          <cell r="I153">
            <v>0</v>
          </cell>
          <cell r="J153">
            <v>0</v>
          </cell>
          <cell r="K153">
            <v>0</v>
          </cell>
          <cell r="L153">
            <v>0</v>
          </cell>
          <cell r="M153">
            <v>0</v>
          </cell>
        </row>
        <row r="154">
          <cell r="A154" t="str">
            <v>COMP_152</v>
          </cell>
          <cell r="B154" t="str">
            <v>CABO DE COBRE NU 25MM2 - FORNECIMENTO E INSTALACAO</v>
          </cell>
          <cell r="C154" t="str">
            <v>M</v>
          </cell>
          <cell r="D154">
            <v>0</v>
          </cell>
          <cell r="E154">
            <v>72252</v>
          </cell>
          <cell r="F154" t="str">
            <v>SINAPI – 10/17</v>
          </cell>
          <cell r="G154">
            <v>15.34</v>
          </cell>
          <cell r="H154">
            <v>19.527820000000002</v>
          </cell>
          <cell r="I154">
            <v>0</v>
          </cell>
          <cell r="J154">
            <v>0</v>
          </cell>
          <cell r="K154">
            <v>0</v>
          </cell>
          <cell r="L154">
            <v>0</v>
          </cell>
          <cell r="M154">
            <v>0</v>
          </cell>
        </row>
        <row r="155">
          <cell r="A155" t="str">
            <v>COMP_153</v>
          </cell>
          <cell r="B155" t="str">
            <v>CANTONEIRA FERRO GALVANIZADO DE ABAS IGUAIS, 1 1/2" X 1/4" (L X E), 3,40 KG/M</v>
          </cell>
          <cell r="C155" t="str">
            <v>M</v>
          </cell>
          <cell r="D155">
            <v>0</v>
          </cell>
          <cell r="E155" t="str">
            <v>574(I)</v>
          </cell>
          <cell r="F155" t="str">
            <v>SINAPI – 10/17</v>
          </cell>
          <cell r="G155">
            <v>14.9</v>
          </cell>
          <cell r="H155">
            <v>18.967700000000001</v>
          </cell>
          <cell r="I155">
            <v>0</v>
          </cell>
          <cell r="J155">
            <v>0</v>
          </cell>
          <cell r="K155">
            <v>0</v>
          </cell>
          <cell r="L155">
            <v>0</v>
          </cell>
          <cell r="M155">
            <v>0</v>
          </cell>
        </row>
        <row r="156">
          <cell r="A156" t="str">
            <v>COMP_154</v>
          </cell>
          <cell r="B156" t="str">
            <v>CINTA CIRCULAR EM ACO GALVANIZADO DE 150 MM DE DIAMETRO PARA FIXACAO DE CAIXA
MEDICAO</v>
          </cell>
          <cell r="C156" t="str">
            <v>UNID</v>
          </cell>
          <cell r="D156">
            <v>0</v>
          </cell>
          <cell r="E156" t="str">
            <v>420(i)</v>
          </cell>
          <cell r="F156" t="str">
            <v>SINAPI – 10/17</v>
          </cell>
          <cell r="G156">
            <v>16.77</v>
          </cell>
          <cell r="H156">
            <v>21.348210000000002</v>
          </cell>
          <cell r="I156">
            <v>0</v>
          </cell>
          <cell r="J156">
            <v>0</v>
          </cell>
          <cell r="K156">
            <v>0</v>
          </cell>
          <cell r="L156">
            <v>0</v>
          </cell>
          <cell r="M156">
            <v>0</v>
          </cell>
        </row>
        <row r="157">
          <cell r="A157" t="str">
            <v>COMP_155</v>
          </cell>
          <cell r="B157" t="str">
            <v>CINTA CIRCULAR EM ACO GALVANIZADO DE 210 MM DE DIAMETRO PARA INSTALACAO DE
TRANSFORMADOR EM POSTE DE CONCRETO</v>
          </cell>
          <cell r="C157" t="str">
            <v>UNID</v>
          </cell>
          <cell r="D157">
            <v>0</v>
          </cell>
          <cell r="E157" t="str">
            <v>12327(I)</v>
          </cell>
          <cell r="F157" t="str">
            <v>SINAPI – 10/17</v>
          </cell>
          <cell r="G157">
            <v>19.98</v>
          </cell>
          <cell r="H157">
            <v>25.434540000000002</v>
          </cell>
          <cell r="I157">
            <v>0</v>
          </cell>
          <cell r="J157">
            <v>0</v>
          </cell>
          <cell r="K157">
            <v>0</v>
          </cell>
          <cell r="L157">
            <v>0</v>
          </cell>
          <cell r="M157">
            <v>0</v>
          </cell>
        </row>
        <row r="158">
          <cell r="A158" t="str">
            <v>COMP_156</v>
          </cell>
          <cell r="B158" t="str">
            <v>TERMINAL OU CONECTOR DE PRESSAO - PARA CABO 70MM2 - FORNECIMENTO E INS</v>
          </cell>
          <cell r="C158" t="str">
            <v>UNID</v>
          </cell>
          <cell r="D158">
            <v>0</v>
          </cell>
          <cell r="E158">
            <v>72264</v>
          </cell>
          <cell r="F158" t="str">
            <v>SINAPI – 10/17</v>
          </cell>
          <cell r="G158">
            <v>17.3</v>
          </cell>
          <cell r="H158">
            <v>22.022900000000003</v>
          </cell>
          <cell r="I158">
            <v>0</v>
          </cell>
          <cell r="J158">
            <v>0</v>
          </cell>
          <cell r="K158">
            <v>0</v>
          </cell>
          <cell r="L158">
            <v>0</v>
          </cell>
          <cell r="M158">
            <v>0</v>
          </cell>
        </row>
        <row r="159">
          <cell r="A159" t="str">
            <v>COMP_157</v>
          </cell>
          <cell r="B159" t="str">
            <v>TERMINAL A COMPRESSAO EM COBRE ESTANHADO PARA CABO 70 MM2, 1 FURO E 1
COMPRESSAO, PARA PARAFUSO DE FIXACAO M10</v>
          </cell>
          <cell r="C159" t="str">
            <v>UNID</v>
          </cell>
          <cell r="D159">
            <v>0</v>
          </cell>
          <cell r="E159" t="str">
            <v>1579(I)</v>
          </cell>
          <cell r="F159" t="str">
            <v>SINAPI – 10/17</v>
          </cell>
          <cell r="G159">
            <v>3.11</v>
          </cell>
          <cell r="H159">
            <v>3.9590300000000003</v>
          </cell>
          <cell r="I159">
            <v>0</v>
          </cell>
          <cell r="J159">
            <v>0</v>
          </cell>
          <cell r="K159">
            <v>0</v>
          </cell>
          <cell r="L159">
            <v>0</v>
          </cell>
          <cell r="M159">
            <v>0</v>
          </cell>
        </row>
        <row r="160">
          <cell r="A160" t="str">
            <v>COMP_158</v>
          </cell>
          <cell r="B160" t="str">
            <v>TERMINAL A COMPRESSAO EM COBRE ESTANHADO PARA CABO 50 MM2, 1 FURO E 1
COMPRESSAO, PARA PARAFUSO DE FIXACAO M8</v>
          </cell>
          <cell r="C160" t="str">
            <v>UNID</v>
          </cell>
          <cell r="D160">
            <v>0</v>
          </cell>
          <cell r="E160" t="str">
            <v>1578(I)</v>
          </cell>
          <cell r="F160" t="str">
            <v>SINAPI – 10/17</v>
          </cell>
          <cell r="G160">
            <v>2.8</v>
          </cell>
          <cell r="H160">
            <v>3.5644</v>
          </cell>
          <cell r="I160">
            <v>0</v>
          </cell>
          <cell r="J160">
            <v>0</v>
          </cell>
          <cell r="K160">
            <v>0</v>
          </cell>
          <cell r="L160">
            <v>0</v>
          </cell>
          <cell r="M160">
            <v>0</v>
          </cell>
        </row>
        <row r="161">
          <cell r="A161" t="str">
            <v>COMP_159</v>
          </cell>
          <cell r="B161" t="str">
            <v>CONECTOR METALICO TIPO PARAFUSO FENDIDO (SPLIT BOLT), PARA CABOS ATE 95 MM2</v>
          </cell>
          <cell r="C161" t="str">
            <v>UNID</v>
          </cell>
          <cell r="D161">
            <v>0</v>
          </cell>
          <cell r="E161" t="str">
            <v>11864(I)</v>
          </cell>
          <cell r="F161" t="str">
            <v>SINAPI – 10/17</v>
          </cell>
          <cell r="G161">
            <v>14.95</v>
          </cell>
          <cell r="H161">
            <v>19.03135</v>
          </cell>
          <cell r="I161">
            <v>0</v>
          </cell>
          <cell r="J161">
            <v>0</v>
          </cell>
          <cell r="K161">
            <v>0</v>
          </cell>
          <cell r="L161">
            <v>0</v>
          </cell>
          <cell r="M161">
            <v>0</v>
          </cell>
        </row>
        <row r="162">
          <cell r="A162" t="str">
            <v>COMP_160</v>
          </cell>
          <cell r="B162" t="str">
            <v>CORDOALHA DE COBRE NU, INCLUSIVE ISOLADORES - 35,00 MM2 – FORNECIMENTO E INST.</v>
          </cell>
          <cell r="C162" t="str">
            <v>M</v>
          </cell>
          <cell r="D162">
            <v>0</v>
          </cell>
          <cell r="E162">
            <v>72929</v>
          </cell>
          <cell r="F162" t="str">
            <v>SINAPI – 10/17</v>
          </cell>
          <cell r="G162">
            <v>39.270000000000003</v>
          </cell>
          <cell r="H162">
            <v>49.990710000000007</v>
          </cell>
          <cell r="I162">
            <v>0</v>
          </cell>
          <cell r="J162">
            <v>0</v>
          </cell>
          <cell r="K162">
            <v>0</v>
          </cell>
          <cell r="L162">
            <v>0</v>
          </cell>
          <cell r="M162">
            <v>0</v>
          </cell>
        </row>
        <row r="163">
          <cell r="A163" t="str">
            <v>COMP_161</v>
          </cell>
          <cell r="B163" t="str">
            <v>CORDOALHA DE COBRE NU, INCLUSIVE ISOLADORES - 50,00 MM2 – FORNECIMENTO E INST.</v>
          </cell>
          <cell r="C163" t="str">
            <v>M</v>
          </cell>
          <cell r="D163">
            <v>0</v>
          </cell>
          <cell r="E163">
            <v>72930</v>
          </cell>
          <cell r="F163" t="str">
            <v>SINAPI – 10/17</v>
          </cell>
          <cell r="G163">
            <v>47.91</v>
          </cell>
          <cell r="H163">
            <v>60.989429999999999</v>
          </cell>
          <cell r="I163">
            <v>0</v>
          </cell>
          <cell r="J163">
            <v>0</v>
          </cell>
          <cell r="K163">
            <v>0</v>
          </cell>
          <cell r="L163">
            <v>0</v>
          </cell>
          <cell r="M163">
            <v>0</v>
          </cell>
        </row>
        <row r="164">
          <cell r="A164" t="str">
            <v>COMP_162</v>
          </cell>
          <cell r="B164" t="str">
            <v>ARAME GALVANIZADO 12 BWG, 2,76 MM (0,048 KG/M)</v>
          </cell>
          <cell r="C164" t="str">
            <v>KG</v>
          </cell>
          <cell r="D164">
            <v>0</v>
          </cell>
          <cell r="E164" t="str">
            <v>342(I)</v>
          </cell>
          <cell r="F164" t="str">
            <v>SINAPI – 10/17</v>
          </cell>
          <cell r="G164">
            <v>10.76</v>
          </cell>
          <cell r="H164">
            <v>13.697480000000001</v>
          </cell>
          <cell r="I164">
            <v>0</v>
          </cell>
          <cell r="J164">
            <v>0</v>
          </cell>
          <cell r="K164">
            <v>0</v>
          </cell>
          <cell r="L164">
            <v>0</v>
          </cell>
          <cell r="M164">
            <v>0</v>
          </cell>
        </row>
        <row r="165">
          <cell r="A165" t="str">
            <v>COMP_163</v>
          </cell>
          <cell r="B165" t="str">
            <v>CABO DE COBRE FLEXÍVEL ISOLADO, 1,5 MM2, ANTI-CHAMA 450/750 V, PARA CIRCUITOS TERMINAIS - FORNECIMENTO E INSTALAÇÃO. AF_12/2015</v>
          </cell>
          <cell r="C165" t="str">
            <v>M</v>
          </cell>
          <cell r="D165">
            <v>0</v>
          </cell>
          <cell r="E165">
            <v>91924</v>
          </cell>
          <cell r="F165" t="str">
            <v>SINAPI – 10/17</v>
          </cell>
          <cell r="G165">
            <v>1.67</v>
          </cell>
          <cell r="H165">
            <v>2.1259100000000002</v>
          </cell>
          <cell r="I165">
            <v>0</v>
          </cell>
          <cell r="J165">
            <v>0</v>
          </cell>
          <cell r="K165">
            <v>0</v>
          </cell>
          <cell r="L165">
            <v>0</v>
          </cell>
          <cell r="M165">
            <v>0</v>
          </cell>
        </row>
        <row r="166">
          <cell r="A166" t="str">
            <v>COMP_164</v>
          </cell>
          <cell r="B166" t="str">
            <v>GANCHO OLHAL EM ACO GALVANIZADO, ESPESSURA 16MM, ABERTURA 21MM</v>
          </cell>
          <cell r="C166" t="str">
            <v>UNID</v>
          </cell>
          <cell r="D166">
            <v>0</v>
          </cell>
          <cell r="E166" t="str">
            <v>402(I)</v>
          </cell>
          <cell r="F166" t="str">
            <v>SINAPI – 10/17</v>
          </cell>
          <cell r="G166">
            <v>7.47</v>
          </cell>
          <cell r="H166">
            <v>9.509310000000001</v>
          </cell>
          <cell r="I166">
            <v>0</v>
          </cell>
          <cell r="J166">
            <v>0</v>
          </cell>
          <cell r="K166">
            <v>0</v>
          </cell>
          <cell r="L166">
            <v>0</v>
          </cell>
          <cell r="M166">
            <v>0</v>
          </cell>
        </row>
        <row r="167">
          <cell r="A167" t="str">
            <v>COMP_165</v>
          </cell>
          <cell r="B167" t="str">
            <v>GRAMPO LINHA VIVA DE LATAO ESTANHADO, DIAMETRO DO CONDUTOR PRINCIPAL DE 10 A
120 MM2, DIAMETRO DA DERIVACAO DE 10 A 70 MM2</v>
          </cell>
          <cell r="C167" t="str">
            <v>UNID</v>
          </cell>
          <cell r="D167">
            <v>0</v>
          </cell>
          <cell r="E167" t="str">
            <v>11837(I)</v>
          </cell>
          <cell r="F167" t="str">
            <v>SINAPI – 10/17</v>
          </cell>
          <cell r="G167">
            <v>32.53</v>
          </cell>
          <cell r="H167">
            <v>41.410690000000002</v>
          </cell>
          <cell r="I167">
            <v>0</v>
          </cell>
          <cell r="J167">
            <v>0</v>
          </cell>
          <cell r="K167">
            <v>0</v>
          </cell>
          <cell r="L167">
            <v>0</v>
          </cell>
          <cell r="M167">
            <v>0</v>
          </cell>
        </row>
        <row r="168">
          <cell r="A168" t="str">
            <v>COMP_166</v>
          </cell>
          <cell r="B168" t="str">
            <v>HASTE DE TERRA CANTONEIRA GALVANIZADA L=2,00M COM CONEXOES</v>
          </cell>
          <cell r="C168" t="str">
            <v>UNID</v>
          </cell>
          <cell r="D168">
            <v>0</v>
          </cell>
          <cell r="E168">
            <v>83483</v>
          </cell>
          <cell r="F168" t="str">
            <v>SINAPI – 10/17</v>
          </cell>
          <cell r="G168">
            <v>49.8</v>
          </cell>
          <cell r="H168">
            <v>63.395400000000002</v>
          </cell>
          <cell r="I168">
            <v>0</v>
          </cell>
          <cell r="J168">
            <v>0</v>
          </cell>
          <cell r="K168">
            <v>0</v>
          </cell>
          <cell r="L168">
            <v>0</v>
          </cell>
          <cell r="M168">
            <v>0</v>
          </cell>
        </row>
        <row r="169">
          <cell r="A169" t="str">
            <v>COMP_167</v>
          </cell>
          <cell r="B169" t="str">
            <v>ISOLADOR DE SUSPENSAO (DISCO) TP CAVILHA CLASSE 15KV - 6''. FORNECIMENTO E INSTALACAO.</v>
          </cell>
          <cell r="C169" t="str">
            <v>UNID</v>
          </cell>
          <cell r="D169">
            <v>0</v>
          </cell>
          <cell r="E169" t="str">
            <v>73781/3</v>
          </cell>
          <cell r="F169" t="str">
            <v>SINAPI – 10/17</v>
          </cell>
          <cell r="G169">
            <v>103.01</v>
          </cell>
          <cell r="H169">
            <v>131.13173000000003</v>
          </cell>
          <cell r="I169">
            <v>0</v>
          </cell>
          <cell r="J169">
            <v>0</v>
          </cell>
          <cell r="K169">
            <v>0</v>
          </cell>
          <cell r="L169">
            <v>0</v>
          </cell>
          <cell r="M169">
            <v>0</v>
          </cell>
        </row>
        <row r="170">
          <cell r="A170" t="str">
            <v>COMP_168</v>
          </cell>
          <cell r="B170" t="str">
            <v>ISOLADOR DE PORCELANA SUSPENSO, DISCO TIPO GARFO OLHAL, DIAMETRO DE 152 MM,
PARA TENSAO DE *15* KV</v>
          </cell>
          <cell r="C170" t="str">
            <v>UNID</v>
          </cell>
          <cell r="D170">
            <v>0</v>
          </cell>
          <cell r="E170" t="str">
            <v>3405(I)</v>
          </cell>
          <cell r="F170" t="str">
            <v>SINAPI – 10/17</v>
          </cell>
          <cell r="G170">
            <v>88.08</v>
          </cell>
          <cell r="H170">
            <v>112.12584000000001</v>
          </cell>
          <cell r="I170">
            <v>0</v>
          </cell>
          <cell r="J170">
            <v>0</v>
          </cell>
          <cell r="K170">
            <v>0</v>
          </cell>
          <cell r="L170">
            <v>0</v>
          </cell>
          <cell r="M170">
            <v>0</v>
          </cell>
        </row>
        <row r="171">
          <cell r="A171" t="str">
            <v>COMP_169</v>
          </cell>
          <cell r="B171" t="str">
            <v>ISOLADOR DE PORCELANA, TIPO PINO MONOCORPO, PARA TENSAO DE *15* KV</v>
          </cell>
          <cell r="C171" t="str">
            <v>UNID</v>
          </cell>
          <cell r="D171">
            <v>0</v>
          </cell>
          <cell r="E171" t="str">
            <v>3406(I)</v>
          </cell>
          <cell r="F171" t="str">
            <v>SINAPI – 10/17</v>
          </cell>
          <cell r="G171">
            <v>26.96</v>
          </cell>
          <cell r="H171">
            <v>34.320080000000004</v>
          </cell>
          <cell r="I171">
            <v>0</v>
          </cell>
          <cell r="J171">
            <v>0</v>
          </cell>
          <cell r="K171">
            <v>0</v>
          </cell>
          <cell r="L171">
            <v>0</v>
          </cell>
          <cell r="M171">
            <v>0</v>
          </cell>
        </row>
        <row r="172">
          <cell r="A172" t="str">
            <v>COMP_170</v>
          </cell>
          <cell r="B172" t="str">
            <v>ISOLADOR DE PORCELANA, TIPO ROLDANA, DIMENSOES DE *72* X *72* MM, PARA USO EM
BAIXA TENSAO</v>
          </cell>
          <cell r="C172" t="str">
            <v>UNID</v>
          </cell>
          <cell r="D172">
            <v>0</v>
          </cell>
          <cell r="E172" t="str">
            <v>3398(i)</v>
          </cell>
          <cell r="F172" t="str">
            <v>SINAPI – 10/17</v>
          </cell>
          <cell r="G172">
            <v>5.4</v>
          </cell>
          <cell r="H172">
            <v>6.874200000000001</v>
          </cell>
          <cell r="I172">
            <v>0</v>
          </cell>
          <cell r="J172">
            <v>0</v>
          </cell>
          <cell r="K172">
            <v>0</v>
          </cell>
          <cell r="L172">
            <v>0</v>
          </cell>
          <cell r="M172">
            <v>0</v>
          </cell>
        </row>
        <row r="173">
          <cell r="A173" t="str">
            <v>COMP_171</v>
          </cell>
          <cell r="B173" t="str">
            <v>CHAVE FUSIVEL UNIPOLAR, 15KV - 100A, EQUIPADA COM COMANDO PARA HASTE DE MANOBRA .
FORNECIMENTO E INSTALAÇÃO.</v>
          </cell>
          <cell r="C173" t="str">
            <v>UNID</v>
          </cell>
          <cell r="D173">
            <v>0</v>
          </cell>
          <cell r="E173" t="str">
            <v>73780/1</v>
          </cell>
          <cell r="F173" t="str">
            <v>SINAPI – 10/17</v>
          </cell>
          <cell r="G173">
            <v>295.10000000000002</v>
          </cell>
          <cell r="H173">
            <v>375.66230000000007</v>
          </cell>
          <cell r="I173">
            <v>0</v>
          </cell>
          <cell r="J173">
            <v>0</v>
          </cell>
          <cell r="K173">
            <v>0</v>
          </cell>
          <cell r="L173">
            <v>0</v>
          </cell>
          <cell r="M173">
            <v>0</v>
          </cell>
        </row>
        <row r="174">
          <cell r="A174" t="str">
            <v>COMP_172</v>
          </cell>
          <cell r="B174" t="str">
            <v>PARA-RAIOS DE DISTRIBUICAO, TENSAO NOMINAL 15 KV, CORRENTE NOMINAL DE
DESCARGA 5 KA</v>
          </cell>
          <cell r="C174" t="str">
            <v>UNID</v>
          </cell>
          <cell r="D174">
            <v>0</v>
          </cell>
          <cell r="E174" t="str">
            <v>4276(i)</v>
          </cell>
          <cell r="F174" t="str">
            <v>SINAPI – 10/17</v>
          </cell>
          <cell r="G174">
            <v>219.93</v>
          </cell>
          <cell r="H174">
            <v>279.97089000000005</v>
          </cell>
          <cell r="I174">
            <v>0</v>
          </cell>
          <cell r="J174">
            <v>0</v>
          </cell>
          <cell r="K174">
            <v>0</v>
          </cell>
          <cell r="L174">
            <v>0</v>
          </cell>
          <cell r="M174">
            <v>0</v>
          </cell>
        </row>
        <row r="175">
          <cell r="A175" t="str">
            <v>COMP_173</v>
          </cell>
          <cell r="B175" t="str">
            <v>MANILHA RETA PESADA PADRAO "D", CORPO EM ACO CARBONO 1045 E PINO REFORCADO
EM ACO ALLOY, GALVANIZADO, ROSCADO, DIAMETRO 1/2" (COLETADO CAIXA)</v>
          </cell>
          <cell r="C175" t="str">
            <v>UNID</v>
          </cell>
          <cell r="D175">
            <v>0</v>
          </cell>
          <cell r="E175" t="str">
            <v>42011(I)</v>
          </cell>
          <cell r="F175" t="str">
            <v>SINAPI – 10/17</v>
          </cell>
          <cell r="G175">
            <v>5.98</v>
          </cell>
          <cell r="H175">
            <v>7.612540000000001</v>
          </cell>
          <cell r="I175">
            <v>0</v>
          </cell>
          <cell r="J175">
            <v>0</v>
          </cell>
          <cell r="K175">
            <v>0</v>
          </cell>
          <cell r="L175">
            <v>0</v>
          </cell>
          <cell r="M175">
            <v>0</v>
          </cell>
        </row>
        <row r="176">
          <cell r="A176" t="str">
            <v>COMP_174</v>
          </cell>
          <cell r="B176" t="str">
            <v>PORCA OLHAL EM ACO GALVANIZADO, ESPESSURA 16MM, ABERTURA 21MM</v>
          </cell>
          <cell r="C176" t="str">
            <v>UNID</v>
          </cell>
          <cell r="D176">
            <v>0</v>
          </cell>
          <cell r="E176" t="str">
            <v>12362(i)</v>
          </cell>
          <cell r="F176" t="str">
            <v>SINAPI – 10/17</v>
          </cell>
          <cell r="G176">
            <v>8.0399999999999991</v>
          </cell>
          <cell r="H176">
            <v>10.234920000000001</v>
          </cell>
          <cell r="I176">
            <v>0</v>
          </cell>
          <cell r="J176">
            <v>0</v>
          </cell>
          <cell r="K176">
            <v>0</v>
          </cell>
          <cell r="L176">
            <v>0</v>
          </cell>
          <cell r="M176">
            <v>0</v>
          </cell>
        </row>
        <row r="177">
          <cell r="A177" t="str">
            <v>COMP_175</v>
          </cell>
          <cell r="B177" t="str">
            <v>PARAFUSO FRANCES M16 EM ACO GALVANIZADO, COMPRIMENTO = 45 MM, DIAMETRO = 16
MM, CABECA ABAULADA</v>
          </cell>
          <cell r="C177" t="str">
            <v>UNID</v>
          </cell>
          <cell r="D177">
            <v>0</v>
          </cell>
          <cell r="E177" t="str">
            <v>442(i)</v>
          </cell>
          <cell r="F177" t="str">
            <v>SINAPI – 10/17</v>
          </cell>
          <cell r="G177">
            <v>2.77</v>
          </cell>
          <cell r="H177">
            <v>3.5262100000000003</v>
          </cell>
          <cell r="I177">
            <v>0</v>
          </cell>
          <cell r="J177">
            <v>0</v>
          </cell>
          <cell r="K177">
            <v>0</v>
          </cell>
          <cell r="L177">
            <v>0</v>
          </cell>
          <cell r="M177">
            <v>0</v>
          </cell>
        </row>
        <row r="178">
          <cell r="A178" t="str">
            <v>COMP_176</v>
          </cell>
          <cell r="B178" t="str">
            <v>PARAFUSO FRANCES M16 EM ACO GALVANIZADO, COMPRIMENTO = 150 MM, DIAMETRO = 16
MM, CABECA ABAULADA</v>
          </cell>
          <cell r="C178" t="str">
            <v>UNID</v>
          </cell>
          <cell r="D178">
            <v>0</v>
          </cell>
          <cell r="E178" t="str">
            <v>436(i)</v>
          </cell>
          <cell r="F178" t="str">
            <v>SINAPI – 10/17</v>
          </cell>
          <cell r="G178">
            <v>4.68</v>
          </cell>
          <cell r="H178">
            <v>5.9576400000000005</v>
          </cell>
          <cell r="I178">
            <v>0</v>
          </cell>
          <cell r="J178">
            <v>0</v>
          </cell>
          <cell r="K178">
            <v>0</v>
          </cell>
          <cell r="L178">
            <v>0</v>
          </cell>
          <cell r="M178">
            <v>0</v>
          </cell>
        </row>
        <row r="179">
          <cell r="A179" t="str">
            <v>COMP_177</v>
          </cell>
          <cell r="B179" t="str">
            <v>PARAFUSO M16 EM ACO GALVANIZADO, COMPRIMENTO = 125 MM, DIAMETRO = 16 MM,
ROSCA MAQUINA, CABECA QUADRADA</v>
          </cell>
          <cell r="C179" t="str">
            <v>UNID</v>
          </cell>
          <cell r="D179">
            <v>0</v>
          </cell>
          <cell r="E179" t="str">
            <v>430(i)</v>
          </cell>
          <cell r="F179" t="str">
            <v>SINAPI – 10/17</v>
          </cell>
          <cell r="G179">
            <v>4.1900000000000004</v>
          </cell>
          <cell r="H179">
            <v>5.333870000000001</v>
          </cell>
          <cell r="I179">
            <v>0</v>
          </cell>
          <cell r="J179">
            <v>0</v>
          </cell>
          <cell r="K179">
            <v>0</v>
          </cell>
          <cell r="L179">
            <v>0</v>
          </cell>
          <cell r="M179">
            <v>0</v>
          </cell>
        </row>
        <row r="180">
          <cell r="A180" t="str">
            <v>COMP_178</v>
          </cell>
          <cell r="B180" t="str">
            <v>PARAFUSO M16 EM ACO GALVANIZADO, COMPRIMENTO = 200 MM, DIAMETRO = 16 MM,
ROSCA MAQUINA, CABECA QUADRADA</v>
          </cell>
          <cell r="C180" t="str">
            <v>UNID</v>
          </cell>
          <cell r="D180">
            <v>0</v>
          </cell>
          <cell r="E180" t="str">
            <v>431(i)</v>
          </cell>
          <cell r="F180" t="str">
            <v>SINAPI – 10/17</v>
          </cell>
          <cell r="G180">
            <v>5.56</v>
          </cell>
          <cell r="H180">
            <v>7.0778800000000004</v>
          </cell>
          <cell r="I180">
            <v>0</v>
          </cell>
          <cell r="J180">
            <v>0</v>
          </cell>
          <cell r="K180">
            <v>0</v>
          </cell>
          <cell r="L180">
            <v>0</v>
          </cell>
          <cell r="M180">
            <v>0</v>
          </cell>
        </row>
        <row r="181">
          <cell r="A181" t="str">
            <v>COMP_179</v>
          </cell>
          <cell r="B181" t="str">
            <v>PARAFUSO M16 EM ACO GALVANIZADO, COMPRIMENTO = 250 MM, DIAMETRO = 16 MM,
ROSCA MAQUINA, CABECA QUADRADA</v>
          </cell>
          <cell r="C181" t="str">
            <v>UNID</v>
          </cell>
          <cell r="D181">
            <v>0</v>
          </cell>
          <cell r="E181" t="str">
            <v>432(i)</v>
          </cell>
          <cell r="F181" t="str">
            <v>SINAPI – 10/17</v>
          </cell>
          <cell r="G181">
            <v>5.56</v>
          </cell>
          <cell r="H181">
            <v>7.0778800000000004</v>
          </cell>
          <cell r="I181">
            <v>0</v>
          </cell>
          <cell r="J181">
            <v>0</v>
          </cell>
          <cell r="K181">
            <v>0</v>
          </cell>
          <cell r="L181">
            <v>0</v>
          </cell>
          <cell r="M181">
            <v>0</v>
          </cell>
        </row>
        <row r="182">
          <cell r="A182" t="str">
            <v>COMP_180</v>
          </cell>
          <cell r="B182" t="str">
            <v>PARAFUSO M16 EM ACO GALVANIZADO, COMPRIMENTO = 300 MM, DIAMETRO = 16 MM,
ROSCA MAQUINA, CABECA QUADRADA</v>
          </cell>
          <cell r="C182" t="str">
            <v>UNID</v>
          </cell>
          <cell r="D182">
            <v>0</v>
          </cell>
          <cell r="E182" t="str">
            <v>439(i)</v>
          </cell>
          <cell r="F182" t="str">
            <v>SINAPI – 10/17</v>
          </cell>
          <cell r="G182">
            <v>7.05</v>
          </cell>
          <cell r="H182">
            <v>8.9746500000000005</v>
          </cell>
          <cell r="I182">
            <v>0</v>
          </cell>
          <cell r="J182">
            <v>0</v>
          </cell>
          <cell r="K182">
            <v>0</v>
          </cell>
          <cell r="L182">
            <v>0</v>
          </cell>
          <cell r="M182">
            <v>0</v>
          </cell>
        </row>
        <row r="183">
          <cell r="A183" t="str">
            <v>COMP_181</v>
          </cell>
          <cell r="B183" t="str">
            <v>PARAFUSO M16 EM ACO GALVANIZADO, COMPRIMENTO = 400 MM, DIAMETRO = 16 MM,
ROSCA DUPLA</v>
          </cell>
          <cell r="C183" t="str">
            <v>UNID</v>
          </cell>
          <cell r="D183">
            <v>0</v>
          </cell>
          <cell r="E183" t="str">
            <v>437(i)</v>
          </cell>
          <cell r="F183" t="str">
            <v>SINAPI – 10/17</v>
          </cell>
          <cell r="G183">
            <v>10.94</v>
          </cell>
          <cell r="H183">
            <v>13.926620000000002</v>
          </cell>
          <cell r="I183">
            <v>0</v>
          </cell>
          <cell r="J183">
            <v>0</v>
          </cell>
          <cell r="K183">
            <v>0</v>
          </cell>
          <cell r="L183">
            <v>0</v>
          </cell>
          <cell r="M183">
            <v>0</v>
          </cell>
        </row>
        <row r="184">
          <cell r="A184" t="str">
            <v>COMP_182</v>
          </cell>
          <cell r="B184" t="str">
            <v>PARAFUSO M16 EM ACO GALVANIZADO, COMPRIMENTO = 500 MM, DIAMETRO = 16 MM,
ROSCA MAQUINA, COM CABECA SEXTAVADA E PORCA</v>
          </cell>
          <cell r="C184" t="str">
            <v>UNID</v>
          </cell>
          <cell r="D184">
            <v>0</v>
          </cell>
          <cell r="E184" t="str">
            <v>428(i)</v>
          </cell>
          <cell r="F184" t="str">
            <v>SINAPI – 10/17</v>
          </cell>
          <cell r="G184">
            <v>13.5</v>
          </cell>
          <cell r="H184">
            <v>17.185500000000001</v>
          </cell>
          <cell r="I184">
            <v>0</v>
          </cell>
          <cell r="J184">
            <v>0</v>
          </cell>
          <cell r="K184">
            <v>0</v>
          </cell>
          <cell r="L184">
            <v>0</v>
          </cell>
          <cell r="M184">
            <v>0</v>
          </cell>
        </row>
        <row r="185">
          <cell r="A185" t="str">
            <v>COMP_183</v>
          </cell>
          <cell r="B185" t="str">
            <v>PINO ROSCA EXTERNA, EM ACO GALVANIZADO, PARA ISOLADOR DE 15KV, DIAMETRO 25 MM,
COMPRIMENTO *290* MM</v>
          </cell>
          <cell r="C185" t="str">
            <v>UNID</v>
          </cell>
          <cell r="D185">
            <v>0</v>
          </cell>
          <cell r="E185" t="str">
            <v>444(i)</v>
          </cell>
          <cell r="F185" t="str">
            <v>SINAPI – 10/17</v>
          </cell>
          <cell r="G185">
            <v>14.8</v>
          </cell>
          <cell r="H185">
            <v>18.840400000000002</v>
          </cell>
          <cell r="I185">
            <v>0</v>
          </cell>
          <cell r="J185">
            <v>0</v>
          </cell>
          <cell r="K185">
            <v>0</v>
          </cell>
          <cell r="L185">
            <v>0</v>
          </cell>
          <cell r="M185">
            <v>0</v>
          </cell>
        </row>
        <row r="186">
          <cell r="A186" t="str">
            <v>COMP_184</v>
          </cell>
          <cell r="B186" t="str">
            <v>POSTE CONCRETO SEÇÃO CIRCULAR COMPRIMENTO=11M CARGA NOMINAL NO TOPO 400KG INCLUSIVE ESCAVACAO EXCLUSIVE TRANSPORTE - FORNECIMENTO E COLOCAÇÃO</v>
          </cell>
          <cell r="C186" t="str">
            <v>UNID</v>
          </cell>
          <cell r="D186">
            <v>0</v>
          </cell>
          <cell r="E186" t="str">
            <v>73783/10</v>
          </cell>
          <cell r="F186" t="str">
            <v>SINAPI – 10/17</v>
          </cell>
          <cell r="G186">
            <v>1109.6400000000001</v>
          </cell>
          <cell r="H186">
            <v>1412.5717200000004</v>
          </cell>
          <cell r="I186">
            <v>0</v>
          </cell>
          <cell r="J186">
            <v>0</v>
          </cell>
          <cell r="K186">
            <v>0</v>
          </cell>
          <cell r="L186">
            <v>0</v>
          </cell>
          <cell r="M186">
            <v>0</v>
          </cell>
        </row>
        <row r="187">
          <cell r="A187" t="str">
            <v>COMP_185</v>
          </cell>
          <cell r="B187" t="str">
            <v>POSTE CONCRETO SEÇÃO CIRCULAR COMPRIMENTO=9M CARGA NOMINAL NO TOPO 400KG INCLUSIVE ESCAVACAO EXCLUSIVE TRANSPORTE - FORNECIMENTO E COLOCAÇÃO</v>
          </cell>
          <cell r="C187" t="str">
            <v>UNID</v>
          </cell>
          <cell r="D187">
            <v>0</v>
          </cell>
          <cell r="E187" t="str">
            <v>73783/16</v>
          </cell>
          <cell r="F187" t="str">
            <v>SINAPI – 10/17</v>
          </cell>
          <cell r="G187">
            <v>890.83</v>
          </cell>
          <cell r="H187">
            <v>1134.0265900000002</v>
          </cell>
          <cell r="I187">
            <v>0</v>
          </cell>
          <cell r="J187">
            <v>0</v>
          </cell>
          <cell r="K187">
            <v>0</v>
          </cell>
          <cell r="L187">
            <v>0</v>
          </cell>
          <cell r="M187">
            <v>0</v>
          </cell>
        </row>
        <row r="188">
          <cell r="A188" t="str">
            <v>COMP_186</v>
          </cell>
          <cell r="B188" t="str">
            <v>POSTE DE CONCRETO DUPLO T H=11M E CARGA NOMINAL 200KG INCLUSIVE ESCAVACAO, EXCLUSIVE TRANSPORTE - FORNECIMENTO E INSTALACAO</v>
          </cell>
          <cell r="C188" t="str">
            <v>UNID</v>
          </cell>
          <cell r="D188">
            <v>0</v>
          </cell>
          <cell r="E188">
            <v>83394</v>
          </cell>
          <cell r="F188" t="str">
            <v>SINAPI – 10/17</v>
          </cell>
          <cell r="G188">
            <v>799.19</v>
          </cell>
          <cell r="H188">
            <v>1017.3688700000001</v>
          </cell>
          <cell r="I188">
            <v>0</v>
          </cell>
          <cell r="J188">
            <v>0</v>
          </cell>
          <cell r="K188">
            <v>0</v>
          </cell>
          <cell r="L188">
            <v>0</v>
          </cell>
          <cell r="M188">
            <v>0</v>
          </cell>
        </row>
        <row r="189">
          <cell r="A189" t="str">
            <v>COMP_187</v>
          </cell>
          <cell r="B189" t="str">
            <v>POSTE DE CONCRETO DUPLO T H=9M CARGA NOMINAL 300KG INCLUSIVE ESCAVACAO, EXCLUSIVE TRANSPORTE - FORNECIMENTO E INSTALACAO</v>
          </cell>
          <cell r="C189" t="str">
            <v>UNID</v>
          </cell>
          <cell r="D189">
            <v>0</v>
          </cell>
          <cell r="E189">
            <v>83396</v>
          </cell>
          <cell r="F189" t="str">
            <v>SINAPI – 10/17</v>
          </cell>
          <cell r="G189">
            <v>717.31</v>
          </cell>
          <cell r="H189">
            <v>913.13562999999999</v>
          </cell>
          <cell r="I189">
            <v>0</v>
          </cell>
          <cell r="J189">
            <v>0</v>
          </cell>
          <cell r="K189">
            <v>0</v>
          </cell>
          <cell r="L189">
            <v>0</v>
          </cell>
          <cell r="M189">
            <v>0</v>
          </cell>
        </row>
        <row r="190">
          <cell r="A190" t="str">
            <v>COMP_188</v>
          </cell>
          <cell r="B190" t="str">
            <v>CAMINHÃO TOCO, PBT 16.000 KG, CARGA ÚTIL MÁX. 10.685 KG, DIST. ENTRE EIXOS 4,8 M, POTÊNCIA 189 CV, INCLUSIVE CARROCERIA FIXA ABERTA DE MADEIRA P/ TRANSPORTE GERAL DE CARGA SECA, DIMEN. APROX. 2,5 X 7,00 X 0,50M - CHI DIURNO. AF_06/2014</v>
          </cell>
          <cell r="C190" t="str">
            <v>h</v>
          </cell>
          <cell r="D190">
            <v>0</v>
          </cell>
          <cell r="E190" t="str">
            <v>5824(i)</v>
          </cell>
          <cell r="F190" t="str">
            <v>SINAPI – 10/17</v>
          </cell>
          <cell r="G190">
            <v>36.83</v>
          </cell>
          <cell r="H190">
            <v>46.884590000000003</v>
          </cell>
          <cell r="I190">
            <v>0</v>
          </cell>
          <cell r="J190">
            <v>0</v>
          </cell>
          <cell r="K190">
            <v>0</v>
          </cell>
          <cell r="L190">
            <v>0</v>
          </cell>
          <cell r="M190">
            <v>0</v>
          </cell>
        </row>
        <row r="191">
          <cell r="A191" t="str">
            <v>COMP_189</v>
          </cell>
          <cell r="B191" t="str">
            <v>BRACO P/ ILUMINACAO DE RUAS EM TUBO ACO GALV 1" COMP = 1,20M E INCLINACAO 25GRAUS EM RELACAO AO PLANO VERTICAL P/ FIXACAO EM POSTE OU PAREDE- FORNECIMENTO E INSTALACAO</v>
          </cell>
          <cell r="C191" t="str">
            <v>UNID</v>
          </cell>
          <cell r="D191">
            <v>0</v>
          </cell>
          <cell r="E191">
            <v>83400</v>
          </cell>
          <cell r="F191" t="str">
            <v>SINAPI – 10/17</v>
          </cell>
          <cell r="G191">
            <v>82.46</v>
          </cell>
          <cell r="H191">
            <v>104.97158</v>
          </cell>
          <cell r="I191">
            <v>0</v>
          </cell>
          <cell r="J191">
            <v>0</v>
          </cell>
          <cell r="K191">
            <v>0</v>
          </cell>
          <cell r="L191">
            <v>0</v>
          </cell>
          <cell r="M191">
            <v>0</v>
          </cell>
        </row>
        <row r="192">
          <cell r="A192" t="str">
            <v>COMP_190</v>
          </cell>
          <cell r="B192" t="str">
            <v>BRACO P/ LUMINARIA PUBLICA 1 X 1,50 M, EM TUBO ACO GALV 3/4, P/ FIXACAO EM POSTE OU PAREDE - FORNECIMENTO E INSTALACAO</v>
          </cell>
          <cell r="C192" t="str">
            <v>UNID</v>
          </cell>
          <cell r="D192">
            <v>0</v>
          </cell>
          <cell r="E192">
            <v>83401</v>
          </cell>
          <cell r="F192" t="str">
            <v>SINAPI – 10/17</v>
          </cell>
          <cell r="G192">
            <v>82.46</v>
          </cell>
          <cell r="H192">
            <v>104.97158</v>
          </cell>
          <cell r="I192">
            <v>0</v>
          </cell>
          <cell r="J192">
            <v>0</v>
          </cell>
          <cell r="K192">
            <v>0</v>
          </cell>
          <cell r="L192">
            <v>0</v>
          </cell>
          <cell r="M192">
            <v>0</v>
          </cell>
        </row>
        <row r="193">
          <cell r="A193" t="str">
            <v>COMP_191</v>
          </cell>
          <cell r="B193" t="str">
            <v>RELE FOTOELETRICO INTERNO E EXTERNO BIVOLT 1000 W, DE CONECTOR, SEM BASE</v>
          </cell>
          <cell r="C193" t="str">
            <v>UNID</v>
          </cell>
          <cell r="D193">
            <v>0</v>
          </cell>
          <cell r="E193" t="str">
            <v>2510(i)</v>
          </cell>
          <cell r="F193" t="str">
            <v>SINAPI – 10/17</v>
          </cell>
          <cell r="G193">
            <v>15.83</v>
          </cell>
          <cell r="H193">
            <v>20.151590000000002</v>
          </cell>
          <cell r="I193">
            <v>0</v>
          </cell>
          <cell r="J193">
            <v>0</v>
          </cell>
          <cell r="K193">
            <v>0</v>
          </cell>
          <cell r="L193">
            <v>0</v>
          </cell>
          <cell r="M193">
            <v>0</v>
          </cell>
        </row>
        <row r="194">
          <cell r="A194" t="str">
            <v>COMP_192</v>
          </cell>
          <cell r="B194" t="str">
            <v>BASE PARA RELE COM SUPORTE METALICO</v>
          </cell>
          <cell r="C194" t="str">
            <v>UNID</v>
          </cell>
          <cell r="D194">
            <v>0</v>
          </cell>
          <cell r="E194" t="str">
            <v>39380(i)</v>
          </cell>
          <cell r="F194" t="str">
            <v>SINAPI – 10/17</v>
          </cell>
          <cell r="G194">
            <v>9.06</v>
          </cell>
          <cell r="H194">
            <v>11.533380000000001</v>
          </cell>
          <cell r="I194">
            <v>0</v>
          </cell>
          <cell r="J194">
            <v>0</v>
          </cell>
          <cell r="K194">
            <v>0</v>
          </cell>
          <cell r="L194">
            <v>0</v>
          </cell>
          <cell r="M194">
            <v>0</v>
          </cell>
        </row>
        <row r="195">
          <cell r="A195" t="str">
            <v>COMP_193</v>
          </cell>
          <cell r="B195" t="str">
            <v>SAPATILHA EM ACO GALVANIZADO PARA CABOS COM DIAMETRO NOMINAL ATE 5/8"</v>
          </cell>
          <cell r="C195" t="str">
            <v>UNID</v>
          </cell>
          <cell r="D195">
            <v>0</v>
          </cell>
          <cell r="E195">
            <v>7581</v>
          </cell>
          <cell r="F195" t="str">
            <v>SINAPI – 10/17</v>
          </cell>
          <cell r="G195">
            <v>2.12</v>
          </cell>
          <cell r="H195">
            <v>2.6987600000000005</v>
          </cell>
          <cell r="I195">
            <v>0</v>
          </cell>
          <cell r="J195">
            <v>0</v>
          </cell>
          <cell r="K195">
            <v>0</v>
          </cell>
          <cell r="L195">
            <v>0</v>
          </cell>
          <cell r="M195">
            <v>0</v>
          </cell>
        </row>
        <row r="196">
          <cell r="A196" t="str">
            <v>COMP_194</v>
          </cell>
          <cell r="B196" t="str">
            <v>CRUZETA DE FERRO GALVANIZADO, COM ROSCA BSP, DE 3"</v>
          </cell>
          <cell r="C196" t="str">
            <v>UNID</v>
          </cell>
          <cell r="D196">
            <v>0</v>
          </cell>
          <cell r="E196">
            <v>1652</v>
          </cell>
          <cell r="F196" t="str">
            <v>SINAPI – 10/17</v>
          </cell>
          <cell r="G196">
            <v>135.77000000000001</v>
          </cell>
          <cell r="H196">
            <v>172.83521000000002</v>
          </cell>
          <cell r="I196">
            <v>0</v>
          </cell>
          <cell r="J196">
            <v>0</v>
          </cell>
          <cell r="K196">
            <v>0</v>
          </cell>
          <cell r="L196">
            <v>0</v>
          </cell>
          <cell r="M196">
            <v>0</v>
          </cell>
        </row>
        <row r="197">
          <cell r="A197" t="str">
            <v>COMP_195</v>
          </cell>
          <cell r="B197" t="str">
            <v>CRUZETA DE CONCRETO LEVE, COMP. 2000 MM SECAO, 90 X 90 MM</v>
          </cell>
          <cell r="C197" t="str">
            <v>UNID</v>
          </cell>
          <cell r="D197">
            <v>0</v>
          </cell>
          <cell r="E197">
            <v>34519</v>
          </cell>
          <cell r="F197" t="str">
            <v>SINAPI – 10/17</v>
          </cell>
          <cell r="G197">
            <v>58</v>
          </cell>
          <cell r="H197">
            <v>73.834000000000003</v>
          </cell>
          <cell r="I197">
            <v>0</v>
          </cell>
          <cell r="J197">
            <v>0</v>
          </cell>
          <cell r="K197">
            <v>0</v>
          </cell>
          <cell r="L197">
            <v>0</v>
          </cell>
          <cell r="M197">
            <v>0</v>
          </cell>
        </row>
        <row r="198">
          <cell r="A198" t="str">
            <v>COMP_196</v>
          </cell>
          <cell r="B198" t="str">
            <v>MÃO FRANCESA EM BARRA DE FERRO CHATO RETANGULAR 2" X 1/4", REFORÇADA,40 X 30 CM</v>
          </cell>
          <cell r="C198" t="str">
            <v>UNID</v>
          </cell>
          <cell r="D198">
            <v>0</v>
          </cell>
          <cell r="E198">
            <v>86957</v>
          </cell>
          <cell r="F198" t="str">
            <v>SINAPI – 10/17</v>
          </cell>
          <cell r="G198">
            <v>25.48</v>
          </cell>
          <cell r="H198">
            <v>32.436040000000006</v>
          </cell>
          <cell r="I198">
            <v>0</v>
          </cell>
          <cell r="J198">
            <v>0</v>
          </cell>
          <cell r="K198">
            <v>0</v>
          </cell>
          <cell r="L198">
            <v>0</v>
          </cell>
          <cell r="M198">
            <v>0</v>
          </cell>
        </row>
        <row r="199">
          <cell r="A199" t="str">
            <v>COMP_197</v>
          </cell>
          <cell r="B199" t="str">
            <v>SUPORTE PARA TRANSFORMADOR EM POSTE DE CONCRETO CIRCULAR</v>
          </cell>
          <cell r="C199" t="str">
            <v>UNID</v>
          </cell>
          <cell r="D199">
            <v>0</v>
          </cell>
          <cell r="E199">
            <v>73624</v>
          </cell>
          <cell r="F199" t="str">
            <v>SINAPI – 10/17</v>
          </cell>
          <cell r="G199">
            <v>67.8</v>
          </cell>
          <cell r="H199">
            <v>86.309400000000011</v>
          </cell>
          <cell r="I199">
            <v>0</v>
          </cell>
          <cell r="J199">
            <v>0</v>
          </cell>
          <cell r="K199">
            <v>0</v>
          </cell>
          <cell r="L199">
            <v>0</v>
          </cell>
          <cell r="M199">
            <v>0</v>
          </cell>
        </row>
        <row r="200">
          <cell r="A200" t="str">
            <v>COMP_198</v>
          </cell>
          <cell r="B200" t="str">
            <v>TRANSFORMADOR DISTRIBUICAO 45KVA TRIFASICO 60HZ CLASSE 15KV IMERSO EMÓLEO MINERAL FORNECIMENTO E INSTALACAO</v>
          </cell>
          <cell r="C200" t="str">
            <v>UNID</v>
          </cell>
          <cell r="D200">
            <v>0</v>
          </cell>
          <cell r="E200" t="str">
            <v>73857/8</v>
          </cell>
          <cell r="F200" t="str">
            <v>SINAPI – 10/17</v>
          </cell>
          <cell r="G200">
            <v>5419.09</v>
          </cell>
          <cell r="H200">
            <v>6898.5015700000013</v>
          </cell>
          <cell r="I200">
            <v>0</v>
          </cell>
          <cell r="J200">
            <v>0</v>
          </cell>
          <cell r="K200">
            <v>0</v>
          </cell>
          <cell r="L200">
            <v>0</v>
          </cell>
          <cell r="M200">
            <v>0</v>
          </cell>
        </row>
        <row r="201">
          <cell r="A201" t="str">
            <v>COMP_199</v>
          </cell>
          <cell r="B201" t="str">
            <v>LUMINÁRIA LED PUBLICA C/CONSUMO ENERGÉTICO MÁXIMO DE 150W E FLUXO LUMINOSO MIN DE 12.500 LUMENS.. LENTE TIPO BTWING…</v>
          </cell>
          <cell r="C201" t="str">
            <v>UNID</v>
          </cell>
          <cell r="D201">
            <v>0</v>
          </cell>
          <cell r="E201" t="str">
            <v>0001/1</v>
          </cell>
          <cell r="F201" t="str">
            <v>COT_EXT</v>
          </cell>
          <cell r="G201">
            <v>1256.67</v>
          </cell>
          <cell r="H201">
            <v>1599.7409100000002</v>
          </cell>
          <cell r="I201">
            <v>0</v>
          </cell>
          <cell r="J201">
            <v>0</v>
          </cell>
          <cell r="K201">
            <v>0</v>
          </cell>
          <cell r="L201">
            <v>0</v>
          </cell>
          <cell r="M201">
            <v>0</v>
          </cell>
        </row>
        <row r="202">
          <cell r="A202" t="str">
            <v>COMP_200</v>
          </cell>
          <cell r="B202" t="str">
            <v>POSTE SIMPLES CÔNICO CONTÍNUO, CIRCULAR, RETO, COM DIÂMETRO NOMINAL DE 60MM NA EXTREMIDADE, GALVANIZADO A FOGO, Hútil=10 M - ENGASTADO EM CONCRETO COM FCK = 13,5 MPA</v>
          </cell>
          <cell r="C202" t="str">
            <v>UNID</v>
          </cell>
          <cell r="D202">
            <v>0</v>
          </cell>
          <cell r="E202">
            <v>71992</v>
          </cell>
          <cell r="F202" t="str">
            <v>AGETOP – T128 – DESON</v>
          </cell>
          <cell r="G202">
            <v>677.95</v>
          </cell>
          <cell r="H202">
            <v>863.03035000000011</v>
          </cell>
          <cell r="I202">
            <v>0</v>
          </cell>
          <cell r="J202">
            <v>0</v>
          </cell>
          <cell r="K202">
            <v>0</v>
          </cell>
          <cell r="L202">
            <v>0</v>
          </cell>
          <cell r="M202">
            <v>0</v>
          </cell>
        </row>
        <row r="203">
          <cell r="A203" t="str">
            <v>COMP_201</v>
          </cell>
          <cell r="B203" t="str">
            <v>CAIXA DE PROTECAO PARA MEDIDOR MONOFASICO, FORNECIMENTO E INSTALACAO</v>
          </cell>
          <cell r="C203" t="str">
            <v>UNID</v>
          </cell>
          <cell r="D203">
            <v>0</v>
          </cell>
          <cell r="E203">
            <v>68066</v>
          </cell>
          <cell r="F203" t="str">
            <v>SINAPI – 10/17</v>
          </cell>
          <cell r="G203">
            <v>104.94</v>
          </cell>
          <cell r="H203">
            <v>133.58862000000002</v>
          </cell>
          <cell r="I203">
            <v>0</v>
          </cell>
          <cell r="J203">
            <v>0</v>
          </cell>
          <cell r="K203">
            <v>0</v>
          </cell>
          <cell r="L203">
            <v>0</v>
          </cell>
          <cell r="M203">
            <v>0</v>
          </cell>
        </row>
        <row r="204">
          <cell r="A204" t="str">
            <v>COMP_202</v>
          </cell>
          <cell r="B204" t="str">
            <v>QUADRO DE MEDICAO GERAL EM CHAPA METALICA PARA EDIFICIOS COM 16 APTOS INCLUSIVE DISJUNTORES E ATERRAMENTO</v>
          </cell>
          <cell r="C204" t="str">
            <v>UNID</v>
          </cell>
          <cell r="D204">
            <v>0</v>
          </cell>
          <cell r="E204" t="str">
            <v>75052/5</v>
          </cell>
          <cell r="F204" t="str">
            <v>SINAPI – 10/17</v>
          </cell>
          <cell r="G204">
            <v>991.69</v>
          </cell>
          <cell r="H204">
            <v>1262.4213700000003</v>
          </cell>
          <cell r="I204">
            <v>0</v>
          </cell>
          <cell r="J204">
            <v>0</v>
          </cell>
          <cell r="K204">
            <v>0</v>
          </cell>
          <cell r="L204">
            <v>0</v>
          </cell>
          <cell r="M204">
            <v>0</v>
          </cell>
        </row>
        <row r="205">
          <cell r="A205" t="str">
            <v>COMP_203</v>
          </cell>
          <cell r="B205" t="str">
            <v>DUTO ESPIRAL FLEXIVEL SINGELO PEAD D=75MM(3") REVESTIDO COM PVC COM FIO GUIA DE ACO GALVANIZADO, LANCADO DIRETO NO SOLO, INCL CONEXOES</v>
          </cell>
          <cell r="C205" t="str">
            <v>UNID</v>
          </cell>
          <cell r="D205">
            <v>0</v>
          </cell>
          <cell r="E205" t="str">
            <v>73798/3</v>
          </cell>
          <cell r="F205" t="str">
            <v>SINAPI – 10/17</v>
          </cell>
          <cell r="G205">
            <v>33.22</v>
          </cell>
          <cell r="H205">
            <v>42.289060000000006</v>
          </cell>
          <cell r="I205">
            <v>0</v>
          </cell>
          <cell r="J205">
            <v>0</v>
          </cell>
          <cell r="K205">
            <v>0</v>
          </cell>
          <cell r="L205">
            <v>0</v>
          </cell>
          <cell r="M205">
            <v>0</v>
          </cell>
        </row>
        <row r="206">
          <cell r="A206" t="str">
            <v>COMP_204</v>
          </cell>
          <cell r="B206" t="str">
            <v>CAIXA COLETORA, 1,20X1,20X1,50M, COM FUNDO E TAMPA DE CONCRETO E PAREDES EM ALVENARIA</v>
          </cell>
          <cell r="C206" t="str">
            <v>UNID</v>
          </cell>
          <cell r="D206">
            <v>0</v>
          </cell>
          <cell r="E206" t="str">
            <v>74206/1</v>
          </cell>
          <cell r="F206" t="str">
            <v>SINAPI – 10/17</v>
          </cell>
          <cell r="G206">
            <v>1258.4000000000001</v>
          </cell>
          <cell r="H206">
            <v>1601.9432000000004</v>
          </cell>
          <cell r="I206">
            <v>0</v>
          </cell>
          <cell r="J206">
            <v>0</v>
          </cell>
          <cell r="K206">
            <v>0</v>
          </cell>
          <cell r="L206">
            <v>0</v>
          </cell>
          <cell r="M206">
            <v>0</v>
          </cell>
        </row>
        <row r="207">
          <cell r="A207" t="str">
            <v>COMP_205</v>
          </cell>
          <cell r="B207" t="str">
            <v>ENSAIO DE MASSA ESPECIFICA - IN SITU - METODO FRASCO DE AREIA – SOLOS</v>
          </cell>
          <cell r="C207" t="str">
            <v>UNID</v>
          </cell>
          <cell r="D207">
            <v>0</v>
          </cell>
          <cell r="E207" t="str">
            <v>74022/14</v>
          </cell>
          <cell r="F207" t="str">
            <v>SINAPI – 10/17</v>
          </cell>
          <cell r="G207">
            <v>59.2</v>
          </cell>
          <cell r="H207">
            <v>75.36160000000001</v>
          </cell>
          <cell r="I207">
            <v>0</v>
          </cell>
          <cell r="J207">
            <v>0</v>
          </cell>
          <cell r="K207">
            <v>0</v>
          </cell>
          <cell r="L207">
            <v>0</v>
          </cell>
          <cell r="M207">
            <v>0</v>
          </cell>
        </row>
        <row r="208">
          <cell r="A208" t="str">
            <v>COMP_206</v>
          </cell>
          <cell r="B208" t="str">
            <v>TRANSPORTE COMERCIAL COM CAMINHAO CARROCERIA 9 T, RODOVIA PAVIMENTADA</v>
          </cell>
          <cell r="C208" t="str">
            <v>T x Km</v>
          </cell>
          <cell r="D208">
            <v>0</v>
          </cell>
          <cell r="E208">
            <v>72840</v>
          </cell>
          <cell r="F208" t="str">
            <v>SINAPI – 10/17</v>
          </cell>
          <cell r="G208">
            <v>0.57999999999999996</v>
          </cell>
          <cell r="H208">
            <v>0.73834</v>
          </cell>
          <cell r="I208">
            <v>0</v>
          </cell>
          <cell r="J208">
            <v>0</v>
          </cell>
          <cell r="K208">
            <v>0</v>
          </cell>
          <cell r="L208">
            <v>0</v>
          </cell>
          <cell r="M208">
            <v>0</v>
          </cell>
        </row>
        <row r="209">
          <cell r="A209" t="str">
            <v>COMP_207</v>
          </cell>
          <cell r="B209">
            <v>0</v>
          </cell>
          <cell r="C209">
            <v>0</v>
          </cell>
          <cell r="D209">
            <v>0</v>
          </cell>
          <cell r="E209">
            <v>0</v>
          </cell>
          <cell r="F209">
            <v>0</v>
          </cell>
          <cell r="G209">
            <v>0</v>
          </cell>
          <cell r="H209">
            <v>0</v>
          </cell>
          <cell r="I209">
            <v>0</v>
          </cell>
          <cell r="J209">
            <v>0</v>
          </cell>
          <cell r="K209">
            <v>0</v>
          </cell>
          <cell r="L209">
            <v>0</v>
          </cell>
          <cell r="M209">
            <v>0</v>
          </cell>
        </row>
        <row r="210">
          <cell r="A210">
            <v>0</v>
          </cell>
          <cell r="B210">
            <v>0</v>
          </cell>
          <cell r="C210">
            <v>0</v>
          </cell>
          <cell r="D210">
            <v>0</v>
          </cell>
          <cell r="E210">
            <v>0</v>
          </cell>
          <cell r="F210">
            <v>0</v>
          </cell>
          <cell r="G210">
            <v>0</v>
          </cell>
          <cell r="H210">
            <v>0</v>
          </cell>
          <cell r="I210">
            <v>0</v>
          </cell>
          <cell r="J210">
            <v>0</v>
          </cell>
          <cell r="K210">
            <v>0</v>
          </cell>
          <cell r="L210">
            <v>0</v>
          </cell>
          <cell r="M210">
            <v>0</v>
          </cell>
        </row>
        <row r="211">
          <cell r="A211">
            <v>0</v>
          </cell>
          <cell r="B211">
            <v>0</v>
          </cell>
          <cell r="C211">
            <v>0</v>
          </cell>
          <cell r="D211">
            <v>0</v>
          </cell>
          <cell r="E211">
            <v>0</v>
          </cell>
          <cell r="F211">
            <v>0</v>
          </cell>
          <cell r="G211">
            <v>0</v>
          </cell>
          <cell r="H211">
            <v>0</v>
          </cell>
          <cell r="I211">
            <v>0</v>
          </cell>
          <cell r="J211">
            <v>0</v>
          </cell>
          <cell r="K211">
            <v>0</v>
          </cell>
          <cell r="L211">
            <v>0</v>
          </cell>
          <cell r="M211">
            <v>0</v>
          </cell>
        </row>
        <row r="212">
          <cell r="A212">
            <v>0</v>
          </cell>
          <cell r="B212">
            <v>0</v>
          </cell>
          <cell r="C212">
            <v>0</v>
          </cell>
          <cell r="D212">
            <v>0</v>
          </cell>
          <cell r="E212">
            <v>0</v>
          </cell>
          <cell r="F212">
            <v>0</v>
          </cell>
          <cell r="G212">
            <v>0</v>
          </cell>
          <cell r="H212">
            <v>0</v>
          </cell>
          <cell r="I212">
            <v>0</v>
          </cell>
          <cell r="J212">
            <v>0</v>
          </cell>
          <cell r="K212">
            <v>0</v>
          </cell>
          <cell r="L212">
            <v>0</v>
          </cell>
          <cell r="M212">
            <v>0</v>
          </cell>
        </row>
        <row r="213">
          <cell r="A213">
            <v>0</v>
          </cell>
          <cell r="B213">
            <v>0</v>
          </cell>
          <cell r="C213">
            <v>0</v>
          </cell>
          <cell r="D213">
            <v>0</v>
          </cell>
          <cell r="E213">
            <v>0</v>
          </cell>
          <cell r="F213">
            <v>0</v>
          </cell>
          <cell r="G213">
            <v>0</v>
          </cell>
          <cell r="H213">
            <v>0</v>
          </cell>
          <cell r="I213">
            <v>0</v>
          </cell>
          <cell r="J213">
            <v>0</v>
          </cell>
          <cell r="K213">
            <v>0</v>
          </cell>
          <cell r="L213">
            <v>0</v>
          </cell>
          <cell r="M213">
            <v>0</v>
          </cell>
        </row>
        <row r="214">
          <cell r="A214">
            <v>0</v>
          </cell>
          <cell r="B214">
            <v>0</v>
          </cell>
          <cell r="C214">
            <v>0</v>
          </cell>
          <cell r="D214">
            <v>0</v>
          </cell>
          <cell r="E214">
            <v>0</v>
          </cell>
          <cell r="F214">
            <v>0</v>
          </cell>
          <cell r="G214">
            <v>0</v>
          </cell>
          <cell r="H214">
            <v>0</v>
          </cell>
          <cell r="I214">
            <v>0</v>
          </cell>
          <cell r="J214">
            <v>0</v>
          </cell>
          <cell r="K214">
            <v>0</v>
          </cell>
          <cell r="L214">
            <v>0</v>
          </cell>
          <cell r="M214">
            <v>0</v>
          </cell>
        </row>
        <row r="215">
          <cell r="A215">
            <v>0</v>
          </cell>
          <cell r="B215">
            <v>0</v>
          </cell>
          <cell r="C215">
            <v>0</v>
          </cell>
          <cell r="D215">
            <v>0</v>
          </cell>
          <cell r="E215">
            <v>0</v>
          </cell>
          <cell r="F215">
            <v>0</v>
          </cell>
          <cell r="G215">
            <v>0</v>
          </cell>
          <cell r="H215">
            <v>0</v>
          </cell>
          <cell r="I215">
            <v>0</v>
          </cell>
          <cell r="J215">
            <v>0</v>
          </cell>
          <cell r="K215">
            <v>0</v>
          </cell>
          <cell r="L215">
            <v>0</v>
          </cell>
          <cell r="M215">
            <v>0</v>
          </cell>
        </row>
        <row r="216">
          <cell r="A216">
            <v>0</v>
          </cell>
          <cell r="C216">
            <v>0</v>
          </cell>
          <cell r="D216">
            <v>0</v>
          </cell>
          <cell r="E216">
            <v>0</v>
          </cell>
          <cell r="G216">
            <v>0</v>
          </cell>
          <cell r="I216">
            <v>0</v>
          </cell>
        </row>
        <row r="217">
          <cell r="A217">
            <v>0</v>
          </cell>
          <cell r="C217">
            <v>0</v>
          </cell>
          <cell r="D217">
            <v>0</v>
          </cell>
          <cell r="E217">
            <v>0</v>
          </cell>
          <cell r="G217">
            <v>0</v>
          </cell>
          <cell r="I217">
            <v>0</v>
          </cell>
        </row>
        <row r="218">
          <cell r="A218">
            <v>0</v>
          </cell>
          <cell r="C218">
            <v>0</v>
          </cell>
          <cell r="D218">
            <v>0</v>
          </cell>
          <cell r="E218">
            <v>0</v>
          </cell>
          <cell r="G218">
            <v>0</v>
          </cell>
          <cell r="I218">
            <v>0</v>
          </cell>
        </row>
        <row r="219">
          <cell r="A219">
            <v>0</v>
          </cell>
          <cell r="C219">
            <v>0</v>
          </cell>
          <cell r="D219">
            <v>0</v>
          </cell>
          <cell r="E219">
            <v>0</v>
          </cell>
          <cell r="G219">
            <v>0</v>
          </cell>
          <cell r="I219">
            <v>0</v>
          </cell>
        </row>
        <row r="220">
          <cell r="A220">
            <v>0</v>
          </cell>
          <cell r="C220">
            <v>0</v>
          </cell>
          <cell r="D220">
            <v>0</v>
          </cell>
          <cell r="E220">
            <v>0</v>
          </cell>
          <cell r="G220">
            <v>0</v>
          </cell>
          <cell r="I220">
            <v>0</v>
          </cell>
        </row>
        <row r="221">
          <cell r="A221">
            <v>0</v>
          </cell>
          <cell r="C221">
            <v>0</v>
          </cell>
          <cell r="D221">
            <v>0</v>
          </cell>
          <cell r="E221">
            <v>0</v>
          </cell>
          <cell r="G221">
            <v>0</v>
          </cell>
          <cell r="I221">
            <v>0</v>
          </cell>
        </row>
        <row r="222">
          <cell r="A222">
            <v>0</v>
          </cell>
          <cell r="C222">
            <v>0</v>
          </cell>
          <cell r="D222">
            <v>0</v>
          </cell>
          <cell r="E222">
            <v>0</v>
          </cell>
          <cell r="G222">
            <v>0</v>
          </cell>
          <cell r="I222">
            <v>0</v>
          </cell>
        </row>
        <row r="223">
          <cell r="A223">
            <v>0</v>
          </cell>
          <cell r="C223">
            <v>0</v>
          </cell>
          <cell r="D223">
            <v>0</v>
          </cell>
          <cell r="E223">
            <v>0</v>
          </cell>
          <cell r="G223">
            <v>0</v>
          </cell>
          <cell r="I223">
            <v>0</v>
          </cell>
        </row>
        <row r="224">
          <cell r="A224">
            <v>0</v>
          </cell>
          <cell r="C224">
            <v>0</v>
          </cell>
          <cell r="D224">
            <v>0</v>
          </cell>
          <cell r="E224">
            <v>0</v>
          </cell>
          <cell r="G224">
            <v>0</v>
          </cell>
          <cell r="I224">
            <v>0</v>
          </cell>
        </row>
        <row r="225">
          <cell r="A225">
            <v>0</v>
          </cell>
          <cell r="C225">
            <v>0</v>
          </cell>
          <cell r="D225">
            <v>0</v>
          </cell>
          <cell r="E225">
            <v>0</v>
          </cell>
          <cell r="G225">
            <v>0</v>
          </cell>
          <cell r="I225">
            <v>0</v>
          </cell>
        </row>
        <row r="226">
          <cell r="A226">
            <v>0</v>
          </cell>
          <cell r="C226">
            <v>0</v>
          </cell>
          <cell r="D226">
            <v>0</v>
          </cell>
          <cell r="E226">
            <v>0</v>
          </cell>
          <cell r="G226">
            <v>0</v>
          </cell>
          <cell r="I226">
            <v>0</v>
          </cell>
        </row>
        <row r="227">
          <cell r="A227">
            <v>0</v>
          </cell>
          <cell r="I227">
            <v>20412851.152947843</v>
          </cell>
        </row>
        <row r="228">
          <cell r="A228">
            <v>0</v>
          </cell>
          <cell r="I228">
            <v>0</v>
          </cell>
        </row>
        <row r="229">
          <cell r="A229">
            <v>0</v>
          </cell>
          <cell r="I229">
            <v>20699000</v>
          </cell>
        </row>
        <row r="230">
          <cell r="A230">
            <v>0</v>
          </cell>
          <cell r="I230">
            <v>0</v>
          </cell>
        </row>
        <row r="231">
          <cell r="A231">
            <v>0</v>
          </cell>
          <cell r="I231">
            <v>286148.84705215693</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ÁLCULO"/>
      <sheetName val="ORÇAMENTO"/>
      <sheetName val="COMPOSIÇÃO 1"/>
      <sheetName val="CRONOGRAMA COMPOSIÇÃO"/>
      <sheetName val="BDI"/>
    </sheetNames>
    <sheetDataSet>
      <sheetData sheetId="0" refreshError="1"/>
      <sheetData sheetId="1">
        <row r="98">
          <cell r="E98" t="str">
            <v>M3</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94"/>
  <sheetViews>
    <sheetView tabSelected="1" view="pageBreakPreview" zoomScale="90" zoomScaleNormal="85" zoomScaleSheetLayoutView="90" workbookViewId="0">
      <selection activeCell="A4" sqref="A4:H4"/>
    </sheetView>
  </sheetViews>
  <sheetFormatPr defaultRowHeight="15" x14ac:dyDescent="0.25"/>
  <cols>
    <col min="1" max="1" width="10.28515625" style="16" customWidth="1"/>
    <col min="2" max="2" width="78.42578125" style="16" customWidth="1"/>
    <col min="3" max="3" width="7.7109375" style="16" customWidth="1"/>
    <col min="4" max="4" width="32.140625" style="12" customWidth="1"/>
    <col min="5" max="5" width="22.7109375" style="14" customWidth="1"/>
    <col min="6" max="6" width="23.140625" style="9" customWidth="1"/>
    <col min="7" max="7" width="12.7109375" style="14" bestFit="1" customWidth="1"/>
    <col min="8" max="8" width="13.85546875" style="14" bestFit="1" customWidth="1"/>
    <col min="9" max="9" width="9.140625" style="12"/>
    <col min="10" max="10" width="13.42578125" style="12" customWidth="1"/>
    <col min="11" max="11" width="13.85546875" style="12" bestFit="1" customWidth="1"/>
    <col min="12" max="16384" width="9.140625" style="12"/>
  </cols>
  <sheetData>
    <row r="1" spans="1:8" ht="15" customHeight="1" x14ac:dyDescent="0.25">
      <c r="A1" s="757" t="s">
        <v>3</v>
      </c>
      <c r="B1" s="758"/>
      <c r="C1" s="758"/>
      <c r="D1" s="758"/>
      <c r="E1" s="758"/>
      <c r="F1" s="758"/>
      <c r="G1" s="758"/>
      <c r="H1" s="759"/>
    </row>
    <row r="2" spans="1:8" ht="15" customHeight="1" x14ac:dyDescent="0.25">
      <c r="A2" s="760" t="s">
        <v>173</v>
      </c>
      <c r="B2" s="761"/>
      <c r="C2" s="761"/>
      <c r="D2" s="761"/>
      <c r="E2" s="761"/>
      <c r="F2" s="761"/>
      <c r="G2" s="761"/>
      <c r="H2" s="762"/>
    </row>
    <row r="3" spans="1:8" ht="15" customHeight="1" x14ac:dyDescent="0.25">
      <c r="A3" s="760" t="s">
        <v>71</v>
      </c>
      <c r="B3" s="761"/>
      <c r="C3" s="761"/>
      <c r="D3" s="761"/>
      <c r="E3" s="761"/>
      <c r="F3" s="761"/>
      <c r="G3" s="761"/>
      <c r="H3" s="762"/>
    </row>
    <row r="4" spans="1:8" ht="15" customHeight="1" x14ac:dyDescent="0.25">
      <c r="A4" s="760" t="str">
        <f>ORÇAMENTO!A4</f>
        <v>SEGUNDA ETAPA CANALIZAÇÃO DO RIBEIRÃO PIRAPITINGA E VIAS MARGINAIS</v>
      </c>
      <c r="B4" s="761"/>
      <c r="C4" s="761"/>
      <c r="D4" s="761"/>
      <c r="E4" s="761"/>
      <c r="F4" s="761"/>
      <c r="G4" s="761"/>
      <c r="H4" s="762"/>
    </row>
    <row r="5" spans="1:8" ht="15" customHeight="1" thickBot="1" x14ac:dyDescent="0.3">
      <c r="A5" s="766" t="s">
        <v>174</v>
      </c>
      <c r="B5" s="767"/>
      <c r="C5" s="767"/>
      <c r="D5" s="767"/>
      <c r="E5" s="767"/>
      <c r="F5" s="767"/>
      <c r="G5" s="767"/>
      <c r="H5" s="768"/>
    </row>
    <row r="6" spans="1:8" ht="15" customHeight="1" thickBot="1" x14ac:dyDescent="0.3">
      <c r="A6" s="156" t="s">
        <v>5</v>
      </c>
      <c r="B6" s="157" t="s">
        <v>6</v>
      </c>
      <c r="C6" s="158"/>
      <c r="D6" s="158"/>
      <c r="E6" s="158"/>
      <c r="F6" s="159"/>
      <c r="G6" s="160" t="s">
        <v>175</v>
      </c>
      <c r="H6" s="161" t="s">
        <v>176</v>
      </c>
    </row>
    <row r="7" spans="1:8" ht="15" customHeight="1" thickBot="1" x14ac:dyDescent="0.3">
      <c r="A7" s="153" t="s">
        <v>177</v>
      </c>
      <c r="B7" s="116" t="s">
        <v>178</v>
      </c>
      <c r="C7" s="162"/>
      <c r="D7" s="162"/>
      <c r="E7" s="162"/>
      <c r="F7" s="162"/>
      <c r="G7" s="163"/>
      <c r="H7" s="164"/>
    </row>
    <row r="8" spans="1:8" ht="15" customHeight="1" thickBot="1" x14ac:dyDescent="0.3">
      <c r="A8" s="165" t="str">
        <f>ORÇAMENTO!A15</f>
        <v>1.1</v>
      </c>
      <c r="B8" s="739" t="str">
        <f>ORÇAMENTO!D15</f>
        <v>MOBILIZAÇÃO /DESMOBILIZAÇÃO (MÃO DE OBRA / EQUIPAMENTO)</v>
      </c>
      <c r="C8" s="740"/>
      <c r="D8" s="740"/>
      <c r="E8" s="740"/>
      <c r="F8" s="763"/>
      <c r="G8" s="166" t="s">
        <v>7</v>
      </c>
      <c r="H8" s="167">
        <v>1</v>
      </c>
    </row>
    <row r="9" spans="1:8" ht="15" customHeight="1" thickBot="1" x14ac:dyDescent="0.3">
      <c r="A9" s="168"/>
      <c r="B9" s="117" t="s">
        <v>262</v>
      </c>
      <c r="C9" s="169"/>
      <c r="D9" s="169"/>
      <c r="E9" s="764"/>
      <c r="F9" s="765"/>
      <c r="G9" s="170"/>
      <c r="H9" s="171"/>
    </row>
    <row r="10" spans="1:8" ht="15" customHeight="1" thickBot="1" x14ac:dyDescent="0.3">
      <c r="A10" s="165" t="str">
        <f>ORÇAMENTO!A16</f>
        <v>1.2</v>
      </c>
      <c r="B10" s="739" t="str">
        <f>ORÇAMENTO!D16</f>
        <v>CANTEIRO DE OBRAS</v>
      </c>
      <c r="C10" s="740"/>
      <c r="D10" s="740"/>
      <c r="E10" s="740"/>
      <c r="F10" s="763"/>
      <c r="G10" s="166" t="s">
        <v>7</v>
      </c>
      <c r="H10" s="167">
        <v>1</v>
      </c>
    </row>
    <row r="11" spans="1:8" ht="15" customHeight="1" thickBot="1" x14ac:dyDescent="0.3">
      <c r="A11" s="168"/>
      <c r="B11" s="117" t="s">
        <v>927</v>
      </c>
      <c r="C11" s="169"/>
      <c r="D11" s="169"/>
      <c r="E11" s="764"/>
      <c r="F11" s="765"/>
      <c r="G11" s="170"/>
      <c r="H11" s="171"/>
    </row>
    <row r="12" spans="1:8" ht="15" customHeight="1" thickBot="1" x14ac:dyDescent="0.3">
      <c r="A12" s="165" t="str">
        <f>ORÇAMENTO!A17</f>
        <v>1.3</v>
      </c>
      <c r="B12" s="739" t="str">
        <f>ORÇAMENTO!D17</f>
        <v>PLACA DE OBRA PLOTADA EM CHAPA METÁLICA 26 , AFIXADA EM CAVALETES DE MADEIRA DE LEI (VIGOTAS 6X12CM) - PADRÃO AGETOP</v>
      </c>
      <c r="C12" s="740"/>
      <c r="D12" s="740"/>
      <c r="E12" s="740"/>
      <c r="F12" s="172"/>
      <c r="G12" s="166" t="str">
        <f>ORÇAMENTO!E17</f>
        <v>M2</v>
      </c>
      <c r="H12" s="167">
        <v>14.86</v>
      </c>
    </row>
    <row r="13" spans="1:8" s="11" customFormat="1" ht="15" customHeight="1" x14ac:dyDescent="0.25">
      <c r="A13" s="168"/>
      <c r="B13" s="117" t="s">
        <v>180</v>
      </c>
      <c r="C13" s="173"/>
      <c r="D13" s="173"/>
      <c r="E13" s="173"/>
      <c r="F13" s="174"/>
      <c r="G13" s="175" t="s">
        <v>2</v>
      </c>
      <c r="H13" s="176">
        <v>3.44</v>
      </c>
    </row>
    <row r="14" spans="1:8" s="11" customFormat="1" ht="15" customHeight="1" x14ac:dyDescent="0.25">
      <c r="A14" s="177"/>
      <c r="B14" s="118" t="s">
        <v>181</v>
      </c>
      <c r="C14" s="178"/>
      <c r="D14" s="178"/>
      <c r="E14" s="178"/>
      <c r="F14" s="179"/>
      <c r="G14" s="180" t="s">
        <v>2</v>
      </c>
      <c r="H14" s="181">
        <v>2.16</v>
      </c>
    </row>
    <row r="15" spans="1:8" ht="15" customHeight="1" thickBot="1" x14ac:dyDescent="0.3">
      <c r="A15" s="177"/>
      <c r="B15" s="118" t="s">
        <v>182</v>
      </c>
      <c r="C15" s="178"/>
      <c r="D15" s="178"/>
      <c r="E15" s="178"/>
      <c r="F15" s="179"/>
      <c r="G15" s="180" t="s">
        <v>175</v>
      </c>
      <c r="H15" s="181">
        <v>2</v>
      </c>
    </row>
    <row r="16" spans="1:8" ht="15.75" thickBot="1" x14ac:dyDescent="0.3">
      <c r="A16" s="165" t="str">
        <f>ORÇAMENTO!A18</f>
        <v>1.4</v>
      </c>
      <c r="B16" s="755" t="str">
        <f>ORÇAMENTO!D18</f>
        <v>ISOLAMENTO DE OBRA COM TELA PLASTICA COM MALHA DE 5MM E ESTRUTURA DE MADEIRA PONTALETEADA</v>
      </c>
      <c r="C16" s="755"/>
      <c r="D16" s="755"/>
      <c r="E16" s="739"/>
      <c r="F16" s="172"/>
      <c r="G16" s="166" t="str">
        <f>ORÇAMENTO!E18</f>
        <v>M2</v>
      </c>
      <c r="H16" s="167">
        <f>SUM(H17:H19)</f>
        <v>2176.5</v>
      </c>
    </row>
    <row r="17" spans="1:8" ht="15" customHeight="1" x14ac:dyDescent="0.25">
      <c r="A17" s="168"/>
      <c r="B17" s="117"/>
      <c r="C17" s="182"/>
      <c r="D17" s="182"/>
      <c r="E17" s="170" t="s">
        <v>263</v>
      </c>
      <c r="F17" s="170" t="s">
        <v>231</v>
      </c>
      <c r="G17" s="175"/>
      <c r="H17" s="176" t="s">
        <v>11</v>
      </c>
    </row>
    <row r="18" spans="1:8" ht="15" customHeight="1" x14ac:dyDescent="0.25">
      <c r="A18" s="177"/>
      <c r="B18" s="118" t="s">
        <v>185</v>
      </c>
      <c r="C18" s="183"/>
      <c r="D18" s="183"/>
      <c r="E18" s="185">
        <v>70</v>
      </c>
      <c r="F18" s="185">
        <v>1.5</v>
      </c>
      <c r="G18" s="180" t="s">
        <v>96</v>
      </c>
      <c r="H18" s="181">
        <f>E18*F18</f>
        <v>105</v>
      </c>
    </row>
    <row r="19" spans="1:8" ht="15" customHeight="1" thickBot="1" x14ac:dyDescent="0.3">
      <c r="A19" s="177"/>
      <c r="B19" s="118" t="s">
        <v>186</v>
      </c>
      <c r="C19" s="183"/>
      <c r="D19" s="183"/>
      <c r="E19" s="185">
        <f>495+145+250+213+278</f>
        <v>1381</v>
      </c>
      <c r="F19" s="185">
        <v>1.5</v>
      </c>
      <c r="G19" s="180" t="s">
        <v>96</v>
      </c>
      <c r="H19" s="181">
        <f>E19*F19</f>
        <v>2071.5</v>
      </c>
    </row>
    <row r="20" spans="1:8" ht="15" customHeight="1" thickBot="1" x14ac:dyDescent="0.3">
      <c r="A20" s="165" t="str">
        <f>ORÇAMENTO!A19</f>
        <v>1.5</v>
      </c>
      <c r="B20" s="755" t="str">
        <f>ORÇAMENTO!D19</f>
        <v>TRANSPORTE DE EQUIPAMENTO DE SONDAGEM</v>
      </c>
      <c r="C20" s="755"/>
      <c r="D20" s="755"/>
      <c r="E20" s="739"/>
      <c r="F20" s="187"/>
      <c r="G20" s="166" t="str">
        <f>ORÇAMENTO!E19</f>
        <v>TKM</v>
      </c>
      <c r="H20" s="167">
        <v>10</v>
      </c>
    </row>
    <row r="21" spans="1:8" ht="15" customHeight="1" thickBot="1" x14ac:dyDescent="0.3">
      <c r="A21" s="165" t="str">
        <f>ORÇAMENTO!A20</f>
        <v>1.6</v>
      </c>
      <c r="B21" s="755" t="str">
        <f>ORÇAMENTO!D20</f>
        <v xml:space="preserve">SONDAGEM MAT. 1ª CAT. - SOLO </v>
      </c>
      <c r="C21" s="755"/>
      <c r="D21" s="755"/>
      <c r="E21" s="739"/>
      <c r="F21" s="187"/>
      <c r="G21" s="166" t="str">
        <f>ORÇAMENTO!E20</f>
        <v>M</v>
      </c>
      <c r="H21" s="167">
        <f>H23</f>
        <v>60</v>
      </c>
    </row>
    <row r="22" spans="1:8" ht="14.25" customHeight="1" x14ac:dyDescent="0.25">
      <c r="A22" s="177"/>
      <c r="B22" s="113"/>
      <c r="C22" s="178"/>
      <c r="D22" s="113"/>
      <c r="E22" s="188" t="s">
        <v>269</v>
      </c>
      <c r="F22" s="178" t="s">
        <v>270</v>
      </c>
      <c r="G22" s="180" t="s">
        <v>2</v>
      </c>
      <c r="H22" s="189" t="s">
        <v>11</v>
      </c>
    </row>
    <row r="23" spans="1:8" ht="15.75" thickBot="1" x14ac:dyDescent="0.3">
      <c r="A23" s="190"/>
      <c r="B23" s="118" t="s">
        <v>271</v>
      </c>
      <c r="C23" s="191"/>
      <c r="D23" s="119"/>
      <c r="E23" s="192">
        <v>20</v>
      </c>
      <c r="F23" s="191">
        <v>3</v>
      </c>
      <c r="G23" s="193"/>
      <c r="H23" s="194">
        <f>E23*F23</f>
        <v>60</v>
      </c>
    </row>
    <row r="24" spans="1:8" ht="15" customHeight="1" thickBot="1" x14ac:dyDescent="0.3">
      <c r="A24" s="165" t="str">
        <f>ORÇAMENTO!A21</f>
        <v>1.7</v>
      </c>
      <c r="B24" s="755" t="str">
        <f>ORÇAMENTO!D21</f>
        <v>SONDAGEM MAT. 2ª CAT. - PEDREGULHO</v>
      </c>
      <c r="C24" s="755"/>
      <c r="D24" s="756"/>
      <c r="E24" s="739"/>
      <c r="F24" s="187"/>
      <c r="G24" s="166" t="str">
        <f>ORÇAMENTO!E21</f>
        <v>M</v>
      </c>
      <c r="H24" s="167">
        <f>H26</f>
        <v>60</v>
      </c>
    </row>
    <row r="25" spans="1:8" ht="12" customHeight="1" x14ac:dyDescent="0.25">
      <c r="A25" s="177"/>
      <c r="B25" s="113"/>
      <c r="C25" s="195"/>
      <c r="D25" s="178"/>
      <c r="E25" s="188" t="s">
        <v>269</v>
      </c>
      <c r="F25" s="178" t="s">
        <v>270</v>
      </c>
      <c r="G25" s="180" t="s">
        <v>179</v>
      </c>
      <c r="H25" s="181" t="s">
        <v>11</v>
      </c>
    </row>
    <row r="26" spans="1:8" ht="15.75" thickBot="1" x14ac:dyDescent="0.3">
      <c r="A26" s="190"/>
      <c r="B26" s="118" t="s">
        <v>272</v>
      </c>
      <c r="C26" s="196"/>
      <c r="D26" s="191"/>
      <c r="E26" s="192">
        <v>20</v>
      </c>
      <c r="F26" s="191">
        <v>3</v>
      </c>
      <c r="G26" s="193"/>
      <c r="H26" s="197">
        <f>E26*F26</f>
        <v>60</v>
      </c>
    </row>
    <row r="27" spans="1:8" ht="15" customHeight="1" thickBot="1" x14ac:dyDescent="0.3">
      <c r="A27" s="165" t="str">
        <f>ORÇAMENTO!A22</f>
        <v>1.8</v>
      </c>
      <c r="B27" s="755" t="str">
        <f>ORÇAMENTO!D22</f>
        <v xml:space="preserve">SONDAGEM MAT. 3ª CAT. - ROCHA POUCO ABRASIVA </v>
      </c>
      <c r="C27" s="756"/>
      <c r="D27" s="755"/>
      <c r="E27" s="739"/>
      <c r="F27" s="187"/>
      <c r="G27" s="166" t="str">
        <f>ORÇAMENTO!E22</f>
        <v>M</v>
      </c>
      <c r="H27" s="167">
        <f>H29</f>
        <v>60</v>
      </c>
    </row>
    <row r="28" spans="1:8" ht="12.75" customHeight="1" x14ac:dyDescent="0.25">
      <c r="A28" s="177"/>
      <c r="B28" s="113"/>
      <c r="C28" s="195"/>
      <c r="D28" s="178"/>
      <c r="E28" s="188" t="s">
        <v>269</v>
      </c>
      <c r="F28" s="178" t="s">
        <v>270</v>
      </c>
      <c r="G28" s="180" t="s">
        <v>179</v>
      </c>
      <c r="H28" s="181" t="s">
        <v>11</v>
      </c>
    </row>
    <row r="29" spans="1:8" ht="15.75" customHeight="1" thickBot="1" x14ac:dyDescent="0.3">
      <c r="A29" s="198"/>
      <c r="B29" s="118" t="s">
        <v>267</v>
      </c>
      <c r="C29" s="196"/>
      <c r="D29" s="191"/>
      <c r="E29" s="192">
        <v>5</v>
      </c>
      <c r="F29" s="191">
        <v>12</v>
      </c>
      <c r="G29" s="199"/>
      <c r="H29" s="197">
        <f>E29*F29</f>
        <v>60</v>
      </c>
    </row>
    <row r="30" spans="1:8" ht="15" customHeight="1" thickBot="1" x14ac:dyDescent="0.3">
      <c r="A30" s="165" t="str">
        <f>ORÇAMENTO!A23</f>
        <v>1.9</v>
      </c>
      <c r="B30" s="755" t="str">
        <f>ORÇAMENTO!D23</f>
        <v xml:space="preserve">PROJETO EXECUTIVO DE ENGENHARIA PARA REGIÃO ONDULADA </v>
      </c>
      <c r="C30" s="756"/>
      <c r="D30" s="755"/>
      <c r="E30" s="739"/>
      <c r="F30" s="612"/>
      <c r="G30" s="166" t="str">
        <f>ORÇAMENTO!E23</f>
        <v>KM</v>
      </c>
      <c r="H30" s="167">
        <v>0.86</v>
      </c>
    </row>
    <row r="31" spans="1:8" ht="12.75" customHeight="1" x14ac:dyDescent="0.25">
      <c r="A31" s="177"/>
      <c r="B31" s="113"/>
      <c r="C31" s="195"/>
      <c r="D31" s="178"/>
      <c r="E31" s="120"/>
      <c r="F31" s="259" t="s">
        <v>275</v>
      </c>
      <c r="G31" s="231" t="s">
        <v>179</v>
      </c>
      <c r="H31" s="181" t="s">
        <v>11</v>
      </c>
    </row>
    <row r="32" spans="1:8" ht="15.75" thickBot="1" x14ac:dyDescent="0.3">
      <c r="A32" s="198"/>
      <c r="B32" s="118" t="s">
        <v>274</v>
      </c>
      <c r="C32" s="191"/>
      <c r="D32" s="191"/>
      <c r="E32" s="120"/>
      <c r="F32" s="614">
        <v>0.51600000000000001</v>
      </c>
      <c r="G32" s="199" t="s">
        <v>197</v>
      </c>
      <c r="H32" s="200">
        <f>F32</f>
        <v>0.51600000000000001</v>
      </c>
    </row>
    <row r="33" spans="1:8" ht="15.75" thickBot="1" x14ac:dyDescent="0.3">
      <c r="A33" s="198"/>
      <c r="B33" s="126" t="s">
        <v>924</v>
      </c>
      <c r="C33" s="613"/>
      <c r="D33" s="191"/>
      <c r="E33" s="120"/>
      <c r="F33" s="614">
        <v>0.34499999999999997</v>
      </c>
      <c r="G33" s="199" t="s">
        <v>197</v>
      </c>
      <c r="H33" s="200">
        <f>F33</f>
        <v>0.34499999999999997</v>
      </c>
    </row>
    <row r="34" spans="1:8" ht="15" customHeight="1" thickBot="1" x14ac:dyDescent="0.3">
      <c r="A34" s="165" t="str">
        <f>ORÇAMENTO!A24</f>
        <v>1.10</v>
      </c>
      <c r="B34" s="755" t="str">
        <f>ORÇAMENTO!D24</f>
        <v xml:space="preserve">PROJETO EXECUTIVO DE ENGENHARIA PARA REGIÃO ONDULADA - PISTA DUPLA </v>
      </c>
      <c r="C34" s="756"/>
      <c r="D34" s="755"/>
      <c r="E34" s="739"/>
      <c r="F34" s="187"/>
      <c r="G34" s="166" t="str">
        <f>ORÇAMENTO!E24</f>
        <v>KM</v>
      </c>
      <c r="H34" s="201">
        <v>0.96099999999999997</v>
      </c>
    </row>
    <row r="35" spans="1:8" ht="12.75" customHeight="1" x14ac:dyDescent="0.25">
      <c r="A35" s="177"/>
      <c r="B35" s="113"/>
      <c r="C35" s="195"/>
      <c r="D35" s="178"/>
      <c r="E35" s="188" t="s">
        <v>279</v>
      </c>
      <c r="F35" s="188" t="s">
        <v>278</v>
      </c>
      <c r="G35" s="180" t="s">
        <v>179</v>
      </c>
      <c r="H35" s="181" t="s">
        <v>11</v>
      </c>
    </row>
    <row r="36" spans="1:8" ht="19.5" customHeight="1" thickBot="1" x14ac:dyDescent="0.3">
      <c r="A36" s="198"/>
      <c r="B36" s="118" t="s">
        <v>277</v>
      </c>
      <c r="C36" s="196"/>
      <c r="D36" s="191"/>
      <c r="E36" s="552">
        <f>(64.9+122.55+130.26+53.6+101)/1000</f>
        <v>0.47231000000000001</v>
      </c>
      <c r="F36" s="552">
        <f>(58+24+50+71+42+89.5+53.7+17.9+34.3+48.3)/1000</f>
        <v>0.48869999999999997</v>
      </c>
      <c r="G36" s="199" t="s">
        <v>197</v>
      </c>
      <c r="H36" s="202">
        <f>F36+E36</f>
        <v>0.96100999999999992</v>
      </c>
    </row>
    <row r="37" spans="1:8" ht="19.5" customHeight="1" thickBot="1" x14ac:dyDescent="0.3">
      <c r="A37" s="165" t="str">
        <f>ORÇAMENTO!A25</f>
        <v>1.11</v>
      </c>
      <c r="B37" s="755" t="str">
        <f>ORÇAMENTO!D25</f>
        <v>PROJETO ESTRUTURAL DE PCA</v>
      </c>
      <c r="C37" s="756"/>
      <c r="D37" s="755"/>
      <c r="E37" s="739"/>
      <c r="F37" s="187"/>
      <c r="G37" s="166"/>
      <c r="H37" s="201">
        <f>H39</f>
        <v>16</v>
      </c>
    </row>
    <row r="38" spans="1:8" ht="19.5" customHeight="1" x14ac:dyDescent="0.25">
      <c r="A38" s="177"/>
      <c r="B38" s="113"/>
      <c r="C38" s="195"/>
      <c r="D38" s="178"/>
      <c r="E38" s="188" t="s">
        <v>279</v>
      </c>
      <c r="F38" s="188" t="s">
        <v>278</v>
      </c>
      <c r="G38" s="180" t="s">
        <v>179</v>
      </c>
      <c r="H38" s="181" t="s">
        <v>11</v>
      </c>
    </row>
    <row r="39" spans="1:8" ht="19.5" customHeight="1" thickBot="1" x14ac:dyDescent="0.3">
      <c r="A39" s="198"/>
      <c r="B39" s="118" t="s">
        <v>277</v>
      </c>
      <c r="C39" s="196"/>
      <c r="D39" s="191"/>
      <c r="E39" s="615">
        <v>8</v>
      </c>
      <c r="F39" s="615">
        <v>8</v>
      </c>
      <c r="G39" s="199" t="s">
        <v>2</v>
      </c>
      <c r="H39" s="202">
        <f>F39+E39</f>
        <v>16</v>
      </c>
    </row>
    <row r="40" spans="1:8" ht="15" customHeight="1" thickBot="1" x14ac:dyDescent="0.3">
      <c r="A40" s="153" t="s">
        <v>188</v>
      </c>
      <c r="B40" s="116" t="str">
        <f>ORÇAMENTO!A27</f>
        <v>ADMINISTRAÇÃO DE OBRA</v>
      </c>
      <c r="C40" s="203"/>
      <c r="D40" s="162"/>
      <c r="E40" s="162"/>
      <c r="F40" s="162"/>
      <c r="G40" s="163"/>
      <c r="H40" s="164"/>
    </row>
    <row r="41" spans="1:8" ht="12.75" customHeight="1" x14ac:dyDescent="0.25">
      <c r="A41" s="177"/>
      <c r="B41" s="113"/>
      <c r="C41" s="195"/>
      <c r="D41" s="178"/>
      <c r="E41" s="120"/>
      <c r="F41" s="188"/>
      <c r="G41" s="180" t="s">
        <v>179</v>
      </c>
      <c r="H41" s="181" t="s">
        <v>11</v>
      </c>
    </row>
    <row r="42" spans="1:8" ht="15.75" thickBot="1" x14ac:dyDescent="0.3">
      <c r="A42" s="198"/>
      <c r="B42" s="118" t="s">
        <v>610</v>
      </c>
      <c r="C42" s="196"/>
      <c r="D42" s="191"/>
      <c r="E42" s="120"/>
      <c r="F42" s="192"/>
      <c r="G42" s="199" t="s">
        <v>7</v>
      </c>
      <c r="H42" s="200">
        <v>1</v>
      </c>
    </row>
    <row r="43" spans="1:8" ht="15" customHeight="1" thickBot="1" x14ac:dyDescent="0.3">
      <c r="A43" s="153" t="s">
        <v>189</v>
      </c>
      <c r="B43" s="116" t="str">
        <f>ORÇAMENTO!A31</f>
        <v>SUPRESSÃO VEGETAL</v>
      </c>
      <c r="C43" s="162"/>
      <c r="D43" s="162"/>
      <c r="E43" s="162"/>
      <c r="F43" s="162"/>
      <c r="G43" s="163"/>
      <c r="H43" s="164"/>
    </row>
    <row r="44" spans="1:8" ht="15" customHeight="1" thickBot="1" x14ac:dyDescent="0.3">
      <c r="A44" s="165" t="str">
        <f>ORÇAMENTO!A33</f>
        <v>3.1</v>
      </c>
      <c r="B44" s="755" t="str">
        <f>ORÇAMENTO!D33</f>
        <v xml:space="preserve">DESMATAMENTO, DESTOCAMENTO E LIMPEZA - ÁRVORES COM DIÂMETROS MENORES DE 15 CM </v>
      </c>
      <c r="C44" s="755"/>
      <c r="D44" s="755"/>
      <c r="E44" s="755"/>
      <c r="F44" s="755"/>
      <c r="G44" s="166" t="str">
        <f>ORÇAMENTO!E33</f>
        <v>M2</v>
      </c>
      <c r="H44" s="167">
        <f>SUM(H45:H47)</f>
        <v>82922</v>
      </c>
    </row>
    <row r="45" spans="1:8" ht="15" customHeight="1" x14ac:dyDescent="0.25">
      <c r="A45" s="212"/>
      <c r="B45" s="123"/>
      <c r="C45" s="124"/>
      <c r="D45" s="124"/>
      <c r="E45" s="170" t="s">
        <v>180</v>
      </c>
      <c r="F45" s="170" t="s">
        <v>190</v>
      </c>
      <c r="G45" s="213"/>
      <c r="H45" s="214" t="s">
        <v>11</v>
      </c>
    </row>
    <row r="46" spans="1:8" ht="15" customHeight="1" x14ac:dyDescent="0.25">
      <c r="A46" s="168"/>
      <c r="B46" s="117" t="s">
        <v>280</v>
      </c>
      <c r="C46" s="169"/>
      <c r="D46" s="169"/>
      <c r="E46" s="215">
        <v>516</v>
      </c>
      <c r="F46" s="216">
        <v>144</v>
      </c>
      <c r="G46" s="175" t="s">
        <v>2</v>
      </c>
      <c r="H46" s="176">
        <f>E46*F46</f>
        <v>74304</v>
      </c>
    </row>
    <row r="47" spans="1:8" ht="15.75" thickBot="1" x14ac:dyDescent="0.3">
      <c r="A47" s="217"/>
      <c r="B47" s="125" t="s">
        <v>281</v>
      </c>
      <c r="C47" s="218"/>
      <c r="D47" s="218"/>
      <c r="E47" s="219">
        <v>278</v>
      </c>
      <c r="F47" s="220">
        <v>31</v>
      </c>
      <c r="G47" s="221" t="s">
        <v>2</v>
      </c>
      <c r="H47" s="222">
        <f>E47*F47</f>
        <v>8618</v>
      </c>
    </row>
    <row r="48" spans="1:8" ht="15" customHeight="1" thickBot="1" x14ac:dyDescent="0.3">
      <c r="A48" s="165" t="str">
        <f>ORÇAMENTO!A34</f>
        <v>3.2</v>
      </c>
      <c r="B48" s="755" t="str">
        <f>ORÇAMENTO!D34</f>
        <v>CORTE/DESTOC./RETIRADA/REATERRO (MANUAIS) DE ÁRVORE GRANDE PORTE ( H = 8 A 10M / DIÂMETRO TRONCO 60 A 70CM E COPA DE 10 A 13M ) C/TRANSP.ATE C.B.E CARGA</v>
      </c>
      <c r="C48" s="755"/>
      <c r="D48" s="755"/>
      <c r="E48" s="755"/>
      <c r="F48" s="755"/>
      <c r="G48" s="166" t="str">
        <f>ORÇAMENTO!E34</f>
        <v>UND</v>
      </c>
      <c r="H48" s="167">
        <f>SUM(H49:H50)</f>
        <v>45</v>
      </c>
    </row>
    <row r="49" spans="1:10" ht="15" customHeight="1" x14ac:dyDescent="0.25">
      <c r="A49" s="177"/>
      <c r="B49" s="118" t="s">
        <v>191</v>
      </c>
      <c r="C49" s="223"/>
      <c r="D49" s="224"/>
      <c r="E49" s="224"/>
      <c r="F49" s="225"/>
      <c r="G49" s="180" t="s">
        <v>179</v>
      </c>
      <c r="H49" s="181">
        <v>19</v>
      </c>
    </row>
    <row r="50" spans="1:10" ht="15" customHeight="1" thickBot="1" x14ac:dyDescent="0.3">
      <c r="A50" s="217"/>
      <c r="B50" s="125" t="s">
        <v>192</v>
      </c>
      <c r="C50" s="226"/>
      <c r="D50" s="227"/>
      <c r="E50" s="227"/>
      <c r="F50" s="228"/>
      <c r="G50" s="221" t="s">
        <v>179</v>
      </c>
      <c r="H50" s="222">
        <v>26</v>
      </c>
    </row>
    <row r="51" spans="1:10" ht="15" customHeight="1" thickBot="1" x14ac:dyDescent="0.3">
      <c r="A51" s="165" t="s">
        <v>105</v>
      </c>
      <c r="B51" s="755" t="str">
        <f>ORÇAMENTO!D35</f>
        <v>CARGA DE ENTULHOS</v>
      </c>
      <c r="C51" s="755"/>
      <c r="D51" s="755"/>
      <c r="E51" s="755"/>
      <c r="F51" s="755"/>
      <c r="G51" s="166" t="str">
        <f>ORÇAMENTO!E37</f>
        <v>M3</v>
      </c>
      <c r="H51" s="167">
        <f>SUM(H52:H53)</f>
        <v>16584.400000000001</v>
      </c>
    </row>
    <row r="52" spans="1:10" ht="15" customHeight="1" x14ac:dyDescent="0.25">
      <c r="A52" s="177"/>
      <c r="B52" s="12"/>
      <c r="C52" s="223"/>
      <c r="D52" s="224"/>
      <c r="E52" s="224" t="s">
        <v>193</v>
      </c>
      <c r="F52" s="225" t="s">
        <v>282</v>
      </c>
      <c r="G52" s="180" t="s">
        <v>106</v>
      </c>
      <c r="H52" s="181" t="s">
        <v>11</v>
      </c>
    </row>
    <row r="53" spans="1:10" ht="15" customHeight="1" thickBot="1" x14ac:dyDescent="0.3">
      <c r="A53" s="217"/>
      <c r="B53" s="118" t="s">
        <v>649</v>
      </c>
      <c r="C53" s="226"/>
      <c r="D53" s="227"/>
      <c r="E53" s="434">
        <f>H46+H47</f>
        <v>82922</v>
      </c>
      <c r="F53" s="435">
        <v>0.2</v>
      </c>
      <c r="G53" s="221" t="s">
        <v>106</v>
      </c>
      <c r="H53" s="222">
        <f>F53*E53</f>
        <v>16584.400000000001</v>
      </c>
    </row>
    <row r="54" spans="1:10" ht="28.5" customHeight="1" thickBot="1" x14ac:dyDescent="0.3">
      <c r="A54" s="165" t="s">
        <v>107</v>
      </c>
      <c r="B54" s="755" t="str">
        <f>ORÇAMENTO!D36</f>
        <v xml:space="preserve">TRANSPORTE DE ENTULHOS </v>
      </c>
      <c r="C54" s="755"/>
      <c r="D54" s="755"/>
      <c r="E54" s="755"/>
      <c r="F54" s="755"/>
      <c r="G54" s="166" t="str">
        <f>ORÇAMENTO!E37</f>
        <v>M3</v>
      </c>
      <c r="H54" s="167">
        <v>116390.25</v>
      </c>
    </row>
    <row r="55" spans="1:10" ht="15" customHeight="1" x14ac:dyDescent="0.25">
      <c r="A55" s="168"/>
      <c r="B55" s="117" t="s">
        <v>639</v>
      </c>
      <c r="C55" s="229"/>
      <c r="D55" s="271" t="s">
        <v>269</v>
      </c>
      <c r="E55" s="170" t="s">
        <v>193</v>
      </c>
      <c r="F55" s="230" t="s">
        <v>282</v>
      </c>
      <c r="G55" s="175"/>
      <c r="H55" s="176" t="s">
        <v>11</v>
      </c>
    </row>
    <row r="56" spans="1:10" ht="15" customHeight="1" x14ac:dyDescent="0.25">
      <c r="A56" s="177" t="s">
        <v>642</v>
      </c>
      <c r="B56" s="118" t="s">
        <v>640</v>
      </c>
      <c r="C56" s="183"/>
      <c r="D56" s="225">
        <v>1</v>
      </c>
      <c r="E56" s="184">
        <f>H44</f>
        <v>82922</v>
      </c>
      <c r="F56" s="232">
        <v>0.2</v>
      </c>
      <c r="G56" s="180" t="s">
        <v>106</v>
      </c>
      <c r="H56" s="181">
        <f>F56*E56</f>
        <v>16584.400000000001</v>
      </c>
      <c r="J56" s="63"/>
    </row>
    <row r="57" spans="1:10" ht="15" customHeight="1" x14ac:dyDescent="0.25">
      <c r="A57" s="177" t="s">
        <v>643</v>
      </c>
      <c r="B57" s="118" t="s">
        <v>641</v>
      </c>
      <c r="C57" s="183"/>
      <c r="D57" s="225">
        <v>45</v>
      </c>
      <c r="E57" s="184">
        <f>(0.65/2)^2</f>
        <v>0.10562500000000001</v>
      </c>
      <c r="F57" s="232">
        <v>9</v>
      </c>
      <c r="G57" s="180" t="s">
        <v>106</v>
      </c>
      <c r="H57" s="181">
        <f>F57*E57*D57</f>
        <v>42.778125000000003</v>
      </c>
      <c r="J57" s="63"/>
    </row>
    <row r="58" spans="1:10" ht="15" customHeight="1" x14ac:dyDescent="0.25">
      <c r="A58" s="177" t="s">
        <v>644</v>
      </c>
      <c r="B58" s="118" t="s">
        <v>194</v>
      </c>
      <c r="C58" s="234"/>
      <c r="D58" s="235"/>
      <c r="E58" s="216"/>
      <c r="F58" s="185"/>
      <c r="G58" s="180" t="s">
        <v>195</v>
      </c>
      <c r="H58" s="233">
        <v>40</v>
      </c>
    </row>
    <row r="59" spans="1:10" ht="15" customHeight="1" x14ac:dyDescent="0.25">
      <c r="A59" s="217" t="s">
        <v>645</v>
      </c>
      <c r="B59" s="118" t="s">
        <v>196</v>
      </c>
      <c r="C59" s="409"/>
      <c r="D59" s="410"/>
      <c r="E59" s="220"/>
      <c r="F59" s="237"/>
      <c r="G59" s="221" t="s">
        <v>197</v>
      </c>
      <c r="H59" s="411">
        <v>6</v>
      </c>
    </row>
    <row r="60" spans="1:10" ht="15" customHeight="1" thickBot="1" x14ac:dyDescent="0.3">
      <c r="A60" s="217"/>
      <c r="B60" s="125" t="s">
        <v>646</v>
      </c>
      <c r="C60" s="218"/>
      <c r="D60" s="236"/>
      <c r="E60" s="220"/>
      <c r="F60" s="237"/>
      <c r="G60" s="221" t="s">
        <v>106</v>
      </c>
      <c r="H60" s="222">
        <f>(H56+H57)*1.4*H59</f>
        <v>139668.29625000001</v>
      </c>
    </row>
    <row r="61" spans="1:10" ht="15" customHeight="1" thickBot="1" x14ac:dyDescent="0.3">
      <c r="A61" s="165" t="s">
        <v>611</v>
      </c>
      <c r="B61" s="755" t="str">
        <f>ORÇAMENTO!D37</f>
        <v>ESPALHAMENTO DE MATERIAL EM BOTA FORA, COM UTILIZACAO DE TRATOR DE ESTEIRAS DE 165 HP</v>
      </c>
      <c r="C61" s="755"/>
      <c r="D61" s="755"/>
      <c r="E61" s="755"/>
      <c r="F61" s="755"/>
      <c r="G61" s="166" t="str">
        <f>ORÇAMENTO!E37</f>
        <v>M3</v>
      </c>
      <c r="H61" s="167">
        <f>H62</f>
        <v>21615.331562500003</v>
      </c>
    </row>
    <row r="62" spans="1:10" ht="15" customHeight="1" x14ac:dyDescent="0.25">
      <c r="A62" s="190"/>
      <c r="B62" s="126" t="s">
        <v>647</v>
      </c>
      <c r="C62" s="191"/>
      <c r="D62" s="191"/>
      <c r="E62" s="191"/>
      <c r="F62" s="238"/>
      <c r="G62" s="193" t="s">
        <v>106</v>
      </c>
      <c r="H62" s="197">
        <f>(H56+H57)*1.3</f>
        <v>21615.331562500003</v>
      </c>
    </row>
    <row r="63" spans="1:10" ht="15" customHeight="1" x14ac:dyDescent="0.25">
      <c r="A63" s="239">
        <f>ORÇAMENTO!A40</f>
        <v>4</v>
      </c>
      <c r="B63" s="127" t="str">
        <f>ORÇAMENTO!A39</f>
        <v>MOVIMENTAÇÃO DE TERRA - ESCAVAÇÃO</v>
      </c>
      <c r="C63" s="240"/>
      <c r="D63" s="240"/>
      <c r="E63" s="240"/>
      <c r="F63" s="240"/>
      <c r="G63" s="241"/>
      <c r="H63" s="242"/>
    </row>
    <row r="64" spans="1:10" ht="15" customHeight="1" x14ac:dyDescent="0.25">
      <c r="A64" s="248" t="str">
        <f>ORÇAMENTO!A41</f>
        <v>4.1</v>
      </c>
      <c r="B64" s="745" t="str">
        <f>ORÇAMENTO!D41</f>
        <v>ESCAV., CARGA E TRANSPORTE DE MAT. 1ª CATEG. - C/ ESCAVADEIRA - (DT: 5.001 A 10.000M)</v>
      </c>
      <c r="C64" s="746"/>
      <c r="D64" s="746"/>
      <c r="E64" s="746"/>
      <c r="F64" s="747"/>
      <c r="G64" s="436" t="str">
        <f>ORÇAMENTO!E41</f>
        <v>M3</v>
      </c>
      <c r="H64" s="437">
        <f>H67</f>
        <v>27895.9512</v>
      </c>
    </row>
    <row r="65" spans="1:11" x14ac:dyDescent="0.25">
      <c r="A65" s="243"/>
      <c r="B65" s="751" t="s">
        <v>935</v>
      </c>
      <c r="C65" s="752"/>
      <c r="D65" s="438"/>
      <c r="E65" s="244"/>
      <c r="F65" s="245"/>
      <c r="G65" s="246" t="s">
        <v>106</v>
      </c>
      <c r="H65" s="553">
        <f>0.6*35764.04</f>
        <v>21458.423999999999</v>
      </c>
      <c r="K65" s="30"/>
    </row>
    <row r="66" spans="1:11" x14ac:dyDescent="0.25">
      <c r="A66" s="545"/>
      <c r="B66" s="147" t="s">
        <v>194</v>
      </c>
      <c r="C66" s="546"/>
      <c r="D66" s="547"/>
      <c r="E66" s="548"/>
      <c r="F66" s="549"/>
      <c r="G66" s="550" t="s">
        <v>195</v>
      </c>
      <c r="H66" s="551">
        <v>30</v>
      </c>
      <c r="K66" s="30"/>
    </row>
    <row r="67" spans="1:11" x14ac:dyDescent="0.25">
      <c r="A67" s="545"/>
      <c r="B67" s="147" t="s">
        <v>213</v>
      </c>
      <c r="C67" s="546"/>
      <c r="D67" s="547"/>
      <c r="E67" s="548"/>
      <c r="F67" s="549"/>
      <c r="G67" s="550" t="s">
        <v>106</v>
      </c>
      <c r="H67" s="551">
        <f>1.3*H65</f>
        <v>27895.9512</v>
      </c>
      <c r="K67" s="30"/>
    </row>
    <row r="68" spans="1:11" x14ac:dyDescent="0.25">
      <c r="A68" s="248" t="str">
        <f>ORÇAMENTO!A42</f>
        <v>4.2</v>
      </c>
      <c r="B68" s="745" t="str">
        <f>ORÇAMENTO!D42</f>
        <v>ESCAV., CARGA E TRANSPORTE DE MAT. 2ª CATEG. - C/ ESCAVADEIRA - (DT: 5.001 A 10.000M)</v>
      </c>
      <c r="C68" s="746"/>
      <c r="D68" s="746"/>
      <c r="E68" s="746"/>
      <c r="F68" s="747"/>
      <c r="G68" s="436" t="str">
        <f>ORÇAMENTO!E45</f>
        <v>M3</v>
      </c>
      <c r="H68" s="437">
        <f>H71</f>
        <v>16272.638199999999</v>
      </c>
      <c r="K68" s="30"/>
    </row>
    <row r="69" spans="1:11" x14ac:dyDescent="0.25">
      <c r="A69" s="243"/>
      <c r="B69" s="751" t="s">
        <v>936</v>
      </c>
      <c r="C69" s="752"/>
      <c r="D69" s="438"/>
      <c r="E69" s="244"/>
      <c r="F69" s="245"/>
      <c r="G69" s="246" t="s">
        <v>106</v>
      </c>
      <c r="H69" s="553">
        <f>0.35*35764.04</f>
        <v>12517.413999999999</v>
      </c>
      <c r="K69" s="30"/>
    </row>
    <row r="70" spans="1:11" x14ac:dyDescent="0.25">
      <c r="A70" s="545"/>
      <c r="B70" s="147" t="s">
        <v>194</v>
      </c>
      <c r="C70" s="546"/>
      <c r="D70" s="547"/>
      <c r="E70" s="548"/>
      <c r="F70" s="549"/>
      <c r="G70" s="550" t="s">
        <v>195</v>
      </c>
      <c r="H70" s="551">
        <v>30</v>
      </c>
      <c r="J70" s="12">
        <v>35764.04</v>
      </c>
      <c r="K70" s="30"/>
    </row>
    <row r="71" spans="1:11" x14ac:dyDescent="0.25">
      <c r="A71" s="545"/>
      <c r="B71" s="147" t="s">
        <v>213</v>
      </c>
      <c r="C71" s="546"/>
      <c r="D71" s="547"/>
      <c r="E71" s="548"/>
      <c r="F71" s="549"/>
      <c r="G71" s="550" t="s">
        <v>106</v>
      </c>
      <c r="H71" s="551">
        <f>1.3*H69</f>
        <v>16272.638199999999</v>
      </c>
      <c r="K71" s="30"/>
    </row>
    <row r="72" spans="1:11" ht="15" customHeight="1" x14ac:dyDescent="0.25">
      <c r="A72" s="248" t="str">
        <f>ORÇAMENTO!A43</f>
        <v>4.3</v>
      </c>
      <c r="B72" s="745" t="str">
        <f>ORÇAMENTO!D43</f>
        <v>ESCAV. E CARGA 3ª CATEG. - SEM TRANSPORTE</v>
      </c>
      <c r="C72" s="746"/>
      <c r="D72" s="746"/>
      <c r="E72" s="746"/>
      <c r="F72" s="747"/>
      <c r="G72" s="436" t="str">
        <f>ORÇAMENTO!E45</f>
        <v>M3</v>
      </c>
      <c r="H72" s="437">
        <f>H73+H74</f>
        <v>4110.2020000000002</v>
      </c>
    </row>
    <row r="73" spans="1:11" ht="15" customHeight="1" x14ac:dyDescent="0.25">
      <c r="A73" s="243"/>
      <c r="B73" s="751" t="s">
        <v>877</v>
      </c>
      <c r="C73" s="752"/>
      <c r="D73" s="438" t="s">
        <v>443</v>
      </c>
      <c r="E73" s="244" t="s">
        <v>180</v>
      </c>
      <c r="F73" s="245" t="s">
        <v>181</v>
      </c>
      <c r="G73" s="246" t="s">
        <v>106</v>
      </c>
      <c r="H73" s="553">
        <f>0.05*35764.04</f>
        <v>1788.2020000000002</v>
      </c>
    </row>
    <row r="74" spans="1:11" ht="15" customHeight="1" x14ac:dyDescent="0.25">
      <c r="A74" s="609"/>
      <c r="B74" s="147" t="s">
        <v>922</v>
      </c>
      <c r="C74" s="546"/>
      <c r="D74" s="611">
        <v>0.5</v>
      </c>
      <c r="E74" s="548">
        <v>516</v>
      </c>
      <c r="F74" s="549">
        <v>9</v>
      </c>
      <c r="G74" s="550" t="s">
        <v>106</v>
      </c>
      <c r="H74" s="610">
        <f>516*9*0.5</f>
        <v>2322</v>
      </c>
    </row>
    <row r="75" spans="1:11" ht="15" customHeight="1" x14ac:dyDescent="0.25">
      <c r="A75" s="248" t="str">
        <f>ORÇAMENTO!A44</f>
        <v>4.4</v>
      </c>
      <c r="B75" s="745" t="str">
        <f>ORÇAMENTO!D44</f>
        <v>TRANSPORTE LOCAL MAT. 3ª CATEG. C/ BASCULANTE 10M³ - DMT&gt;1,2KM</v>
      </c>
      <c r="C75" s="746"/>
      <c r="D75" s="746"/>
      <c r="E75" s="746"/>
      <c r="F75" s="747"/>
      <c r="G75" s="436" t="str">
        <f>ORÇAMENTO!E44</f>
        <v>M3xKM</v>
      </c>
      <c r="H75" s="437">
        <f>H79</f>
        <v>34525.696799999998</v>
      </c>
    </row>
    <row r="76" spans="1:11" ht="15" customHeight="1" x14ac:dyDescent="0.25">
      <c r="A76" s="243"/>
      <c r="B76" s="751" t="s">
        <v>784</v>
      </c>
      <c r="C76" s="752"/>
      <c r="D76" s="438"/>
      <c r="E76" s="244"/>
      <c r="F76" s="245"/>
      <c r="G76" s="246" t="s">
        <v>106</v>
      </c>
      <c r="H76" s="553">
        <f>H72</f>
        <v>4110.2020000000002</v>
      </c>
    </row>
    <row r="77" spans="1:11" ht="15" customHeight="1" x14ac:dyDescent="0.25">
      <c r="A77" s="545"/>
      <c r="B77" s="147" t="s">
        <v>194</v>
      </c>
      <c r="C77" s="546"/>
      <c r="D77" s="547"/>
      <c r="E77" s="548"/>
      <c r="F77" s="549"/>
      <c r="G77" s="550" t="s">
        <v>195</v>
      </c>
      <c r="H77" s="551">
        <v>40</v>
      </c>
    </row>
    <row r="78" spans="1:11" ht="15" customHeight="1" x14ac:dyDescent="0.25">
      <c r="A78" s="545"/>
      <c r="B78" s="147" t="s">
        <v>786</v>
      </c>
      <c r="C78" s="546"/>
      <c r="D78" s="547"/>
      <c r="E78" s="548"/>
      <c r="F78" s="549"/>
      <c r="G78" s="550" t="s">
        <v>197</v>
      </c>
      <c r="H78" s="551">
        <v>6</v>
      </c>
    </row>
    <row r="79" spans="1:11" ht="15" customHeight="1" x14ac:dyDescent="0.25">
      <c r="A79" s="545"/>
      <c r="B79" s="147" t="s">
        <v>213</v>
      </c>
      <c r="C79" s="546"/>
      <c r="D79" s="547"/>
      <c r="E79" s="548"/>
      <c r="F79" s="549"/>
      <c r="G79" s="550" t="s">
        <v>661</v>
      </c>
      <c r="H79" s="551">
        <f>1.4*H78*H76</f>
        <v>34525.696799999998</v>
      </c>
    </row>
    <row r="80" spans="1:11" ht="15" customHeight="1" x14ac:dyDescent="0.25">
      <c r="A80" s="250" t="str">
        <f>ORÇAMENTO!A45</f>
        <v>4.5</v>
      </c>
      <c r="B80" s="732" t="str">
        <f>ORÇAMENTO!D45</f>
        <v>ESPALHAMENTO DE MATERIAL EM BOTA FORA, COM UTILIZACAO DE TRATOR DE ESTEIRAS DE 165 HP</v>
      </c>
      <c r="C80" s="733"/>
      <c r="D80" s="733"/>
      <c r="E80" s="733"/>
      <c r="F80" s="734"/>
      <c r="G80" s="251" t="str">
        <f>ORÇAMENTO!E45</f>
        <v>M3</v>
      </c>
      <c r="H80" s="252">
        <f>SUM(H81:H82)</f>
        <v>30399.434000000001</v>
      </c>
    </row>
    <row r="81" spans="1:8" ht="15" customHeight="1" x14ac:dyDescent="0.25">
      <c r="A81" s="212"/>
      <c r="B81" s="129" t="s">
        <v>650</v>
      </c>
      <c r="C81" s="501"/>
      <c r="D81" s="501"/>
      <c r="E81" s="501"/>
      <c r="F81" s="502"/>
      <c r="G81" s="180" t="s">
        <v>106</v>
      </c>
      <c r="H81" s="181">
        <f>H64</f>
        <v>27895.9512</v>
      </c>
    </row>
    <row r="82" spans="1:8" ht="15" customHeight="1" x14ac:dyDescent="0.25">
      <c r="A82" s="177"/>
      <c r="B82" s="129" t="s">
        <v>785</v>
      </c>
      <c r="C82" s="253"/>
      <c r="D82" s="253"/>
      <c r="E82" s="253"/>
      <c r="F82" s="254"/>
      <c r="G82" s="180" t="s">
        <v>477</v>
      </c>
      <c r="H82" s="181">
        <f>1.4*H73</f>
        <v>2503.4828000000002</v>
      </c>
    </row>
    <row r="83" spans="1:8" ht="15" customHeight="1" x14ac:dyDescent="0.25">
      <c r="A83" s="239">
        <f>ORÇAMENTO!A48</f>
        <v>5</v>
      </c>
      <c r="B83" s="753" t="s">
        <v>201</v>
      </c>
      <c r="C83" s="753"/>
      <c r="D83" s="753"/>
      <c r="E83" s="753"/>
      <c r="F83" s="753"/>
      <c r="G83" s="753"/>
      <c r="H83" s="754"/>
    </row>
    <row r="84" spans="1:8" ht="15" customHeight="1" x14ac:dyDescent="0.25">
      <c r="A84" s="250" t="str">
        <f>ORÇAMENTO!A49</f>
        <v>5.1</v>
      </c>
      <c r="B84" s="732" t="str">
        <f>ORÇAMENTO!D49</f>
        <v>ARGILA OU BARRO PARA ATERRO/REATERRO (RETIRADO NA JAZIDA, SEM TRANSPORTE)</v>
      </c>
      <c r="C84" s="733"/>
      <c r="D84" s="733"/>
      <c r="E84" s="733"/>
      <c r="F84" s="734"/>
      <c r="G84" s="251" t="s">
        <v>106</v>
      </c>
      <c r="H84" s="252">
        <f>SUM(H85:H85)</f>
        <v>81526.5</v>
      </c>
    </row>
    <row r="85" spans="1:8" ht="15" customHeight="1" x14ac:dyDescent="0.25">
      <c r="A85" s="177"/>
      <c r="B85" s="751" t="s">
        <v>436</v>
      </c>
      <c r="C85" s="752"/>
      <c r="D85" s="255"/>
      <c r="E85" s="255"/>
      <c r="F85" s="245"/>
      <c r="G85" s="180" t="s">
        <v>106</v>
      </c>
      <c r="H85" s="181">
        <f>105984.45/1.3</f>
        <v>81526.5</v>
      </c>
    </row>
    <row r="86" spans="1:8" ht="15" customHeight="1" x14ac:dyDescent="0.25">
      <c r="A86" s="250" t="str">
        <f>ORÇAMENTO!A50</f>
        <v>5.2</v>
      </c>
      <c r="B86" s="732" t="str">
        <f>ORÇAMENTO!D50</f>
        <v>ESCAV. E CARGA 1ª CATEG. - SEM TRANSPORTE</v>
      </c>
      <c r="C86" s="733"/>
      <c r="D86" s="733"/>
      <c r="E86" s="733"/>
      <c r="F86" s="734"/>
      <c r="G86" s="251" t="str">
        <f>ORÇAMENTO!E50</f>
        <v>M3</v>
      </c>
      <c r="H86" s="252">
        <f>H89</f>
        <v>105984.45</v>
      </c>
    </row>
    <row r="87" spans="1:8" x14ac:dyDescent="0.25">
      <c r="A87" s="177"/>
      <c r="B87" s="751" t="s">
        <v>436</v>
      </c>
      <c r="C87" s="752"/>
      <c r="D87" s="255"/>
      <c r="E87" s="255"/>
      <c r="F87" s="245"/>
      <c r="G87" s="180" t="s">
        <v>106</v>
      </c>
      <c r="H87" s="181">
        <f>105984.45/1.3</f>
        <v>81526.5</v>
      </c>
    </row>
    <row r="88" spans="1:8" x14ac:dyDescent="0.25">
      <c r="A88" s="190"/>
      <c r="B88" s="147" t="s">
        <v>194</v>
      </c>
      <c r="C88" s="546"/>
      <c r="D88" s="547"/>
      <c r="E88" s="548"/>
      <c r="F88" s="549"/>
      <c r="G88" s="550" t="s">
        <v>195</v>
      </c>
      <c r="H88" s="551">
        <v>30</v>
      </c>
    </row>
    <row r="89" spans="1:8" x14ac:dyDescent="0.25">
      <c r="A89" s="190"/>
      <c r="B89" s="147" t="s">
        <v>213</v>
      </c>
      <c r="C89" s="546"/>
      <c r="D89" s="547"/>
      <c r="E89" s="548"/>
      <c r="F89" s="549"/>
      <c r="G89" s="550" t="s">
        <v>106</v>
      </c>
      <c r="H89" s="551">
        <f>1.3*H87</f>
        <v>105984.45</v>
      </c>
    </row>
    <row r="90" spans="1:8" ht="15" customHeight="1" x14ac:dyDescent="0.25">
      <c r="A90" s="250" t="str">
        <f>ORÇAMENTO!A51</f>
        <v>5.3</v>
      </c>
      <c r="B90" s="732" t="str">
        <f>ORÇAMENTO!D51</f>
        <v>TRANSPORTE LOCAL MAT. 1ª CATEG. C/ BASCULANTE 10M³ - DMT&gt;10,0KM</v>
      </c>
      <c r="C90" s="733"/>
      <c r="D90" s="733"/>
      <c r="E90" s="733"/>
      <c r="F90" s="734"/>
      <c r="G90" s="251" t="str">
        <f>ORÇAMENTO!E51</f>
        <v xml:space="preserve">M3xKM </v>
      </c>
      <c r="H90" s="252">
        <f>H91*H92</f>
        <v>2119689</v>
      </c>
    </row>
    <row r="91" spans="1:8" x14ac:dyDescent="0.25">
      <c r="A91" s="177"/>
      <c r="B91" s="128" t="s">
        <v>879</v>
      </c>
      <c r="C91" s="256"/>
      <c r="D91" s="256"/>
      <c r="E91" s="255"/>
      <c r="F91" s="245"/>
      <c r="G91" s="180" t="s">
        <v>106</v>
      </c>
      <c r="H91" s="181">
        <f>H86</f>
        <v>105984.45</v>
      </c>
    </row>
    <row r="92" spans="1:8" x14ac:dyDescent="0.25">
      <c r="A92" s="177"/>
      <c r="B92" s="118" t="s">
        <v>437</v>
      </c>
      <c r="C92" s="234"/>
      <c r="D92" s="234"/>
      <c r="E92" s="178"/>
      <c r="F92" s="179"/>
      <c r="G92" s="180" t="s">
        <v>197</v>
      </c>
      <c r="H92" s="181">
        <v>20</v>
      </c>
    </row>
    <row r="93" spans="1:8" ht="15" customHeight="1" x14ac:dyDescent="0.25">
      <c r="A93" s="250" t="str">
        <f>ORÇAMENTO!A52</f>
        <v>5.4</v>
      </c>
      <c r="B93" s="732" t="str">
        <f>ORÇAMENTO!D52</f>
        <v>REVESTIMENTO PRIMÁRIO - ESPALHAMENTO</v>
      </c>
      <c r="C93" s="733"/>
      <c r="D93" s="733"/>
      <c r="E93" s="733"/>
      <c r="F93" s="734"/>
      <c r="G93" s="251" t="str">
        <f>ORÇAMENTO!E52</f>
        <v>M2</v>
      </c>
      <c r="H93" s="252">
        <f>SUM(H95:H98)</f>
        <v>14029</v>
      </c>
    </row>
    <row r="94" spans="1:8" ht="15" customHeight="1" x14ac:dyDescent="0.25">
      <c r="A94" s="444"/>
      <c r="B94" s="141" t="s">
        <v>200</v>
      </c>
      <c r="C94" s="445"/>
      <c r="D94" s="445"/>
      <c r="E94" s="445"/>
      <c r="F94" s="446"/>
      <c r="G94" s="266" t="s">
        <v>96</v>
      </c>
      <c r="H94" s="267" t="s">
        <v>11</v>
      </c>
    </row>
    <row r="95" spans="1:8" ht="15" customHeight="1" x14ac:dyDescent="0.25">
      <c r="A95" s="447"/>
      <c r="B95" s="118" t="s">
        <v>311</v>
      </c>
      <c r="C95" s="449"/>
      <c r="D95" s="449"/>
      <c r="E95" s="449"/>
      <c r="F95" s="450"/>
      <c r="G95" s="180" t="s">
        <v>96</v>
      </c>
      <c r="H95" s="181">
        <v>6139.9</v>
      </c>
    </row>
    <row r="96" spans="1:8" ht="15" customHeight="1" x14ac:dyDescent="0.25">
      <c r="A96" s="177"/>
      <c r="B96" s="118" t="s">
        <v>312</v>
      </c>
      <c r="C96" s="178"/>
      <c r="D96" s="178"/>
      <c r="E96" s="178"/>
      <c r="F96" s="179"/>
      <c r="G96" s="180" t="s">
        <v>96</v>
      </c>
      <c r="H96" s="181">
        <v>6353.1</v>
      </c>
    </row>
    <row r="97" spans="1:8" ht="15" customHeight="1" x14ac:dyDescent="0.25">
      <c r="A97" s="177"/>
      <c r="B97" s="118" t="s">
        <v>313</v>
      </c>
      <c r="C97" s="178"/>
      <c r="D97" s="178"/>
      <c r="E97" s="178"/>
      <c r="F97" s="179"/>
      <c r="G97" s="180" t="s">
        <v>96</v>
      </c>
      <c r="H97" s="181">
        <v>540</v>
      </c>
    </row>
    <row r="98" spans="1:8" ht="15" customHeight="1" x14ac:dyDescent="0.25">
      <c r="A98" s="288"/>
      <c r="B98" s="129" t="s">
        <v>923</v>
      </c>
      <c r="C98" s="253"/>
      <c r="D98" s="253"/>
      <c r="E98" s="253"/>
      <c r="F98" s="247"/>
      <c r="G98" s="281" t="s">
        <v>96</v>
      </c>
      <c r="H98" s="293">
        <v>996</v>
      </c>
    </row>
    <row r="99" spans="1:8" ht="15" customHeight="1" x14ac:dyDescent="0.25">
      <c r="A99" s="250" t="str">
        <f>ORÇAMENTO!A53</f>
        <v>5.5</v>
      </c>
      <c r="B99" s="732" t="str">
        <f>ORÇAMENTO!D53</f>
        <v>COMPACTAÇÃO À 95% DO P.N (PAV.URB.)</v>
      </c>
      <c r="C99" s="733"/>
      <c r="D99" s="733"/>
      <c r="E99" s="733"/>
      <c r="F99" s="734"/>
      <c r="G99" s="251" t="s">
        <v>106</v>
      </c>
      <c r="H99" s="252">
        <f>SUM(H100:H100)</f>
        <v>105984.45</v>
      </c>
    </row>
    <row r="100" spans="1:8" ht="15" customHeight="1" thickBot="1" x14ac:dyDescent="0.3">
      <c r="A100" s="177"/>
      <c r="B100" s="128" t="s">
        <v>880</v>
      </c>
      <c r="C100" s="257"/>
      <c r="D100" s="257"/>
      <c r="E100" s="323"/>
      <c r="F100" s="284"/>
      <c r="G100" s="180" t="s">
        <v>106</v>
      </c>
      <c r="H100" s="176">
        <f>H86</f>
        <v>105984.45</v>
      </c>
    </row>
    <row r="101" spans="1:8" ht="15" customHeight="1" thickBot="1" x14ac:dyDescent="0.3">
      <c r="A101" s="153">
        <f>ORÇAMENTO!A56</f>
        <v>6</v>
      </c>
      <c r="B101" s="116" t="s">
        <v>203</v>
      </c>
      <c r="C101" s="162"/>
      <c r="D101" s="162"/>
      <c r="E101" s="162"/>
      <c r="F101" s="162"/>
      <c r="G101" s="162"/>
      <c r="H101" s="260"/>
    </row>
    <row r="102" spans="1:8" ht="15" customHeight="1" x14ac:dyDescent="0.25">
      <c r="A102" s="250" t="str">
        <f>ORÇAMENTO!A57</f>
        <v>6.1</v>
      </c>
      <c r="B102" s="732" t="str">
        <f>ORÇAMENTO!D57</f>
        <v>DESMATAMENTO, LIMPEZA E EXPURGO DE JAZIDA</v>
      </c>
      <c r="C102" s="733"/>
      <c r="D102" s="733"/>
      <c r="E102" s="733"/>
      <c r="F102" s="734"/>
      <c r="G102" s="251" t="str">
        <f>ORÇAMENTO!E57</f>
        <v>M2</v>
      </c>
      <c r="H102" s="252">
        <f>H104</f>
        <v>12153.94</v>
      </c>
    </row>
    <row r="103" spans="1:8" ht="15" customHeight="1" x14ac:dyDescent="0.25">
      <c r="A103" s="444"/>
      <c r="B103" s="141" t="s">
        <v>665</v>
      </c>
      <c r="C103" s="446"/>
      <c r="D103" s="259"/>
      <c r="E103" s="259"/>
      <c r="F103" s="259" t="s">
        <v>193</v>
      </c>
      <c r="G103" s="290" t="s">
        <v>179</v>
      </c>
      <c r="H103" s="291" t="s">
        <v>11</v>
      </c>
    </row>
    <row r="104" spans="1:8" ht="15" customHeight="1" x14ac:dyDescent="0.25">
      <c r="A104" s="168"/>
      <c r="B104" s="117" t="s">
        <v>664</v>
      </c>
      <c r="C104" s="459"/>
      <c r="D104" s="458"/>
      <c r="E104" s="458"/>
      <c r="F104" s="460">
        <v>12153.94</v>
      </c>
      <c r="G104" s="266" t="s">
        <v>96</v>
      </c>
      <c r="H104" s="267">
        <f>F104</f>
        <v>12153.94</v>
      </c>
    </row>
    <row r="105" spans="1:8" ht="28.5" customHeight="1" x14ac:dyDescent="0.25">
      <c r="A105" s="250" t="str">
        <f>ORÇAMENTO!A58</f>
        <v>6.2</v>
      </c>
      <c r="B105" s="732" t="str">
        <f>ORÇAMENTO!D58</f>
        <v>ACABAMENTO E RECOMPOSIÇÃO DE JAZIDAS</v>
      </c>
      <c r="C105" s="733"/>
      <c r="D105" s="733"/>
      <c r="E105" s="733"/>
      <c r="F105" s="734"/>
      <c r="G105" s="251" t="str">
        <f>ORÇAMENTO!E58</f>
        <v>M2</v>
      </c>
      <c r="H105" s="252">
        <f>H106</f>
        <v>12153.94</v>
      </c>
    </row>
    <row r="106" spans="1:8" ht="15" customHeight="1" x14ac:dyDescent="0.25">
      <c r="A106" s="177"/>
      <c r="B106" s="128" t="s">
        <v>939</v>
      </c>
      <c r="C106" s="255"/>
      <c r="D106" s="255"/>
      <c r="E106" s="255"/>
      <c r="F106" s="245"/>
      <c r="G106" s="180" t="s">
        <v>96</v>
      </c>
      <c r="H106" s="181">
        <f>H102</f>
        <v>12153.94</v>
      </c>
    </row>
    <row r="107" spans="1:8" ht="28.5" customHeight="1" x14ac:dyDescent="0.25">
      <c r="A107" s="250">
        <f>ORÇAMENTO!A59</f>
        <v>6</v>
      </c>
      <c r="B107" s="732" t="str">
        <f>ORÇAMENTO!D59</f>
        <v>REGULARIZAÇÃO E COMPACTAÇÃO DO SUB-LEITO (PAV.URB.)</v>
      </c>
      <c r="C107" s="733"/>
      <c r="D107" s="733"/>
      <c r="E107" s="733"/>
      <c r="F107" s="734"/>
      <c r="G107" s="251" t="s">
        <v>96</v>
      </c>
      <c r="H107" s="252">
        <f>H108</f>
        <v>12153.94</v>
      </c>
    </row>
    <row r="108" spans="1:8" ht="15" customHeight="1" x14ac:dyDescent="0.25">
      <c r="A108" s="177"/>
      <c r="B108" s="128" t="s">
        <v>666</v>
      </c>
      <c r="C108" s="255"/>
      <c r="D108" s="255"/>
      <c r="E108" s="255"/>
      <c r="F108" s="245"/>
      <c r="G108" s="180" t="s">
        <v>96</v>
      </c>
      <c r="H108" s="181">
        <f>H105</f>
        <v>12153.94</v>
      </c>
    </row>
    <row r="109" spans="1:8" ht="15" customHeight="1" x14ac:dyDescent="0.25">
      <c r="A109" s="250" t="str">
        <f>ORÇAMENTO!A60</f>
        <v>6.4</v>
      </c>
      <c r="B109" s="732" t="str">
        <f>ORÇAMENTO!D60</f>
        <v>ESC. E CARGA DE MAT. DE JAZ-. C/ INDENIZ. (PAV.URB.)</v>
      </c>
      <c r="C109" s="733"/>
      <c r="D109" s="733"/>
      <c r="E109" s="733"/>
      <c r="F109" s="734"/>
      <c r="G109" s="251" t="str">
        <f>ORÇAMENTO!E60</f>
        <v>M3</v>
      </c>
      <c r="H109" s="252">
        <f>H111+H118</f>
        <v>4861.5760000000009</v>
      </c>
    </row>
    <row r="110" spans="1:8" ht="15" customHeight="1" x14ac:dyDescent="0.25">
      <c r="A110" s="212"/>
      <c r="B110" s="448" t="s">
        <v>662</v>
      </c>
      <c r="C110" s="178"/>
      <c r="D110" s="180" t="s">
        <v>183</v>
      </c>
      <c r="E110" s="180" t="s">
        <v>184</v>
      </c>
      <c r="F110" s="180" t="s">
        <v>199</v>
      </c>
      <c r="G110" s="180" t="s">
        <v>179</v>
      </c>
      <c r="H110" s="181" t="s">
        <v>11</v>
      </c>
    </row>
    <row r="111" spans="1:8" ht="15" customHeight="1" x14ac:dyDescent="0.25">
      <c r="A111" s="212"/>
      <c r="B111" s="457" t="s">
        <v>257</v>
      </c>
      <c r="C111" s="178"/>
      <c r="D111" s="180"/>
      <c r="E111" s="180"/>
      <c r="F111" s="180"/>
      <c r="G111" s="180"/>
      <c r="H111" s="451">
        <f>SUM(H112:H117)</f>
        <v>2430.7880000000005</v>
      </c>
    </row>
    <row r="112" spans="1:8" ht="15" customHeight="1" x14ac:dyDescent="0.25">
      <c r="A112" s="212"/>
      <c r="B112" s="118" t="s">
        <v>314</v>
      </c>
      <c r="C112" s="453"/>
      <c r="D112" s="262">
        <v>488.7</v>
      </c>
      <c r="E112" s="262">
        <v>7</v>
      </c>
      <c r="F112" s="262">
        <v>0.2</v>
      </c>
      <c r="G112" s="461" t="s">
        <v>106</v>
      </c>
      <c r="H112" s="181">
        <f>D112*E112*F112</f>
        <v>684.18000000000006</v>
      </c>
    </row>
    <row r="113" spans="1:8" ht="15" customHeight="1" x14ac:dyDescent="0.25">
      <c r="A113" s="212"/>
      <c r="B113" s="118" t="s">
        <v>315</v>
      </c>
      <c r="C113" s="178"/>
      <c r="D113" s="262">
        <v>472.3</v>
      </c>
      <c r="E113" s="262">
        <v>7</v>
      </c>
      <c r="F113" s="262">
        <v>0.2</v>
      </c>
      <c r="G113" s="180" t="s">
        <v>106</v>
      </c>
      <c r="H113" s="181">
        <f t="shared" ref="H113:H116" si="0">D113*E113*F113</f>
        <v>661.22</v>
      </c>
    </row>
    <row r="114" spans="1:8" ht="15" customHeight="1" x14ac:dyDescent="0.25">
      <c r="A114" s="212"/>
      <c r="B114" s="118" t="s">
        <v>316</v>
      </c>
      <c r="C114" s="178"/>
      <c r="D114" s="262">
        <v>45</v>
      </c>
      <c r="E114" s="184">
        <v>7</v>
      </c>
      <c r="F114" s="262">
        <v>0.2</v>
      </c>
      <c r="G114" s="180" t="s">
        <v>106</v>
      </c>
      <c r="H114" s="181">
        <f t="shared" si="0"/>
        <v>63</v>
      </c>
    </row>
    <row r="115" spans="1:8" ht="15" customHeight="1" x14ac:dyDescent="0.25">
      <c r="A115" s="212"/>
      <c r="B115" s="618" t="str">
        <f>B136</f>
        <v>RUA JOSÉ E. DA ROCHA C/ PISTA LADO ESQUERDO</v>
      </c>
      <c r="C115" s="178"/>
      <c r="D115" s="184">
        <v>68</v>
      </c>
      <c r="E115" s="184">
        <v>7</v>
      </c>
      <c r="F115" s="262">
        <v>0.2</v>
      </c>
      <c r="G115" s="180" t="s">
        <v>106</v>
      </c>
      <c r="H115" s="181">
        <f t="shared" si="0"/>
        <v>95.2</v>
      </c>
    </row>
    <row r="116" spans="1:8" ht="15" customHeight="1" x14ac:dyDescent="0.25">
      <c r="A116" s="212"/>
      <c r="B116" s="118" t="s">
        <v>317</v>
      </c>
      <c r="C116" s="178"/>
      <c r="D116" s="184">
        <v>278</v>
      </c>
      <c r="E116" s="184">
        <v>15</v>
      </c>
      <c r="F116" s="262">
        <v>0.2</v>
      </c>
      <c r="G116" s="180" t="s">
        <v>106</v>
      </c>
      <c r="H116" s="181">
        <f t="shared" si="0"/>
        <v>834</v>
      </c>
    </row>
    <row r="117" spans="1:8" ht="15" customHeight="1" x14ac:dyDescent="0.25">
      <c r="A117" s="212"/>
      <c r="B117" s="129" t="s">
        <v>318</v>
      </c>
      <c r="C117" s="253"/>
      <c r="D117" s="454" t="s">
        <v>319</v>
      </c>
      <c r="E117" s="455">
        <v>465.94</v>
      </c>
      <c r="F117" s="264">
        <v>0.2</v>
      </c>
      <c r="G117" s="281" t="s">
        <v>106</v>
      </c>
      <c r="H117" s="181">
        <f>E117*F117</f>
        <v>93.188000000000002</v>
      </c>
    </row>
    <row r="118" spans="1:8" ht="15" customHeight="1" x14ac:dyDescent="0.25">
      <c r="A118" s="212"/>
      <c r="B118" s="457" t="s">
        <v>663</v>
      </c>
      <c r="C118" s="178"/>
      <c r="D118" s="180"/>
      <c r="E118" s="180"/>
      <c r="F118" s="266"/>
      <c r="G118" s="180"/>
      <c r="H118" s="451">
        <f>SUM(H119:H124)</f>
        <v>2430.7880000000005</v>
      </c>
    </row>
    <row r="119" spans="1:8" ht="15" customHeight="1" x14ac:dyDescent="0.25">
      <c r="A119" s="212"/>
      <c r="B119" s="118" t="s">
        <v>314</v>
      </c>
      <c r="C119" s="453"/>
      <c r="D119" s="262">
        <v>488.7</v>
      </c>
      <c r="E119" s="262">
        <v>7</v>
      </c>
      <c r="F119" s="262">
        <v>0.2</v>
      </c>
      <c r="G119" s="461" t="s">
        <v>106</v>
      </c>
      <c r="H119" s="181">
        <f>D119*E119*F119</f>
        <v>684.18000000000006</v>
      </c>
    </row>
    <row r="120" spans="1:8" ht="15" customHeight="1" x14ac:dyDescent="0.25">
      <c r="A120" s="212"/>
      <c r="B120" s="118" t="s">
        <v>315</v>
      </c>
      <c r="C120" s="178"/>
      <c r="D120" s="262">
        <v>472.3</v>
      </c>
      <c r="E120" s="262">
        <v>7</v>
      </c>
      <c r="F120" s="262">
        <v>0.2</v>
      </c>
      <c r="G120" s="180" t="s">
        <v>106</v>
      </c>
      <c r="H120" s="181">
        <f t="shared" ref="H120:H123" si="1">D120*E120*F120</f>
        <v>661.22</v>
      </c>
    </row>
    <row r="121" spans="1:8" ht="15" customHeight="1" x14ac:dyDescent="0.25">
      <c r="A121" s="212"/>
      <c r="B121" s="118" t="s">
        <v>316</v>
      </c>
      <c r="C121" s="178"/>
      <c r="D121" s="262">
        <v>45</v>
      </c>
      <c r="E121" s="184">
        <v>7</v>
      </c>
      <c r="F121" s="262">
        <v>0.2</v>
      </c>
      <c r="G121" s="180" t="s">
        <v>106</v>
      </c>
      <c r="H121" s="181">
        <f t="shared" si="1"/>
        <v>63</v>
      </c>
    </row>
    <row r="122" spans="1:8" ht="15" customHeight="1" x14ac:dyDescent="0.25">
      <c r="A122" s="212"/>
      <c r="B122" s="618" t="str">
        <f>B136</f>
        <v>RUA JOSÉ E. DA ROCHA C/ PISTA LADO ESQUERDO</v>
      </c>
      <c r="C122" s="178"/>
      <c r="D122" s="184">
        <v>68</v>
      </c>
      <c r="E122" s="184">
        <v>7</v>
      </c>
      <c r="F122" s="262">
        <v>0.2</v>
      </c>
      <c r="G122" s="180" t="s">
        <v>106</v>
      </c>
      <c r="H122" s="181">
        <f t="shared" si="1"/>
        <v>95.2</v>
      </c>
    </row>
    <row r="123" spans="1:8" ht="15" customHeight="1" x14ac:dyDescent="0.25">
      <c r="A123" s="212"/>
      <c r="B123" s="118" t="s">
        <v>317</v>
      </c>
      <c r="C123" s="178"/>
      <c r="D123" s="184">
        <v>278</v>
      </c>
      <c r="E123" s="184">
        <v>15</v>
      </c>
      <c r="F123" s="262">
        <v>0.2</v>
      </c>
      <c r="G123" s="180" t="s">
        <v>106</v>
      </c>
      <c r="H123" s="181">
        <f t="shared" si="1"/>
        <v>834</v>
      </c>
    </row>
    <row r="124" spans="1:8" ht="15" customHeight="1" x14ac:dyDescent="0.25">
      <c r="A124" s="212"/>
      <c r="B124" s="129" t="s">
        <v>318</v>
      </c>
      <c r="C124" s="253"/>
      <c r="D124" s="454" t="s">
        <v>319</v>
      </c>
      <c r="E124" s="455">
        <v>465.94</v>
      </c>
      <c r="F124" s="262">
        <v>0.2</v>
      </c>
      <c r="G124" s="281" t="s">
        <v>106</v>
      </c>
      <c r="H124" s="181">
        <f>E124*F124</f>
        <v>93.188000000000002</v>
      </c>
    </row>
    <row r="125" spans="1:8" ht="15" customHeight="1" x14ac:dyDescent="0.25">
      <c r="A125" s="250" t="str">
        <f>ORÇAMENTO!A61</f>
        <v>6.5</v>
      </c>
      <c r="B125" s="732" t="str">
        <f>ORÇAMENTO!D61</f>
        <v>TRANSPORTE DE MAT. DE JAZIDA-CASCALHO (PAV.URB.)</v>
      </c>
      <c r="C125" s="733"/>
      <c r="D125" s="733"/>
      <c r="E125" s="733"/>
      <c r="F125" s="733"/>
      <c r="G125" s="251" t="str">
        <f>ORÇAMENTO!E61</f>
        <v>M3xKM</v>
      </c>
      <c r="H125" s="252">
        <f>H130</f>
        <v>126400.97600000002</v>
      </c>
    </row>
    <row r="126" spans="1:8" ht="15" customHeight="1" x14ac:dyDescent="0.25">
      <c r="A126" s="462"/>
      <c r="B126" s="128" t="s">
        <v>940</v>
      </c>
      <c r="C126" s="255"/>
      <c r="D126" s="257"/>
      <c r="E126" s="257"/>
      <c r="F126" s="463"/>
      <c r="G126" s="467" t="s">
        <v>106</v>
      </c>
      <c r="H126" s="181">
        <f>H111</f>
        <v>2430.7880000000005</v>
      </c>
    </row>
    <row r="127" spans="1:8" x14ac:dyDescent="0.25">
      <c r="A127" s="452"/>
      <c r="B127" s="118" t="s">
        <v>941</v>
      </c>
      <c r="C127" s="453"/>
      <c r="D127" s="269"/>
      <c r="E127" s="269"/>
      <c r="F127" s="269"/>
      <c r="G127" s="468" t="s">
        <v>106</v>
      </c>
      <c r="H127" s="181">
        <f>H118</f>
        <v>2430.7880000000005</v>
      </c>
    </row>
    <row r="128" spans="1:8" ht="15" customHeight="1" x14ac:dyDescent="0.25">
      <c r="A128" s="464"/>
      <c r="B128" s="118" t="s">
        <v>194</v>
      </c>
      <c r="C128" s="178"/>
      <c r="D128" s="269"/>
      <c r="E128" s="269"/>
      <c r="F128" s="269"/>
      <c r="G128" s="180" t="s">
        <v>195</v>
      </c>
      <c r="H128" s="181">
        <v>30</v>
      </c>
    </row>
    <row r="129" spans="1:8" ht="15" customHeight="1" x14ac:dyDescent="0.25">
      <c r="A129" s="464"/>
      <c r="B129" s="118" t="s">
        <v>667</v>
      </c>
      <c r="C129" s="178"/>
      <c r="D129" s="269"/>
      <c r="E129" s="234"/>
      <c r="F129" s="269"/>
      <c r="G129" s="180" t="s">
        <v>197</v>
      </c>
      <c r="H129" s="181">
        <v>20</v>
      </c>
    </row>
    <row r="130" spans="1:8" ht="15" customHeight="1" x14ac:dyDescent="0.25">
      <c r="A130" s="465"/>
      <c r="B130" s="129" t="s">
        <v>11</v>
      </c>
      <c r="C130" s="253"/>
      <c r="D130" s="466"/>
      <c r="E130" s="286"/>
      <c r="F130" s="466"/>
      <c r="G130" s="281" t="s">
        <v>661</v>
      </c>
      <c r="H130" s="181">
        <f>(H126+H127)*1.3*H129</f>
        <v>126400.97600000002</v>
      </c>
    </row>
    <row r="131" spans="1:8" ht="31.5" customHeight="1" x14ac:dyDescent="0.25">
      <c r="A131" s="250" t="str">
        <f>ORÇAMENTO!A62</f>
        <v>6.6</v>
      </c>
      <c r="B131" s="732" t="str">
        <f>ORÇAMENTO!D62</f>
        <v>ESTABILIZAÇÃO GRANULOMÉTRICA SEM MISTURA (PAV.URB.)</v>
      </c>
      <c r="C131" s="733"/>
      <c r="D131" s="733"/>
      <c r="E131" s="733"/>
      <c r="F131" s="734"/>
      <c r="G131" s="251" t="s">
        <v>106</v>
      </c>
      <c r="H131" s="252">
        <f>H140</f>
        <v>4861.5760000000009</v>
      </c>
    </row>
    <row r="132" spans="1:8" ht="15" customHeight="1" x14ac:dyDescent="0.25">
      <c r="A132" s="486"/>
      <c r="B132" s="147" t="s">
        <v>780</v>
      </c>
      <c r="C132" s="289"/>
      <c r="D132" s="175" t="s">
        <v>180</v>
      </c>
      <c r="E132" s="175" t="s">
        <v>181</v>
      </c>
      <c r="F132" s="180" t="s">
        <v>282</v>
      </c>
      <c r="G132" s="221"/>
      <c r="H132" s="222"/>
    </row>
    <row r="133" spans="1:8" ht="15" customHeight="1" x14ac:dyDescent="0.25">
      <c r="A133" s="486"/>
      <c r="B133" s="118" t="s">
        <v>314</v>
      </c>
      <c r="C133" s="475"/>
      <c r="D133" s="262">
        <v>488.7</v>
      </c>
      <c r="E133" s="262">
        <v>7</v>
      </c>
      <c r="F133" s="262">
        <v>0.4</v>
      </c>
      <c r="G133" s="400" t="s">
        <v>106</v>
      </c>
      <c r="H133" s="181">
        <f>D133*E133*F133</f>
        <v>1368.3600000000001</v>
      </c>
    </row>
    <row r="134" spans="1:8" ht="15" customHeight="1" x14ac:dyDescent="0.25">
      <c r="A134" s="486"/>
      <c r="B134" s="118" t="s">
        <v>315</v>
      </c>
      <c r="C134" s="225"/>
      <c r="D134" s="262">
        <v>472.3</v>
      </c>
      <c r="E134" s="262">
        <v>7</v>
      </c>
      <c r="F134" s="262">
        <v>0.4</v>
      </c>
      <c r="G134" s="207" t="s">
        <v>106</v>
      </c>
      <c r="H134" s="181">
        <f t="shared" ref="H134:H137" si="2">D134*E134*F134</f>
        <v>1322.44</v>
      </c>
    </row>
    <row r="135" spans="1:8" ht="15" customHeight="1" x14ac:dyDescent="0.25">
      <c r="A135" s="486"/>
      <c r="B135" s="118" t="s">
        <v>316</v>
      </c>
      <c r="C135" s="225"/>
      <c r="D135" s="262">
        <v>45</v>
      </c>
      <c r="E135" s="184">
        <v>7</v>
      </c>
      <c r="F135" s="262">
        <v>0.4</v>
      </c>
      <c r="G135" s="207" t="s">
        <v>106</v>
      </c>
      <c r="H135" s="181">
        <f t="shared" si="2"/>
        <v>126</v>
      </c>
    </row>
    <row r="136" spans="1:8" ht="15" customHeight="1" x14ac:dyDescent="0.25">
      <c r="A136" s="486"/>
      <c r="B136" s="618" t="s">
        <v>934</v>
      </c>
      <c r="C136" s="225"/>
      <c r="D136" s="184">
        <v>68</v>
      </c>
      <c r="E136" s="184">
        <v>7</v>
      </c>
      <c r="F136" s="262">
        <v>0.4</v>
      </c>
      <c r="G136" s="207" t="s">
        <v>106</v>
      </c>
      <c r="H136" s="181">
        <f t="shared" si="2"/>
        <v>190.4</v>
      </c>
    </row>
    <row r="137" spans="1:8" ht="15" customHeight="1" x14ac:dyDescent="0.25">
      <c r="A137" s="486"/>
      <c r="B137" s="118" t="s">
        <v>317</v>
      </c>
      <c r="C137" s="225"/>
      <c r="D137" s="263">
        <v>278</v>
      </c>
      <c r="E137" s="263">
        <v>15</v>
      </c>
      <c r="F137" s="262">
        <v>0.4</v>
      </c>
      <c r="G137" s="207" t="s">
        <v>106</v>
      </c>
      <c r="H137" s="181">
        <f t="shared" si="2"/>
        <v>1668</v>
      </c>
    </row>
    <row r="138" spans="1:8" ht="15" customHeight="1" x14ac:dyDescent="0.25">
      <c r="A138" s="486"/>
      <c r="B138" s="129" t="s">
        <v>318</v>
      </c>
      <c r="C138" s="254"/>
      <c r="D138" s="132" t="s">
        <v>319</v>
      </c>
      <c r="E138" s="265">
        <v>465.94</v>
      </c>
      <c r="F138" s="262">
        <v>0.4</v>
      </c>
      <c r="G138" s="207" t="s">
        <v>106</v>
      </c>
      <c r="H138" s="181">
        <f>E138*F138</f>
        <v>186.376</v>
      </c>
    </row>
    <row r="139" spans="1:8" ht="15" customHeight="1" x14ac:dyDescent="0.25">
      <c r="A139" s="486"/>
      <c r="B139" s="571" t="s">
        <v>804</v>
      </c>
      <c r="C139" s="556"/>
      <c r="D139" s="576"/>
      <c r="E139" s="577"/>
      <c r="F139" s="487"/>
      <c r="G139" s="207"/>
      <c r="H139" s="197"/>
    </row>
    <row r="140" spans="1:8" ht="31.5" customHeight="1" x14ac:dyDescent="0.25">
      <c r="A140" s="250" t="str">
        <f>ORÇAMENTO!A63</f>
        <v>6.7</v>
      </c>
      <c r="B140" s="732" t="str">
        <f>ORÇAMENTO!D63</f>
        <v>COMPACTAÇÃO À 95% DO P.N (PAV.URB.)</v>
      </c>
      <c r="C140" s="733"/>
      <c r="D140" s="733"/>
      <c r="E140" s="733"/>
      <c r="F140" s="734"/>
      <c r="G140" s="251" t="str">
        <f>ORÇAMENTO!E63</f>
        <v>M3</v>
      </c>
      <c r="H140" s="252">
        <f>SUM(H142:H147)</f>
        <v>4861.5760000000009</v>
      </c>
    </row>
    <row r="141" spans="1:8" ht="15" customHeight="1" x14ac:dyDescent="0.25">
      <c r="A141" s="177"/>
      <c r="B141" s="147" t="s">
        <v>780</v>
      </c>
      <c r="C141" s="289"/>
      <c r="D141" s="175" t="s">
        <v>180</v>
      </c>
      <c r="E141" s="175" t="s">
        <v>181</v>
      </c>
      <c r="F141" s="180" t="s">
        <v>282</v>
      </c>
      <c r="G141" s="221"/>
      <c r="H141" s="222"/>
    </row>
    <row r="142" spans="1:8" x14ac:dyDescent="0.25">
      <c r="A142" s="131"/>
      <c r="B142" s="118" t="s">
        <v>314</v>
      </c>
      <c r="C142" s="475"/>
      <c r="D142" s="262">
        <v>488.7</v>
      </c>
      <c r="E142" s="262">
        <v>7</v>
      </c>
      <c r="F142" s="262">
        <v>0.4</v>
      </c>
      <c r="G142" s="400" t="s">
        <v>106</v>
      </c>
      <c r="H142" s="181">
        <f>D142*E142*F142</f>
        <v>1368.3600000000001</v>
      </c>
    </row>
    <row r="143" spans="1:8" ht="15" customHeight="1" x14ac:dyDescent="0.25">
      <c r="A143" s="190"/>
      <c r="B143" s="118" t="s">
        <v>315</v>
      </c>
      <c r="C143" s="225"/>
      <c r="D143" s="262">
        <v>472.3</v>
      </c>
      <c r="E143" s="262">
        <v>7</v>
      </c>
      <c r="F143" s="262">
        <v>0.4</v>
      </c>
      <c r="G143" s="207" t="s">
        <v>106</v>
      </c>
      <c r="H143" s="181">
        <f t="shared" ref="H143:H146" si="3">D143*E143*F143</f>
        <v>1322.44</v>
      </c>
    </row>
    <row r="144" spans="1:8" ht="15" customHeight="1" x14ac:dyDescent="0.25">
      <c r="A144" s="190"/>
      <c r="B144" s="118" t="s">
        <v>316</v>
      </c>
      <c r="C144" s="225"/>
      <c r="D144" s="262">
        <v>45</v>
      </c>
      <c r="E144" s="184">
        <v>7</v>
      </c>
      <c r="F144" s="262">
        <v>0.4</v>
      </c>
      <c r="G144" s="207" t="s">
        <v>106</v>
      </c>
      <c r="H144" s="181">
        <f t="shared" si="3"/>
        <v>126</v>
      </c>
    </row>
    <row r="145" spans="1:8" ht="15" customHeight="1" x14ac:dyDescent="0.25">
      <c r="A145" s="190"/>
      <c r="B145" s="618" t="str">
        <f>B136</f>
        <v>RUA JOSÉ E. DA ROCHA C/ PISTA LADO ESQUERDO</v>
      </c>
      <c r="C145" s="225"/>
      <c r="D145" s="184">
        <v>68</v>
      </c>
      <c r="E145" s="184">
        <v>7</v>
      </c>
      <c r="F145" s="262">
        <v>0.4</v>
      </c>
      <c r="G145" s="207" t="s">
        <v>106</v>
      </c>
      <c r="H145" s="181">
        <f t="shared" si="3"/>
        <v>190.4</v>
      </c>
    </row>
    <row r="146" spans="1:8" ht="15" customHeight="1" x14ac:dyDescent="0.25">
      <c r="A146" s="190"/>
      <c r="B146" s="118" t="s">
        <v>317</v>
      </c>
      <c r="C146" s="225"/>
      <c r="D146" s="263">
        <v>278</v>
      </c>
      <c r="E146" s="263">
        <v>15</v>
      </c>
      <c r="F146" s="262">
        <v>0.4</v>
      </c>
      <c r="G146" s="207" t="s">
        <v>106</v>
      </c>
      <c r="H146" s="181">
        <f t="shared" si="3"/>
        <v>1668</v>
      </c>
    </row>
    <row r="147" spans="1:8" ht="15" customHeight="1" x14ac:dyDescent="0.25">
      <c r="A147" s="190"/>
      <c r="B147" s="129" t="s">
        <v>318</v>
      </c>
      <c r="C147" s="254"/>
      <c r="D147" s="132" t="s">
        <v>319</v>
      </c>
      <c r="E147" s="265">
        <v>465.94</v>
      </c>
      <c r="F147" s="262">
        <v>0.4</v>
      </c>
      <c r="G147" s="207" t="s">
        <v>106</v>
      </c>
      <c r="H147" s="181">
        <f>E147*F147</f>
        <v>186.376</v>
      </c>
    </row>
    <row r="148" spans="1:8" ht="15" customHeight="1" x14ac:dyDescent="0.25">
      <c r="A148" s="250" t="str">
        <f>ORÇAMENTO!A64</f>
        <v>6.8</v>
      </c>
      <c r="B148" s="732" t="str">
        <f>ORÇAMENTO!D64</f>
        <v>IMPRIMAÇÃO (PAV.URB.)</v>
      </c>
      <c r="C148" s="733"/>
      <c r="D148" s="733"/>
      <c r="E148" s="733"/>
      <c r="F148" s="734"/>
      <c r="G148" s="251" t="str">
        <f>ORÇAMENTO!E64</f>
        <v>M2</v>
      </c>
      <c r="H148" s="252">
        <f>SUM(H150:H155)</f>
        <v>12153.94</v>
      </c>
    </row>
    <row r="149" spans="1:8" ht="15" customHeight="1" x14ac:dyDescent="0.25">
      <c r="A149" s="177"/>
      <c r="B149" s="147"/>
      <c r="C149" s="289"/>
      <c r="D149" s="175"/>
      <c r="E149" s="175" t="s">
        <v>180</v>
      </c>
      <c r="F149" s="175" t="s">
        <v>181</v>
      </c>
      <c r="G149" s="221" t="s">
        <v>179</v>
      </c>
      <c r="H149" s="222" t="s">
        <v>11</v>
      </c>
    </row>
    <row r="150" spans="1:8" x14ac:dyDescent="0.25">
      <c r="A150" s="131"/>
      <c r="B150" s="118" t="s">
        <v>314</v>
      </c>
      <c r="C150" s="475"/>
      <c r="D150" s="262"/>
      <c r="E150" s="262">
        <v>488.7</v>
      </c>
      <c r="F150" s="262">
        <v>7</v>
      </c>
      <c r="G150" s="461" t="s">
        <v>96</v>
      </c>
      <c r="H150" s="181">
        <f>F150*E150</f>
        <v>3420.9</v>
      </c>
    </row>
    <row r="151" spans="1:8" ht="15" customHeight="1" x14ac:dyDescent="0.25">
      <c r="A151" s="190"/>
      <c r="B151" s="118" t="s">
        <v>315</v>
      </c>
      <c r="C151" s="178"/>
      <c r="D151" s="262"/>
      <c r="E151" s="262">
        <v>472.3</v>
      </c>
      <c r="F151" s="262">
        <v>7</v>
      </c>
      <c r="G151" s="180" t="s">
        <v>96</v>
      </c>
      <c r="H151" s="181">
        <f t="shared" ref="H151:H154" si="4">F151*E151</f>
        <v>3306.1</v>
      </c>
    </row>
    <row r="152" spans="1:8" ht="15" customHeight="1" x14ac:dyDescent="0.25">
      <c r="A152" s="190"/>
      <c r="B152" s="118" t="s">
        <v>316</v>
      </c>
      <c r="C152" s="178"/>
      <c r="D152" s="262"/>
      <c r="E152" s="262">
        <v>45</v>
      </c>
      <c r="F152" s="184">
        <v>7</v>
      </c>
      <c r="G152" s="180" t="s">
        <v>96</v>
      </c>
      <c r="H152" s="181">
        <f t="shared" si="4"/>
        <v>315</v>
      </c>
    </row>
    <row r="153" spans="1:8" ht="15" customHeight="1" x14ac:dyDescent="0.25">
      <c r="A153" s="190"/>
      <c r="B153" s="618" t="str">
        <f>B145</f>
        <v>RUA JOSÉ E. DA ROCHA C/ PISTA LADO ESQUERDO</v>
      </c>
      <c r="C153" s="178"/>
      <c r="D153" s="184"/>
      <c r="E153" s="184">
        <v>68</v>
      </c>
      <c r="F153" s="184">
        <v>7</v>
      </c>
      <c r="G153" s="180" t="s">
        <v>96</v>
      </c>
      <c r="H153" s="181">
        <f t="shared" si="4"/>
        <v>476</v>
      </c>
    </row>
    <row r="154" spans="1:8" ht="15" customHeight="1" x14ac:dyDescent="0.25">
      <c r="A154" s="190"/>
      <c r="B154" s="118" t="s">
        <v>317</v>
      </c>
      <c r="C154" s="178"/>
      <c r="D154" s="184"/>
      <c r="E154" s="184">
        <v>278</v>
      </c>
      <c r="F154" s="184">
        <v>15</v>
      </c>
      <c r="G154" s="180" t="s">
        <v>96</v>
      </c>
      <c r="H154" s="181">
        <f t="shared" si="4"/>
        <v>4170</v>
      </c>
    </row>
    <row r="155" spans="1:8" ht="15" customHeight="1" x14ac:dyDescent="0.25">
      <c r="A155" s="190"/>
      <c r="B155" s="129" t="s">
        <v>318</v>
      </c>
      <c r="C155" s="253"/>
      <c r="D155" s="454"/>
      <c r="E155" s="454" t="s">
        <v>319</v>
      </c>
      <c r="F155" s="455">
        <v>465.94</v>
      </c>
      <c r="G155" s="281" t="s">
        <v>96</v>
      </c>
      <c r="H155" s="181">
        <f>F155</f>
        <v>465.94</v>
      </c>
    </row>
    <row r="156" spans="1:8" ht="15" customHeight="1" x14ac:dyDescent="0.25">
      <c r="A156" s="250" t="str">
        <f>ORÇAMENTO!A65</f>
        <v>6.9</v>
      </c>
      <c r="B156" s="732" t="str">
        <f>ORÇAMENTO!D65</f>
        <v>PINTURA DE LIGAÇÃO (PAV.URB.)</v>
      </c>
      <c r="C156" s="733"/>
      <c r="D156" s="733"/>
      <c r="E156" s="733"/>
      <c r="F156" s="734"/>
      <c r="G156" s="251" t="str">
        <f>ORÇAMENTO!E65</f>
        <v>M2</v>
      </c>
      <c r="H156" s="252">
        <f>SUM(H158:H163)</f>
        <v>12153.94</v>
      </c>
    </row>
    <row r="157" spans="1:8" ht="15" customHeight="1" x14ac:dyDescent="0.25">
      <c r="A157" s="177"/>
      <c r="B157" s="128"/>
      <c r="C157" s="255"/>
      <c r="D157" s="266"/>
      <c r="E157" s="266" t="s">
        <v>180</v>
      </c>
      <c r="F157" s="266" t="s">
        <v>181</v>
      </c>
      <c r="G157" s="266" t="s">
        <v>179</v>
      </c>
      <c r="H157" s="267" t="s">
        <v>11</v>
      </c>
    </row>
    <row r="158" spans="1:8" x14ac:dyDescent="0.25">
      <c r="A158" s="131"/>
      <c r="B158" s="118" t="s">
        <v>314</v>
      </c>
      <c r="C158" s="453"/>
      <c r="D158" s="262"/>
      <c r="E158" s="262">
        <v>488.7</v>
      </c>
      <c r="F158" s="262">
        <v>7</v>
      </c>
      <c r="G158" s="461" t="s">
        <v>96</v>
      </c>
      <c r="H158" s="181">
        <f>F158*E158</f>
        <v>3420.9</v>
      </c>
    </row>
    <row r="159" spans="1:8" ht="15" customHeight="1" x14ac:dyDescent="0.25">
      <c r="A159" s="190"/>
      <c r="B159" s="118" t="s">
        <v>315</v>
      </c>
      <c r="C159" s="178"/>
      <c r="D159" s="262"/>
      <c r="E159" s="262">
        <v>472.3</v>
      </c>
      <c r="F159" s="262">
        <v>7</v>
      </c>
      <c r="G159" s="180" t="s">
        <v>96</v>
      </c>
      <c r="H159" s="181">
        <f t="shared" ref="H159:H162" si="5">F159*E159</f>
        <v>3306.1</v>
      </c>
    </row>
    <row r="160" spans="1:8" ht="15" customHeight="1" x14ac:dyDescent="0.25">
      <c r="A160" s="190"/>
      <c r="B160" s="118" t="s">
        <v>316</v>
      </c>
      <c r="C160" s="178"/>
      <c r="D160" s="262"/>
      <c r="E160" s="262">
        <v>45</v>
      </c>
      <c r="F160" s="184">
        <v>7</v>
      </c>
      <c r="G160" s="180" t="s">
        <v>96</v>
      </c>
      <c r="H160" s="181">
        <f t="shared" si="5"/>
        <v>315</v>
      </c>
    </row>
    <row r="161" spans="1:8" ht="15" customHeight="1" x14ac:dyDescent="0.25">
      <c r="A161" s="190"/>
      <c r="B161" s="618" t="str">
        <f>B153</f>
        <v>RUA JOSÉ E. DA ROCHA C/ PISTA LADO ESQUERDO</v>
      </c>
      <c r="C161" s="178"/>
      <c r="D161" s="184"/>
      <c r="E161" s="184">
        <v>68</v>
      </c>
      <c r="F161" s="184">
        <v>7</v>
      </c>
      <c r="G161" s="180" t="s">
        <v>96</v>
      </c>
      <c r="H161" s="181">
        <f t="shared" si="5"/>
        <v>476</v>
      </c>
    </row>
    <row r="162" spans="1:8" ht="15" customHeight="1" x14ac:dyDescent="0.25">
      <c r="A162" s="190"/>
      <c r="B162" s="118" t="s">
        <v>317</v>
      </c>
      <c r="C162" s="178"/>
      <c r="D162" s="184"/>
      <c r="E162" s="184">
        <v>278</v>
      </c>
      <c r="F162" s="184">
        <v>15</v>
      </c>
      <c r="G162" s="180" t="s">
        <v>96</v>
      </c>
      <c r="H162" s="181">
        <f t="shared" si="5"/>
        <v>4170</v>
      </c>
    </row>
    <row r="163" spans="1:8" ht="15" customHeight="1" x14ac:dyDescent="0.25">
      <c r="A163" s="190"/>
      <c r="B163" s="129" t="s">
        <v>318</v>
      </c>
      <c r="C163" s="253"/>
      <c r="D163" s="454"/>
      <c r="E163" s="454" t="s">
        <v>319</v>
      </c>
      <c r="F163" s="455">
        <v>465.94</v>
      </c>
      <c r="G163" s="281" t="s">
        <v>96</v>
      </c>
      <c r="H163" s="293">
        <f>F155</f>
        <v>465.94</v>
      </c>
    </row>
    <row r="164" spans="1:8" x14ac:dyDescent="0.25">
      <c r="A164" s="250" t="str">
        <f>ORÇAMENTO!A66</f>
        <v>6.10</v>
      </c>
      <c r="B164" s="732" t="str">
        <f>ORÇAMENTO!D66</f>
        <v>CONCRETO BETUM.USINADO À QUENTE-CBUQ (AC/BC) (PAV.URB.)</v>
      </c>
      <c r="C164" s="733"/>
      <c r="D164" s="733"/>
      <c r="E164" s="733"/>
      <c r="F164" s="734"/>
      <c r="G164" s="251" t="str">
        <f>ORÇAMENTO!E66</f>
        <v>M3</v>
      </c>
      <c r="H164" s="252">
        <f>SUM(H166:H171)</f>
        <v>607.69700000000012</v>
      </c>
    </row>
    <row r="165" spans="1:8" ht="15" customHeight="1" x14ac:dyDescent="0.25">
      <c r="A165" s="177"/>
      <c r="B165" s="130"/>
      <c r="C165" s="261"/>
      <c r="D165" s="175" t="s">
        <v>180</v>
      </c>
      <c r="E165" s="175" t="s">
        <v>181</v>
      </c>
      <c r="F165" s="180" t="s">
        <v>282</v>
      </c>
      <c r="G165" s="221" t="s">
        <v>179</v>
      </c>
      <c r="H165" s="222" t="s">
        <v>11</v>
      </c>
    </row>
    <row r="166" spans="1:8" x14ac:dyDescent="0.25">
      <c r="A166" s="131"/>
      <c r="B166" s="128" t="s">
        <v>314</v>
      </c>
      <c r="C166" s="469"/>
      <c r="D166" s="262">
        <v>488.7</v>
      </c>
      <c r="E166" s="262">
        <v>7</v>
      </c>
      <c r="F166" s="262">
        <v>0.05</v>
      </c>
      <c r="G166" s="470" t="s">
        <v>106</v>
      </c>
      <c r="H166" s="471">
        <f>D166*E166*F166</f>
        <v>171.04500000000002</v>
      </c>
    </row>
    <row r="167" spans="1:8" ht="15" customHeight="1" x14ac:dyDescent="0.25">
      <c r="A167" s="190"/>
      <c r="B167" s="118" t="s">
        <v>315</v>
      </c>
      <c r="C167" s="178"/>
      <c r="D167" s="262">
        <v>472.3</v>
      </c>
      <c r="E167" s="262">
        <v>7</v>
      </c>
      <c r="F167" s="262">
        <v>0.05</v>
      </c>
      <c r="G167" s="180" t="s">
        <v>106</v>
      </c>
      <c r="H167" s="473">
        <f t="shared" ref="H167:H170" si="6">D167*E167*F167</f>
        <v>165.30500000000001</v>
      </c>
    </row>
    <row r="168" spans="1:8" ht="15" customHeight="1" x14ac:dyDescent="0.25">
      <c r="A168" s="190"/>
      <c r="B168" s="118" t="s">
        <v>316</v>
      </c>
      <c r="C168" s="178"/>
      <c r="D168" s="262">
        <v>45</v>
      </c>
      <c r="E168" s="184">
        <v>7</v>
      </c>
      <c r="F168" s="262">
        <v>0.05</v>
      </c>
      <c r="G168" s="180" t="s">
        <v>106</v>
      </c>
      <c r="H168" s="473">
        <f t="shared" si="6"/>
        <v>15.75</v>
      </c>
    </row>
    <row r="169" spans="1:8" ht="15" customHeight="1" x14ac:dyDescent="0.25">
      <c r="A169" s="190"/>
      <c r="B169" s="618" t="str">
        <f>B161</f>
        <v>RUA JOSÉ E. DA ROCHA C/ PISTA LADO ESQUERDO</v>
      </c>
      <c r="C169" s="178"/>
      <c r="D169" s="184">
        <v>68</v>
      </c>
      <c r="E169" s="184">
        <v>7</v>
      </c>
      <c r="F169" s="262">
        <v>0.05</v>
      </c>
      <c r="G169" s="180" t="s">
        <v>106</v>
      </c>
      <c r="H169" s="473">
        <f t="shared" si="6"/>
        <v>23.8</v>
      </c>
    </row>
    <row r="170" spans="1:8" ht="15" customHeight="1" x14ac:dyDescent="0.25">
      <c r="A170" s="190"/>
      <c r="B170" s="118" t="s">
        <v>317</v>
      </c>
      <c r="C170" s="178"/>
      <c r="D170" s="184">
        <v>278</v>
      </c>
      <c r="E170" s="184">
        <v>15</v>
      </c>
      <c r="F170" s="262">
        <v>0.05</v>
      </c>
      <c r="G170" s="180" t="s">
        <v>106</v>
      </c>
      <c r="H170" s="473">
        <f t="shared" si="6"/>
        <v>208.5</v>
      </c>
    </row>
    <row r="171" spans="1:8" ht="15" customHeight="1" x14ac:dyDescent="0.25">
      <c r="A171" s="190"/>
      <c r="B171" s="129" t="s">
        <v>318</v>
      </c>
      <c r="C171" s="253"/>
      <c r="D171" s="454" t="s">
        <v>319</v>
      </c>
      <c r="E171" s="455">
        <v>465.94</v>
      </c>
      <c r="F171" s="456">
        <v>0.05</v>
      </c>
      <c r="G171" s="281" t="s">
        <v>106</v>
      </c>
      <c r="H171" s="474">
        <f>E171*F171</f>
        <v>23.297000000000001</v>
      </c>
    </row>
    <row r="172" spans="1:8" ht="15" customHeight="1" x14ac:dyDescent="0.25">
      <c r="A172" s="250" t="str">
        <f>ORÇAMENTO!A67</f>
        <v>6.11</v>
      </c>
      <c r="B172" s="732" t="str">
        <f>ORÇAMENTO!D67</f>
        <v>FORNECIMENTO DE CM-30</v>
      </c>
      <c r="C172" s="733"/>
      <c r="D172" s="733"/>
      <c r="E172" s="733"/>
      <c r="F172" s="734"/>
      <c r="G172" s="251" t="str">
        <f>ORÇAMENTO!E67</f>
        <v>T</v>
      </c>
      <c r="H172" s="252">
        <f>H174</f>
        <v>14.584728</v>
      </c>
    </row>
    <row r="173" spans="1:8" ht="15" customHeight="1" x14ac:dyDescent="0.25">
      <c r="A173" s="250"/>
      <c r="B173" s="12"/>
      <c r="C173" s="480"/>
      <c r="D173" s="480"/>
      <c r="E173" s="261" t="s">
        <v>193</v>
      </c>
      <c r="F173" s="322" t="s">
        <v>781</v>
      </c>
      <c r="G173" s="207" t="s">
        <v>677</v>
      </c>
      <c r="H173" s="252"/>
    </row>
    <row r="174" spans="1:8" ht="15" customHeight="1" x14ac:dyDescent="0.25">
      <c r="A174" s="250"/>
      <c r="B174" s="134" t="s">
        <v>204</v>
      </c>
      <c r="C174" s="412"/>
      <c r="D174" s="412"/>
      <c r="E174" s="554">
        <f>H148</f>
        <v>12153.94</v>
      </c>
      <c r="F174" s="322">
        <v>1.1999999999999999E-3</v>
      </c>
      <c r="G174" s="207" t="s">
        <v>677</v>
      </c>
      <c r="H174" s="252">
        <f>F174*E174</f>
        <v>14.584728</v>
      </c>
    </row>
    <row r="175" spans="1:8" ht="15" customHeight="1" x14ac:dyDescent="0.25">
      <c r="A175" s="250" t="str">
        <f>ORÇAMENTO!A68</f>
        <v>6.12</v>
      </c>
      <c r="B175" s="732" t="str">
        <f>ORÇAMENTO!D68</f>
        <v>FORNECIMENTO DE EMULSÃO RR-2C</v>
      </c>
      <c r="C175" s="733"/>
      <c r="D175" s="733"/>
      <c r="E175" s="733"/>
      <c r="F175" s="734"/>
      <c r="G175" s="251" t="str">
        <f>ORÇAMENTO!E68</f>
        <v>T</v>
      </c>
      <c r="H175" s="252">
        <f>H177</f>
        <v>6.0769700000000002</v>
      </c>
    </row>
    <row r="176" spans="1:8" ht="15" customHeight="1" x14ac:dyDescent="0.25">
      <c r="A176" s="250"/>
      <c r="B176" s="479"/>
      <c r="C176" s="480"/>
      <c r="D176" s="480"/>
      <c r="E176" s="261" t="s">
        <v>193</v>
      </c>
      <c r="F176" s="322" t="s">
        <v>781</v>
      </c>
      <c r="G176" s="251"/>
      <c r="H176" s="252"/>
    </row>
    <row r="177" spans="1:8" ht="15" customHeight="1" x14ac:dyDescent="0.25">
      <c r="A177" s="250"/>
      <c r="B177" s="134" t="s">
        <v>320</v>
      </c>
      <c r="C177" s="412"/>
      <c r="D177" s="412"/>
      <c r="E177" s="554">
        <f>H156</f>
        <v>12153.94</v>
      </c>
      <c r="F177" s="322">
        <v>5.0000000000000001E-4</v>
      </c>
      <c r="G177" s="207" t="s">
        <v>677</v>
      </c>
      <c r="H177" s="208">
        <f>F177*E177</f>
        <v>6.0769700000000002</v>
      </c>
    </row>
    <row r="178" spans="1:8" ht="15" customHeight="1" x14ac:dyDescent="0.25">
      <c r="A178" s="250" t="str">
        <f>ORÇAMENTO!A69</f>
        <v>6.13</v>
      </c>
      <c r="B178" s="732" t="str">
        <f>ORÇAMENTO!D69</f>
        <v>FORNECIMENTO DE CAP-30/45</v>
      </c>
      <c r="C178" s="733"/>
      <c r="D178" s="733"/>
      <c r="E178" s="733"/>
      <c r="F178" s="734"/>
      <c r="G178" s="251" t="str">
        <f>ORÇAMENTO!E69</f>
        <v>T</v>
      </c>
      <c r="H178" s="252">
        <f>H180</f>
        <v>75.840585600000011</v>
      </c>
    </row>
    <row r="179" spans="1:8" ht="15" customHeight="1" x14ac:dyDescent="0.25">
      <c r="A179" s="250"/>
      <c r="B179" s="118" t="s">
        <v>205</v>
      </c>
      <c r="C179" s="480"/>
      <c r="D179" s="206" t="s">
        <v>781</v>
      </c>
      <c r="E179" s="206" t="s">
        <v>226</v>
      </c>
      <c r="F179" s="206" t="s">
        <v>788</v>
      </c>
      <c r="G179" s="251"/>
      <c r="H179" s="252"/>
    </row>
    <row r="180" spans="1:8" ht="15" customHeight="1" x14ac:dyDescent="0.25">
      <c r="A180" s="250"/>
      <c r="B180" s="130" t="s">
        <v>787</v>
      </c>
      <c r="C180" s="412"/>
      <c r="D180" s="206">
        <v>5.1999999999999998E-2</v>
      </c>
      <c r="E180" s="558">
        <f>H164</f>
        <v>607.69700000000012</v>
      </c>
      <c r="F180" s="206">
        <v>2.4</v>
      </c>
      <c r="G180" s="207" t="s">
        <v>677</v>
      </c>
      <c r="H180" s="208">
        <f>F180*E180*D180</f>
        <v>75.840585600000011</v>
      </c>
    </row>
    <row r="181" spans="1:8" ht="15" customHeight="1" x14ac:dyDescent="0.25">
      <c r="A181" s="250" t="str">
        <f>ORÇAMENTO!A70</f>
        <v>6.14</v>
      </c>
      <c r="B181" s="732" t="str">
        <f>ORÇAMENTO!D70</f>
        <v xml:space="preserve">TRANSPORTE LOCAL DE MATERIAL BETUMINOSO (PAV.URB.) </v>
      </c>
      <c r="C181" s="733"/>
      <c r="D181" s="733"/>
      <c r="E181" s="733"/>
      <c r="F181" s="734"/>
      <c r="G181" s="251" t="str">
        <f>ORÇAMENTO!E70</f>
        <v>TXKM</v>
      </c>
      <c r="H181" s="252">
        <f>H187</f>
        <v>53076.255980000009</v>
      </c>
    </row>
    <row r="182" spans="1:8" ht="15" customHeight="1" x14ac:dyDescent="0.25">
      <c r="A182" s="212"/>
      <c r="B182" s="134" t="s">
        <v>942</v>
      </c>
      <c r="C182" s="183"/>
      <c r="D182" s="559"/>
      <c r="E182" s="268"/>
      <c r="F182" s="180"/>
      <c r="G182" s="268" t="s">
        <v>677</v>
      </c>
      <c r="H182" s="181">
        <f>H172</f>
        <v>14.584728</v>
      </c>
    </row>
    <row r="183" spans="1:8" ht="15" customHeight="1" x14ac:dyDescent="0.25">
      <c r="A183" s="212"/>
      <c r="B183" s="134" t="s">
        <v>790</v>
      </c>
      <c r="C183" s="183"/>
      <c r="D183" s="559"/>
      <c r="E183" s="268"/>
      <c r="F183" s="180"/>
      <c r="G183" s="180" t="s">
        <v>677</v>
      </c>
      <c r="H183" s="181">
        <f>H175</f>
        <v>6.0769700000000002</v>
      </c>
    </row>
    <row r="184" spans="1:8" ht="15" customHeight="1" x14ac:dyDescent="0.25">
      <c r="A184" s="212"/>
      <c r="B184" s="118" t="s">
        <v>791</v>
      </c>
      <c r="C184" s="183"/>
      <c r="D184" s="231"/>
      <c r="E184" s="219"/>
      <c r="F184" s="237"/>
      <c r="G184" s="221" t="s">
        <v>677</v>
      </c>
      <c r="H184" s="181">
        <f>H178</f>
        <v>75.840585600000011</v>
      </c>
    </row>
    <row r="185" spans="1:8" ht="15" customHeight="1" x14ac:dyDescent="0.25">
      <c r="A185" s="212"/>
      <c r="B185" s="118" t="s">
        <v>206</v>
      </c>
      <c r="C185" s="178"/>
      <c r="D185" s="225"/>
      <c r="E185" s="237"/>
      <c r="F185" s="237"/>
      <c r="G185" s="221" t="s">
        <v>677</v>
      </c>
      <c r="H185" s="222">
        <f>SUM(H182:H184)</f>
        <v>96.502283600000013</v>
      </c>
    </row>
    <row r="186" spans="1:8" ht="15" customHeight="1" x14ac:dyDescent="0.25">
      <c r="A186" s="212"/>
      <c r="B186" s="118" t="s">
        <v>881</v>
      </c>
      <c r="C186" s="178"/>
      <c r="D186" s="225"/>
      <c r="E186" s="237"/>
      <c r="F186" s="237"/>
      <c r="G186" s="221" t="s">
        <v>197</v>
      </c>
      <c r="H186" s="222">
        <v>550</v>
      </c>
    </row>
    <row r="187" spans="1:8" ht="15" customHeight="1" x14ac:dyDescent="0.25">
      <c r="A187" s="212"/>
      <c r="B187" s="129" t="s">
        <v>207</v>
      </c>
      <c r="C187" s="253"/>
      <c r="D187" s="254"/>
      <c r="E187" s="237"/>
      <c r="F187" s="237"/>
      <c r="G187" s="221" t="s">
        <v>132</v>
      </c>
      <c r="H187" s="222">
        <f>H186*H185</f>
        <v>53076.255980000009</v>
      </c>
    </row>
    <row r="188" spans="1:8" ht="30" customHeight="1" x14ac:dyDescent="0.25">
      <c r="A188" s="250" t="str">
        <f>ORÇAMENTO!A71</f>
        <v>6.15</v>
      </c>
      <c r="B188" s="732" t="str">
        <f>ORÇAMENTO!D71</f>
        <v>PISO EM CONCRETO DESEMPENADO ESPESSURA = 7 CM 1:2,5:3,5</v>
      </c>
      <c r="C188" s="733"/>
      <c r="D188" s="733"/>
      <c r="E188" s="733"/>
      <c r="F188" s="734"/>
      <c r="G188" s="251" t="str">
        <f>ORÇAMENTO!E71</f>
        <v>M2</v>
      </c>
      <c r="H188" s="252">
        <f>SUM(H190:H203)</f>
        <v>10234.65</v>
      </c>
    </row>
    <row r="189" spans="1:8" ht="15" customHeight="1" x14ac:dyDescent="0.25">
      <c r="A189" s="243"/>
      <c r="B189" s="128"/>
      <c r="C189" s="199"/>
      <c r="D189" s="199"/>
      <c r="E189" s="259" t="s">
        <v>183</v>
      </c>
      <c r="F189" s="259" t="s">
        <v>184</v>
      </c>
      <c r="G189" s="266"/>
      <c r="H189" s="267"/>
    </row>
    <row r="190" spans="1:8" ht="15" customHeight="1" x14ac:dyDescent="0.25">
      <c r="A190" s="177"/>
      <c r="B190" s="134" t="s">
        <v>321</v>
      </c>
      <c r="C190" s="182"/>
      <c r="D190" s="182"/>
      <c r="E190" s="262">
        <f>111+150</f>
        <v>261</v>
      </c>
      <c r="F190" s="262">
        <v>2</v>
      </c>
      <c r="G190" s="262" t="s">
        <v>96</v>
      </c>
      <c r="H190" s="270">
        <f t="shared" ref="H190:H199" si="7">F190*E190</f>
        <v>522</v>
      </c>
    </row>
    <row r="191" spans="1:8" ht="15" customHeight="1" x14ac:dyDescent="0.25">
      <c r="A191" s="177"/>
      <c r="B191" s="134" t="s">
        <v>322</v>
      </c>
      <c r="C191" s="183"/>
      <c r="D191" s="183"/>
      <c r="E191" s="262">
        <v>255</v>
      </c>
      <c r="F191" s="262">
        <v>2</v>
      </c>
      <c r="G191" s="262" t="s">
        <v>96</v>
      </c>
      <c r="H191" s="270">
        <f t="shared" si="7"/>
        <v>510</v>
      </c>
    </row>
    <row r="192" spans="1:8" ht="15" customHeight="1" x14ac:dyDescent="0.25">
      <c r="A192" s="177"/>
      <c r="B192" s="134" t="s">
        <v>323</v>
      </c>
      <c r="C192" s="183"/>
      <c r="D192" s="183"/>
      <c r="E192" s="262">
        <v>475</v>
      </c>
      <c r="F192" s="184">
        <v>3</v>
      </c>
      <c r="G192" s="262" t="s">
        <v>96</v>
      </c>
      <c r="H192" s="270">
        <f t="shared" si="7"/>
        <v>1425</v>
      </c>
    </row>
    <row r="193" spans="1:9" ht="15" customHeight="1" x14ac:dyDescent="0.25">
      <c r="A193" s="177"/>
      <c r="B193" s="134" t="s">
        <v>325</v>
      </c>
      <c r="C193" s="183"/>
      <c r="D193" s="183"/>
      <c r="E193" s="262">
        <v>260</v>
      </c>
      <c r="F193" s="184">
        <v>3</v>
      </c>
      <c r="G193" s="262" t="s">
        <v>96</v>
      </c>
      <c r="H193" s="270">
        <f t="shared" si="7"/>
        <v>780</v>
      </c>
    </row>
    <row r="194" spans="1:9" ht="15" customHeight="1" x14ac:dyDescent="0.25">
      <c r="A194" s="177"/>
      <c r="B194" s="134" t="s">
        <v>326</v>
      </c>
      <c r="C194" s="183"/>
      <c r="D194" s="183"/>
      <c r="E194" s="184">
        <v>233</v>
      </c>
      <c r="F194" s="184">
        <v>2</v>
      </c>
      <c r="G194" s="262" t="s">
        <v>96</v>
      </c>
      <c r="H194" s="270">
        <f t="shared" si="7"/>
        <v>466</v>
      </c>
    </row>
    <row r="195" spans="1:9" ht="15" customHeight="1" x14ac:dyDescent="0.25">
      <c r="A195" s="177"/>
      <c r="B195" s="134" t="s">
        <v>324</v>
      </c>
      <c r="C195" s="183"/>
      <c r="D195" s="183"/>
      <c r="E195" s="184">
        <v>483</v>
      </c>
      <c r="F195" s="184">
        <v>3</v>
      </c>
      <c r="G195" s="262" t="s">
        <v>96</v>
      </c>
      <c r="H195" s="270">
        <f t="shared" si="7"/>
        <v>1449</v>
      </c>
    </row>
    <row r="196" spans="1:9" ht="15" customHeight="1" x14ac:dyDescent="0.25">
      <c r="A196" s="177"/>
      <c r="B196" s="118" t="s">
        <v>327</v>
      </c>
      <c r="C196" s="183"/>
      <c r="D196" s="183"/>
      <c r="E196" s="184">
        <v>97</v>
      </c>
      <c r="F196" s="184">
        <v>3</v>
      </c>
      <c r="G196" s="262" t="s">
        <v>96</v>
      </c>
      <c r="H196" s="270">
        <f t="shared" si="7"/>
        <v>291</v>
      </c>
    </row>
    <row r="197" spans="1:9" ht="15" customHeight="1" x14ac:dyDescent="0.25">
      <c r="A197" s="190"/>
      <c r="B197" s="118" t="s">
        <v>328</v>
      </c>
      <c r="C197" s="199"/>
      <c r="D197" s="565"/>
      <c r="E197" s="184">
        <v>224</v>
      </c>
      <c r="F197" s="184">
        <v>3</v>
      </c>
      <c r="G197" s="262" t="s">
        <v>96</v>
      </c>
      <c r="H197" s="270">
        <f t="shared" si="7"/>
        <v>672</v>
      </c>
    </row>
    <row r="198" spans="1:9" x14ac:dyDescent="0.25">
      <c r="A198" s="190"/>
      <c r="B198" s="118" t="s">
        <v>329</v>
      </c>
      <c r="C198" s="276"/>
      <c r="D198" s="569"/>
      <c r="E198" s="184">
        <v>245</v>
      </c>
      <c r="F198" s="184">
        <v>2.5</v>
      </c>
      <c r="G198" s="262" t="s">
        <v>96</v>
      </c>
      <c r="H198" s="270">
        <f t="shared" si="7"/>
        <v>612.5</v>
      </c>
    </row>
    <row r="199" spans="1:9" x14ac:dyDescent="0.25">
      <c r="A199" s="190"/>
      <c r="B199" s="118" t="s">
        <v>330</v>
      </c>
      <c r="C199" s="276"/>
      <c r="D199" s="231"/>
      <c r="E199" s="184">
        <v>248</v>
      </c>
      <c r="F199" s="184">
        <v>2.5</v>
      </c>
      <c r="G199" s="262" t="s">
        <v>96</v>
      </c>
      <c r="H199" s="270">
        <f t="shared" si="7"/>
        <v>620</v>
      </c>
    </row>
    <row r="200" spans="1:9" x14ac:dyDescent="0.25">
      <c r="A200" s="190"/>
      <c r="B200" s="118" t="s">
        <v>789</v>
      </c>
      <c r="C200" s="183"/>
      <c r="D200" s="231"/>
      <c r="E200" s="184">
        <f>2*72.73</f>
        <v>145.46</v>
      </c>
      <c r="F200" s="184">
        <v>2.5</v>
      </c>
      <c r="G200" s="262" t="s">
        <v>96</v>
      </c>
      <c r="H200" s="270">
        <f>F200*E200</f>
        <v>363.65000000000003</v>
      </c>
    </row>
    <row r="201" spans="1:9" x14ac:dyDescent="0.25">
      <c r="A201" s="190"/>
      <c r="B201" s="118" t="s">
        <v>792</v>
      </c>
      <c r="C201" s="183"/>
      <c r="D201" s="231"/>
      <c r="E201" s="184">
        <v>94</v>
      </c>
      <c r="F201" s="184">
        <v>2.5</v>
      </c>
      <c r="G201" s="262" t="s">
        <v>96</v>
      </c>
      <c r="H201" s="270">
        <f>F201*E201</f>
        <v>235</v>
      </c>
    </row>
    <row r="202" spans="1:9" x14ac:dyDescent="0.25">
      <c r="A202" s="190"/>
      <c r="B202" s="560" t="s">
        <v>793</v>
      </c>
      <c r="C202" s="561"/>
      <c r="D202" s="570"/>
      <c r="E202" s="566">
        <v>468.9</v>
      </c>
      <c r="F202" s="566">
        <v>2.5</v>
      </c>
      <c r="G202" s="567" t="s">
        <v>96</v>
      </c>
      <c r="H202" s="568">
        <f>F202*E202</f>
        <v>1172.25</v>
      </c>
    </row>
    <row r="203" spans="1:9" x14ac:dyDescent="0.25">
      <c r="A203" s="190"/>
      <c r="B203" s="560" t="s">
        <v>794</v>
      </c>
      <c r="C203" s="561"/>
      <c r="D203" s="561"/>
      <c r="E203" s="562">
        <v>446.5</v>
      </c>
      <c r="F203" s="562">
        <v>2.5</v>
      </c>
      <c r="G203" s="563" t="s">
        <v>96</v>
      </c>
      <c r="H203" s="564">
        <f>F203*E203</f>
        <v>1116.25</v>
      </c>
    </row>
    <row r="204" spans="1:9" ht="15" customHeight="1" x14ac:dyDescent="0.25">
      <c r="A204" s="250" t="str">
        <f>ORÇAMENTO!A72</f>
        <v>6.16</v>
      </c>
      <c r="B204" s="732" t="str">
        <f>ORÇAMENTO!D72</f>
        <v>PISO DE LADRILHO HIDRÁULICO COLORIDO MODELO TÁTIL ( ALERTA OU DIRECIONAL) SEM LASTRO</v>
      </c>
      <c r="C204" s="769"/>
      <c r="D204" s="769"/>
      <c r="E204" s="733"/>
      <c r="F204" s="734"/>
      <c r="G204" s="251" t="str">
        <f>ORÇAMENTO!E72</f>
        <v>M2</v>
      </c>
      <c r="H204" s="252">
        <f>SUM(H205:H207)</f>
        <v>152.89599999999999</v>
      </c>
    </row>
    <row r="205" spans="1:9" ht="15" customHeight="1" x14ac:dyDescent="0.25">
      <c r="A205" s="177"/>
      <c r="B205" s="134" t="s">
        <v>323</v>
      </c>
      <c r="C205" s="183"/>
      <c r="D205" s="231"/>
      <c r="E205" s="262">
        <v>475</v>
      </c>
      <c r="F205" s="184">
        <v>0.2</v>
      </c>
      <c r="G205" s="262" t="s">
        <v>96</v>
      </c>
      <c r="H205" s="270">
        <f>E205*F205</f>
        <v>95</v>
      </c>
    </row>
    <row r="206" spans="1:9" ht="15" customHeight="1" x14ac:dyDescent="0.25">
      <c r="A206" s="177"/>
      <c r="B206" s="134" t="s">
        <v>324</v>
      </c>
      <c r="C206" s="183"/>
      <c r="D206" s="231"/>
      <c r="E206" s="184">
        <v>283</v>
      </c>
      <c r="F206" s="184">
        <v>0.2</v>
      </c>
      <c r="G206" s="262" t="s">
        <v>96</v>
      </c>
      <c r="H206" s="270">
        <f>E206*F206</f>
        <v>56.6</v>
      </c>
    </row>
    <row r="207" spans="1:9" ht="15" customHeight="1" x14ac:dyDescent="0.25">
      <c r="A207" s="190"/>
      <c r="B207" s="135" t="s">
        <v>332</v>
      </c>
      <c r="C207" s="199"/>
      <c r="D207" s="199"/>
      <c r="E207" s="557" t="s">
        <v>331</v>
      </c>
      <c r="F207" s="557">
        <v>0.2</v>
      </c>
      <c r="G207" s="274" t="s">
        <v>96</v>
      </c>
      <c r="H207" s="275">
        <f>6.48*F207</f>
        <v>1.2960000000000003</v>
      </c>
    </row>
    <row r="208" spans="1:9" ht="15" customHeight="1" x14ac:dyDescent="0.25">
      <c r="A208" s="250" t="str">
        <f>ORÇAMENTO!A73</f>
        <v>6.17</v>
      </c>
      <c r="B208" s="732" t="str">
        <f>ORÇAMENTO!D73</f>
        <v xml:space="preserve">ENSAIOS DE REGULARIZACAO DO SUBLEITO </v>
      </c>
      <c r="C208" s="733"/>
      <c r="D208" s="733"/>
      <c r="E208" s="733"/>
      <c r="F208" s="734"/>
      <c r="G208" s="251" t="str">
        <f>ORÇAMENTO!E73</f>
        <v>M2</v>
      </c>
      <c r="H208" s="252">
        <f>H209</f>
        <v>126400.97600000002</v>
      </c>
      <c r="I208" s="64"/>
    </row>
    <row r="209" spans="1:8" ht="15" customHeight="1" x14ac:dyDescent="0.25">
      <c r="A209" s="177"/>
      <c r="B209" s="118" t="s">
        <v>208</v>
      </c>
      <c r="C209" s="178"/>
      <c r="D209" s="178"/>
      <c r="E209" s="178"/>
      <c r="F209" s="179"/>
      <c r="G209" s="180" t="s">
        <v>96</v>
      </c>
      <c r="H209" s="181">
        <f>H125</f>
        <v>126400.97600000002</v>
      </c>
    </row>
    <row r="210" spans="1:8" ht="15" customHeight="1" x14ac:dyDescent="0.25">
      <c r="A210" s="250" t="str">
        <f>ORÇAMENTO!A74</f>
        <v>6.18</v>
      </c>
      <c r="B210" s="732" t="str">
        <f>ORÇAMENTO!D74</f>
        <v>ENSAIOS DE BASE ESTABILIZADA GRANULOMETRICAMENTE</v>
      </c>
      <c r="C210" s="733"/>
      <c r="D210" s="733"/>
      <c r="E210" s="733"/>
      <c r="F210" s="734"/>
      <c r="G210" s="251" t="str">
        <f>ORÇAMENTO!E74</f>
        <v>M3</v>
      </c>
      <c r="H210" s="252">
        <f>SUM(H211:H211)</f>
        <v>4861.5760000000009</v>
      </c>
    </row>
    <row r="211" spans="1:8" ht="15" customHeight="1" x14ac:dyDescent="0.25">
      <c r="A211" s="177"/>
      <c r="B211" s="118" t="s">
        <v>209</v>
      </c>
      <c r="C211" s="178"/>
      <c r="D211" s="178"/>
      <c r="E211" s="178"/>
      <c r="F211" s="179"/>
      <c r="G211" s="180" t="s">
        <v>106</v>
      </c>
      <c r="H211" s="181">
        <f>H140</f>
        <v>4861.5760000000009</v>
      </c>
    </row>
    <row r="212" spans="1:8" ht="15" customHeight="1" x14ac:dyDescent="0.25">
      <c r="A212" s="250" t="str">
        <f>ORÇAMENTO!A75</f>
        <v>6.19</v>
      </c>
      <c r="B212" s="732" t="str">
        <f>ORÇAMENTO!D75</f>
        <v>ENSAIO DE GRANULOMETRIA POR PENEIRAMENTO - SOLOS</v>
      </c>
      <c r="C212" s="733"/>
      <c r="D212" s="733"/>
      <c r="E212" s="733"/>
      <c r="F212" s="734"/>
      <c r="G212" s="251" t="str">
        <f>ORÇAMENTO!E75</f>
        <v>UND</v>
      </c>
      <c r="H212" s="252">
        <f>H216+H214+H218</f>
        <v>26</v>
      </c>
    </row>
    <row r="213" spans="1:8" ht="15" customHeight="1" x14ac:dyDescent="0.25">
      <c r="A213" s="177"/>
      <c r="B213" s="123" t="s">
        <v>353</v>
      </c>
      <c r="C213" s="223"/>
      <c r="D213" s="178"/>
      <c r="E213" s="178"/>
      <c r="F213" s="179"/>
      <c r="G213" s="180" t="s">
        <v>179</v>
      </c>
      <c r="H213" s="181"/>
    </row>
    <row r="214" spans="1:8" ht="15" customHeight="1" x14ac:dyDescent="0.25">
      <c r="A214" s="177"/>
      <c r="B214" s="118" t="s">
        <v>355</v>
      </c>
      <c r="C214" s="223"/>
      <c r="D214" s="178"/>
      <c r="E214" s="178"/>
      <c r="F214" s="179"/>
      <c r="G214" s="180" t="s">
        <v>179</v>
      </c>
      <c r="H214" s="181">
        <v>2</v>
      </c>
    </row>
    <row r="215" spans="1:8" ht="15" customHeight="1" x14ac:dyDescent="0.25">
      <c r="A215" s="177"/>
      <c r="B215" s="123" t="s">
        <v>354</v>
      </c>
      <c r="C215" s="223"/>
      <c r="D215" s="178"/>
      <c r="E215" s="178"/>
      <c r="F215" s="179"/>
      <c r="G215" s="180" t="s">
        <v>179</v>
      </c>
      <c r="H215" s="181"/>
    </row>
    <row r="216" spans="1:8" ht="15" customHeight="1" x14ac:dyDescent="0.25">
      <c r="A216" s="177"/>
      <c r="B216" s="118" t="s">
        <v>355</v>
      </c>
      <c r="C216" s="223"/>
      <c r="D216" s="178"/>
      <c r="E216" s="178"/>
      <c r="F216" s="179"/>
      <c r="G216" s="180" t="s">
        <v>179</v>
      </c>
      <c r="H216" s="181">
        <v>5</v>
      </c>
    </row>
    <row r="217" spans="1:8" ht="15" customHeight="1" x14ac:dyDescent="0.25">
      <c r="A217" s="190"/>
      <c r="B217" s="123" t="s">
        <v>201</v>
      </c>
      <c r="C217" s="278"/>
      <c r="D217" s="191"/>
      <c r="E217" s="191"/>
      <c r="F217" s="279"/>
      <c r="G217" s="193"/>
      <c r="H217" s="197"/>
    </row>
    <row r="218" spans="1:8" ht="15" customHeight="1" x14ac:dyDescent="0.25">
      <c r="A218" s="190"/>
      <c r="B218" s="118" t="s">
        <v>366</v>
      </c>
      <c r="C218" s="278"/>
      <c r="D218" s="191" t="s">
        <v>365</v>
      </c>
      <c r="E218" s="191"/>
      <c r="F218" s="279"/>
      <c r="G218" s="193"/>
      <c r="H218" s="197">
        <v>19</v>
      </c>
    </row>
    <row r="219" spans="1:8" ht="15" customHeight="1" x14ac:dyDescent="0.25">
      <c r="A219" s="250" t="str">
        <f>ORÇAMENTO!A76</f>
        <v>6.20</v>
      </c>
      <c r="B219" s="732" t="str">
        <f>ORÇAMENTO!D76</f>
        <v>ENSAIO DE LIMITE DE LIQUIDEZ - SOLOS</v>
      </c>
      <c r="C219" s="733"/>
      <c r="D219" s="733"/>
      <c r="E219" s="733"/>
      <c r="F219" s="734"/>
      <c r="G219" s="251" t="str">
        <f>ORÇAMENTO!E76</f>
        <v>UND</v>
      </c>
      <c r="H219" s="252">
        <f>H225+H223+H221</f>
        <v>27</v>
      </c>
    </row>
    <row r="220" spans="1:8" ht="15" customHeight="1" x14ac:dyDescent="0.25">
      <c r="A220" s="190"/>
      <c r="B220" s="123" t="s">
        <v>201</v>
      </c>
      <c r="C220" s="278"/>
      <c r="D220" s="191"/>
      <c r="E220" s="191"/>
      <c r="F220" s="279"/>
      <c r="G220" s="193"/>
      <c r="H220" s="197"/>
    </row>
    <row r="221" spans="1:8" ht="15" customHeight="1" x14ac:dyDescent="0.25">
      <c r="A221" s="190"/>
      <c r="B221" s="118" t="s">
        <v>366</v>
      </c>
      <c r="C221" s="278"/>
      <c r="D221" s="191" t="s">
        <v>365</v>
      </c>
      <c r="E221" s="191"/>
      <c r="F221" s="279"/>
      <c r="G221" s="193"/>
      <c r="H221" s="197">
        <v>19</v>
      </c>
    </row>
    <row r="222" spans="1:8" ht="15" customHeight="1" x14ac:dyDescent="0.25">
      <c r="A222" s="177"/>
      <c r="B222" s="123" t="s">
        <v>353</v>
      </c>
      <c r="C222" s="223"/>
      <c r="D222" s="178"/>
      <c r="E222" s="178"/>
      <c r="F222" s="179"/>
      <c r="G222" s="180" t="s">
        <v>179</v>
      </c>
      <c r="H222" s="181"/>
    </row>
    <row r="223" spans="1:8" ht="15" customHeight="1" x14ac:dyDescent="0.25">
      <c r="A223" s="177"/>
      <c r="B223" s="118" t="s">
        <v>352</v>
      </c>
      <c r="C223" s="223"/>
      <c r="D223" s="178"/>
      <c r="E223" s="178"/>
      <c r="F223" s="179"/>
      <c r="G223" s="180" t="s">
        <v>179</v>
      </c>
      <c r="H223" s="181">
        <v>4</v>
      </c>
    </row>
    <row r="224" spans="1:8" ht="15" customHeight="1" x14ac:dyDescent="0.25">
      <c r="A224" s="177"/>
      <c r="B224" s="123" t="s">
        <v>354</v>
      </c>
      <c r="C224" s="223"/>
      <c r="D224" s="178"/>
      <c r="E224" s="178"/>
      <c r="F224" s="179"/>
      <c r="G224" s="180" t="s">
        <v>179</v>
      </c>
      <c r="H224" s="181"/>
    </row>
    <row r="225" spans="1:8" ht="15" customHeight="1" x14ac:dyDescent="0.25">
      <c r="A225" s="177"/>
      <c r="B225" s="118" t="s">
        <v>352</v>
      </c>
      <c r="C225" s="223"/>
      <c r="D225" s="178"/>
      <c r="E225" s="178"/>
      <c r="F225" s="179"/>
      <c r="G225" s="180" t="s">
        <v>179</v>
      </c>
      <c r="H225" s="181">
        <v>4</v>
      </c>
    </row>
    <row r="226" spans="1:8" ht="15" customHeight="1" x14ac:dyDescent="0.25">
      <c r="A226" s="250" t="str">
        <f>ORÇAMENTO!A77</f>
        <v>6.21</v>
      </c>
      <c r="B226" s="732" t="str">
        <f>ORÇAMENTO!D77</f>
        <v>ENSAIO DE LIMITE DE PLASTICIDADE - SOLOS</v>
      </c>
      <c r="C226" s="733"/>
      <c r="D226" s="733"/>
      <c r="E226" s="733"/>
      <c r="F226" s="734"/>
      <c r="G226" s="251" t="str">
        <f>ORÇAMENTO!E77</f>
        <v>UND</v>
      </c>
      <c r="H226" s="252">
        <f>H232+H230+H228</f>
        <v>27</v>
      </c>
    </row>
    <row r="227" spans="1:8" ht="15" customHeight="1" x14ac:dyDescent="0.25">
      <c r="A227" s="190"/>
      <c r="B227" s="123" t="s">
        <v>201</v>
      </c>
      <c r="C227" s="278"/>
      <c r="D227" s="191"/>
      <c r="E227" s="191"/>
      <c r="F227" s="279"/>
      <c r="G227" s="193"/>
      <c r="H227" s="197"/>
    </row>
    <row r="228" spans="1:8" ht="15" customHeight="1" x14ac:dyDescent="0.25">
      <c r="A228" s="190"/>
      <c r="B228" s="118" t="s">
        <v>366</v>
      </c>
      <c r="C228" s="278"/>
      <c r="D228" s="191" t="s">
        <v>365</v>
      </c>
      <c r="E228" s="191"/>
      <c r="F228" s="279"/>
      <c r="G228" s="193"/>
      <c r="H228" s="197">
        <v>19</v>
      </c>
    </row>
    <row r="229" spans="1:8" ht="15" customHeight="1" x14ac:dyDescent="0.25">
      <c r="A229" s="177"/>
      <c r="B229" s="123" t="s">
        <v>353</v>
      </c>
      <c r="C229" s="223"/>
      <c r="D229" s="178"/>
      <c r="E229" s="178"/>
      <c r="F229" s="179"/>
      <c r="G229" s="180" t="s">
        <v>179</v>
      </c>
      <c r="H229" s="181"/>
    </row>
    <row r="230" spans="1:8" ht="15" customHeight="1" x14ac:dyDescent="0.25">
      <c r="A230" s="177"/>
      <c r="B230" s="118" t="s">
        <v>352</v>
      </c>
      <c r="C230" s="223"/>
      <c r="D230" s="178"/>
      <c r="E230" s="178"/>
      <c r="F230" s="179"/>
      <c r="G230" s="180" t="s">
        <v>179</v>
      </c>
      <c r="H230" s="181">
        <v>4</v>
      </c>
    </row>
    <row r="231" spans="1:8" ht="15" customHeight="1" x14ac:dyDescent="0.25">
      <c r="A231" s="177"/>
      <c r="B231" s="123" t="s">
        <v>354</v>
      </c>
      <c r="C231" s="223"/>
      <c r="D231" s="178"/>
      <c r="E231" s="178"/>
      <c r="F231" s="179"/>
      <c r="G231" s="180" t="s">
        <v>179</v>
      </c>
      <c r="H231" s="181"/>
    </row>
    <row r="232" spans="1:8" ht="15" customHeight="1" x14ac:dyDescent="0.25">
      <c r="A232" s="177"/>
      <c r="B232" s="118" t="s">
        <v>352</v>
      </c>
      <c r="C232" s="223"/>
      <c r="D232" s="178"/>
      <c r="E232" s="178"/>
      <c r="F232" s="179"/>
      <c r="G232" s="180" t="s">
        <v>179</v>
      </c>
      <c r="H232" s="181">
        <v>4</v>
      </c>
    </row>
    <row r="233" spans="1:8" ht="15" customHeight="1" x14ac:dyDescent="0.25">
      <c r="A233" s="250" t="str">
        <f>ORÇAMENTO!A78</f>
        <v>6.22</v>
      </c>
      <c r="B233" s="732" t="str">
        <f>ORÇAMENTO!D78</f>
        <v>ENSAIO DE COMPACTACAO - AMOSTRAS NAO TRABALHADAS - ENERGIA NORMAL - SOLOS</v>
      </c>
      <c r="C233" s="733"/>
      <c r="D233" s="733"/>
      <c r="E233" s="733"/>
      <c r="F233" s="734"/>
      <c r="G233" s="251" t="str">
        <f>ORÇAMENTO!E78</f>
        <v>UND</v>
      </c>
      <c r="H233" s="252">
        <f>H239+H237+H235</f>
        <v>94</v>
      </c>
    </row>
    <row r="234" spans="1:8" ht="15" customHeight="1" x14ac:dyDescent="0.25">
      <c r="A234" s="177"/>
      <c r="B234" s="123" t="s">
        <v>353</v>
      </c>
      <c r="C234" s="223"/>
      <c r="D234" s="178"/>
      <c r="E234" s="178"/>
      <c r="F234" s="179"/>
      <c r="G234" s="180" t="s">
        <v>179</v>
      </c>
      <c r="H234" s="181"/>
    </row>
    <row r="235" spans="1:8" ht="15" customHeight="1" x14ac:dyDescent="0.25">
      <c r="A235" s="177"/>
      <c r="B235" s="118" t="s">
        <v>352</v>
      </c>
      <c r="C235" s="223"/>
      <c r="D235" s="178"/>
      <c r="E235" s="178"/>
      <c r="F235" s="179"/>
      <c r="G235" s="180" t="s">
        <v>179</v>
      </c>
      <c r="H235" s="181">
        <v>13</v>
      </c>
    </row>
    <row r="236" spans="1:8" ht="15" customHeight="1" x14ac:dyDescent="0.25">
      <c r="A236" s="177"/>
      <c r="B236" s="123" t="s">
        <v>354</v>
      </c>
      <c r="C236" s="223"/>
      <c r="D236" s="178"/>
      <c r="E236" s="178"/>
      <c r="F236" s="179"/>
      <c r="G236" s="180" t="s">
        <v>179</v>
      </c>
      <c r="H236" s="181"/>
    </row>
    <row r="237" spans="1:8" ht="15" customHeight="1" x14ac:dyDescent="0.25">
      <c r="A237" s="177"/>
      <c r="B237" s="118" t="s">
        <v>352</v>
      </c>
      <c r="C237" s="223"/>
      <c r="D237" s="178"/>
      <c r="E237" s="178"/>
      <c r="F237" s="179"/>
      <c r="G237" s="221" t="s">
        <v>179</v>
      </c>
      <c r="H237" s="222">
        <v>6</v>
      </c>
    </row>
    <row r="238" spans="1:8" ht="15" customHeight="1" x14ac:dyDescent="0.25">
      <c r="A238" s="190"/>
      <c r="B238" s="123" t="s">
        <v>201</v>
      </c>
      <c r="C238" s="278"/>
      <c r="D238" s="191"/>
      <c r="E238" s="191"/>
      <c r="F238" s="279"/>
      <c r="G238" s="193"/>
      <c r="H238" s="197"/>
    </row>
    <row r="239" spans="1:8" ht="15" customHeight="1" x14ac:dyDescent="0.25">
      <c r="A239" s="190"/>
      <c r="B239" s="118" t="s">
        <v>363</v>
      </c>
      <c r="C239" s="278"/>
      <c r="D239" s="191" t="s">
        <v>364</v>
      </c>
      <c r="E239" s="191"/>
      <c r="F239" s="279"/>
      <c r="G239" s="193"/>
      <c r="H239" s="197">
        <v>75</v>
      </c>
    </row>
    <row r="240" spans="1:8" ht="30" customHeight="1" x14ac:dyDescent="0.25">
      <c r="A240" s="250" t="str">
        <f>ORÇAMENTO!A79</f>
        <v>6.23</v>
      </c>
      <c r="B240" s="732" t="str">
        <f>ORÇAMENTO!D79</f>
        <v>ENSAIO DE MASSA ESPECIFICA - IN SITU - METODO BALAO DE BORRACHA - SOLOS DE BORRACHA - SOLOS</v>
      </c>
      <c r="C240" s="733"/>
      <c r="D240" s="733"/>
      <c r="E240" s="733"/>
      <c r="F240" s="734"/>
      <c r="G240" s="251" t="str">
        <f>ORÇAMENTO!E83</f>
        <v>UND</v>
      </c>
      <c r="H240" s="252">
        <f>H242+H244</f>
        <v>26</v>
      </c>
    </row>
    <row r="241" spans="1:8" ht="15" customHeight="1" x14ac:dyDescent="0.25">
      <c r="A241" s="212"/>
      <c r="B241" s="123" t="s">
        <v>353</v>
      </c>
      <c r="C241" s="124"/>
      <c r="D241" s="124"/>
      <c r="E241" s="124"/>
      <c r="F241" s="136"/>
      <c r="G241" s="180" t="s">
        <v>179</v>
      </c>
      <c r="H241" s="208"/>
    </row>
    <row r="242" spans="1:8" ht="15" customHeight="1" x14ac:dyDescent="0.25">
      <c r="A242" s="177"/>
      <c r="B242" s="118" t="s">
        <v>358</v>
      </c>
      <c r="C242" s="223"/>
      <c r="D242" s="178"/>
      <c r="E242" s="178"/>
      <c r="F242" s="179"/>
      <c r="G242" s="180" t="s">
        <v>179</v>
      </c>
      <c r="H242" s="208">
        <v>13</v>
      </c>
    </row>
    <row r="243" spans="1:8" ht="15" customHeight="1" x14ac:dyDescent="0.25">
      <c r="A243" s="190"/>
      <c r="B243" s="123" t="s">
        <v>354</v>
      </c>
      <c r="C243" s="278"/>
      <c r="D243" s="191"/>
      <c r="E243" s="191"/>
      <c r="F243" s="279"/>
      <c r="G243" s="180" t="s">
        <v>179</v>
      </c>
      <c r="H243" s="208"/>
    </row>
    <row r="244" spans="1:8" ht="15" customHeight="1" x14ac:dyDescent="0.25">
      <c r="A244" s="190"/>
      <c r="B244" s="118" t="s">
        <v>358</v>
      </c>
      <c r="C244" s="278"/>
      <c r="D244" s="191"/>
      <c r="E244" s="191"/>
      <c r="F244" s="279"/>
      <c r="G244" s="180" t="s">
        <v>179</v>
      </c>
      <c r="H244" s="208">
        <v>13</v>
      </c>
    </row>
    <row r="245" spans="1:8" ht="15" customHeight="1" x14ac:dyDescent="0.25">
      <c r="A245" s="250" t="str">
        <f>ORÇAMENTO!A80</f>
        <v>6.24</v>
      </c>
      <c r="B245" s="732" t="str">
        <f>ORÇAMENTO!D80</f>
        <v>ENSAIO DE INDICE DE SUPORTE CALIFORNIA - AMOSTRAS NAO TRABALHADAS - ENERGIA NORMAL - SOLOS</v>
      </c>
      <c r="C245" s="733"/>
      <c r="D245" s="733"/>
      <c r="E245" s="733"/>
      <c r="F245" s="734"/>
      <c r="G245" s="251" t="str">
        <f>ORÇAMENTO!E80</f>
        <v>UND</v>
      </c>
      <c r="H245" s="252">
        <f>H247+H249+H251</f>
        <v>28</v>
      </c>
    </row>
    <row r="246" spans="1:8" ht="15" customHeight="1" x14ac:dyDescent="0.25">
      <c r="A246" s="190"/>
      <c r="B246" s="123" t="s">
        <v>201</v>
      </c>
      <c r="C246" s="278"/>
      <c r="D246" s="191"/>
      <c r="E246" s="191"/>
      <c r="F246" s="279"/>
      <c r="G246" s="193"/>
      <c r="H246" s="197"/>
    </row>
    <row r="247" spans="1:8" ht="15" customHeight="1" x14ac:dyDescent="0.25">
      <c r="A247" s="190"/>
      <c r="B247" s="118" t="s">
        <v>366</v>
      </c>
      <c r="C247" s="278"/>
      <c r="D247" s="191" t="s">
        <v>367</v>
      </c>
      <c r="E247" s="191"/>
      <c r="F247" s="279"/>
      <c r="G247" s="193"/>
      <c r="H247" s="197">
        <v>19</v>
      </c>
    </row>
    <row r="248" spans="1:8" ht="15" customHeight="1" x14ac:dyDescent="0.25">
      <c r="A248" s="212"/>
      <c r="B248" s="123" t="s">
        <v>353</v>
      </c>
      <c r="C248" s="124"/>
      <c r="D248" s="124"/>
      <c r="E248" s="124"/>
      <c r="F248" s="136"/>
      <c r="G248" s="180" t="s">
        <v>179</v>
      </c>
      <c r="H248" s="214"/>
    </row>
    <row r="249" spans="1:8" ht="15" customHeight="1" x14ac:dyDescent="0.25">
      <c r="A249" s="177"/>
      <c r="B249" s="118" t="s">
        <v>352</v>
      </c>
      <c r="C249" s="223"/>
      <c r="D249" s="178"/>
      <c r="E249" s="178"/>
      <c r="F249" s="179"/>
      <c r="G249" s="180" t="s">
        <v>179</v>
      </c>
      <c r="H249" s="181">
        <v>3</v>
      </c>
    </row>
    <row r="250" spans="1:8" ht="15" customHeight="1" x14ac:dyDescent="0.25">
      <c r="A250" s="190"/>
      <c r="B250" s="123" t="s">
        <v>354</v>
      </c>
      <c r="C250" s="278"/>
      <c r="D250" s="191"/>
      <c r="E250" s="191"/>
      <c r="F250" s="279"/>
      <c r="G250" s="180" t="s">
        <v>179</v>
      </c>
      <c r="H250" s="197"/>
    </row>
    <row r="251" spans="1:8" ht="15" customHeight="1" x14ac:dyDescent="0.25">
      <c r="A251" s="190"/>
      <c r="B251" s="118" t="s">
        <v>352</v>
      </c>
      <c r="C251" s="278"/>
      <c r="D251" s="191"/>
      <c r="E251" s="191"/>
      <c r="F251" s="279"/>
      <c r="G251" s="180" t="s">
        <v>179</v>
      </c>
      <c r="H251" s="197">
        <v>6</v>
      </c>
    </row>
    <row r="252" spans="1:8" ht="15" customHeight="1" x14ac:dyDescent="0.25">
      <c r="A252" s="250" t="str">
        <f>ORÇAMENTO!A81</f>
        <v>6.25</v>
      </c>
      <c r="B252" s="732" t="str">
        <f>ORÇAMENTO!D81</f>
        <v>ENSAIO DE TEOR DE UMIDADE - PROCESSO SPEEDY - SOLOS E AGREGADOS MIUDOS</v>
      </c>
      <c r="C252" s="733"/>
      <c r="D252" s="733"/>
      <c r="E252" s="733"/>
      <c r="F252" s="734"/>
      <c r="G252" s="251" t="str">
        <f>ORÇAMENTO!E81</f>
        <v>UND</v>
      </c>
      <c r="H252" s="252">
        <f>H254+H256</f>
        <v>39</v>
      </c>
    </row>
    <row r="253" spans="1:8" ht="15" customHeight="1" x14ac:dyDescent="0.25">
      <c r="A253" s="177"/>
      <c r="B253" s="123" t="s">
        <v>353</v>
      </c>
      <c r="C253" s="223"/>
      <c r="D253" s="178"/>
      <c r="E253" s="178"/>
      <c r="F253" s="179"/>
      <c r="G253" s="180" t="s">
        <v>179</v>
      </c>
      <c r="H253" s="181"/>
    </row>
    <row r="254" spans="1:8" ht="15" customHeight="1" x14ac:dyDescent="0.25">
      <c r="A254" s="177"/>
      <c r="B254" s="118" t="s">
        <v>352</v>
      </c>
      <c r="C254" s="223"/>
      <c r="D254" s="178"/>
      <c r="E254" s="178"/>
      <c r="F254" s="179"/>
      <c r="G254" s="180" t="s">
        <v>179</v>
      </c>
      <c r="H254" s="181">
        <v>13</v>
      </c>
    </row>
    <row r="255" spans="1:8" ht="15" customHeight="1" x14ac:dyDescent="0.25">
      <c r="A255" s="177"/>
      <c r="B255" s="123" t="s">
        <v>354</v>
      </c>
      <c r="C255" s="223"/>
      <c r="D255" s="178"/>
      <c r="E255" s="178"/>
      <c r="F255" s="179"/>
      <c r="G255" s="180" t="s">
        <v>179</v>
      </c>
      <c r="H255" s="181"/>
    </row>
    <row r="256" spans="1:8" ht="15" customHeight="1" x14ac:dyDescent="0.25">
      <c r="A256" s="177"/>
      <c r="B256" s="118" t="s">
        <v>352</v>
      </c>
      <c r="C256" s="223"/>
      <c r="D256" s="178"/>
      <c r="E256" s="178"/>
      <c r="F256" s="179"/>
      <c r="G256" s="180" t="s">
        <v>179</v>
      </c>
      <c r="H256" s="181">
        <v>26</v>
      </c>
    </row>
    <row r="257" spans="1:8" ht="15" customHeight="1" x14ac:dyDescent="0.25">
      <c r="A257" s="250" t="str">
        <f>ORÇAMENTO!A82</f>
        <v>6.26</v>
      </c>
      <c r="B257" s="732" t="str">
        <f>ORÇAMENTO!D82</f>
        <v>ENSAIO DE PONTO DE FULGOR - MATERIAL BETUMINOSO</v>
      </c>
      <c r="C257" s="733"/>
      <c r="D257" s="733"/>
      <c r="E257" s="733"/>
      <c r="F257" s="734"/>
      <c r="G257" s="251" t="str">
        <f>ORÇAMENTO!E82</f>
        <v>UND</v>
      </c>
      <c r="H257" s="252">
        <f>SUM(H258:H259)</f>
        <v>10</v>
      </c>
    </row>
    <row r="258" spans="1:8" ht="15" customHeight="1" x14ac:dyDescent="0.25">
      <c r="A258" s="177"/>
      <c r="B258" s="123" t="s">
        <v>359</v>
      </c>
      <c r="C258" s="223"/>
      <c r="D258" s="178"/>
      <c r="E258" s="178"/>
      <c r="F258" s="179"/>
      <c r="G258" s="180" t="s">
        <v>179</v>
      </c>
      <c r="H258" s="181"/>
    </row>
    <row r="259" spans="1:8" ht="15" customHeight="1" x14ac:dyDescent="0.25">
      <c r="A259" s="177"/>
      <c r="B259" s="118" t="s">
        <v>352</v>
      </c>
      <c r="C259" s="223"/>
      <c r="D259" s="178"/>
      <c r="E259" s="178"/>
      <c r="F259" s="179"/>
      <c r="G259" s="180" t="s">
        <v>179</v>
      </c>
      <c r="H259" s="181">
        <v>10</v>
      </c>
    </row>
    <row r="260" spans="1:8" ht="15" customHeight="1" x14ac:dyDescent="0.25">
      <c r="A260" s="250" t="str">
        <f>ORÇAMENTO!A83</f>
        <v>6.27</v>
      </c>
      <c r="B260" s="732" t="str">
        <f>ORÇAMENTO!D83</f>
        <v>ENSAIO DE CONTROLE DE TAXA DE APLICACAO DE LIGANTE BETUMINOSO</v>
      </c>
      <c r="C260" s="733"/>
      <c r="D260" s="733"/>
      <c r="E260" s="733"/>
      <c r="F260" s="734"/>
      <c r="G260" s="251" t="str">
        <f>ORÇAMENTO!E83</f>
        <v>UND</v>
      </c>
      <c r="H260" s="252">
        <f>SUM(H262:H262)</f>
        <v>13</v>
      </c>
    </row>
    <row r="261" spans="1:8" ht="15" customHeight="1" x14ac:dyDescent="0.25">
      <c r="A261" s="212"/>
      <c r="B261" s="123" t="s">
        <v>359</v>
      </c>
      <c r="C261" s="124"/>
      <c r="D261" s="124"/>
      <c r="E261" s="124"/>
      <c r="F261" s="136"/>
      <c r="G261" s="180" t="s">
        <v>179</v>
      </c>
      <c r="H261" s="214"/>
    </row>
    <row r="262" spans="1:8" ht="15" customHeight="1" x14ac:dyDescent="0.25">
      <c r="A262" s="177"/>
      <c r="B262" s="118" t="s">
        <v>352</v>
      </c>
      <c r="C262" s="223"/>
      <c r="D262" s="178"/>
      <c r="E262" s="178"/>
      <c r="F262" s="179"/>
      <c r="G262" s="180" t="s">
        <v>179</v>
      </c>
      <c r="H262" s="181">
        <v>13</v>
      </c>
    </row>
    <row r="263" spans="1:8" ht="15" customHeight="1" x14ac:dyDescent="0.25">
      <c r="A263" s="250" t="str">
        <f>ORÇAMENTO!A84</f>
        <v>6.28</v>
      </c>
      <c r="B263" s="732" t="str">
        <f>ORÇAMENTO!D84</f>
        <v>ENSAIO DE EQUIVALENTE EM AREIA - SOLOS</v>
      </c>
      <c r="C263" s="733"/>
      <c r="D263" s="733"/>
      <c r="E263" s="733"/>
      <c r="F263" s="734"/>
      <c r="G263" s="251" t="str">
        <f>ORÇAMENTO!E88</f>
        <v>M3</v>
      </c>
      <c r="H263" s="252">
        <f>SUM(H264:H265)</f>
        <v>3</v>
      </c>
    </row>
    <row r="264" spans="1:8" ht="15" customHeight="1" x14ac:dyDescent="0.25">
      <c r="A264" s="177"/>
      <c r="B264" s="123" t="s">
        <v>354</v>
      </c>
      <c r="C264" s="223"/>
      <c r="D264" s="178"/>
      <c r="E264" s="178"/>
      <c r="F264" s="179"/>
      <c r="G264" s="180" t="s">
        <v>179</v>
      </c>
      <c r="H264" s="181"/>
    </row>
    <row r="265" spans="1:8" ht="15" customHeight="1" thickBot="1" x14ac:dyDescent="0.3">
      <c r="A265" s="177"/>
      <c r="B265" s="118" t="s">
        <v>352</v>
      </c>
      <c r="C265" s="223"/>
      <c r="D265" s="178"/>
      <c r="E265" s="178"/>
      <c r="F265" s="179"/>
      <c r="G265" s="180" t="s">
        <v>179</v>
      </c>
      <c r="H265" s="181">
        <v>3</v>
      </c>
    </row>
    <row r="266" spans="1:8" ht="15" customHeight="1" thickBot="1" x14ac:dyDescent="0.3">
      <c r="A266" s="153">
        <f>ORÇAMENTO!A87</f>
        <v>7</v>
      </c>
      <c r="B266" s="116" t="s">
        <v>210</v>
      </c>
      <c r="C266" s="162"/>
      <c r="D266" s="162"/>
      <c r="E266" s="162"/>
      <c r="F266" s="162"/>
      <c r="G266" s="162"/>
      <c r="H266" s="260"/>
    </row>
    <row r="267" spans="1:8" ht="36.75" customHeight="1" x14ac:dyDescent="0.25">
      <c r="A267" s="250" t="str">
        <f>ORÇAMENTO!A88</f>
        <v>7.1</v>
      </c>
      <c r="B267" s="735" t="str">
        <f>ORÇAMENTO!D88</f>
        <v>ESCAVAÇÃO MEC. DE VALAS DE MAT. 1ª CAT. (INCL. TRANSPORTE)</v>
      </c>
      <c r="C267" s="736"/>
      <c r="D267" s="736"/>
      <c r="E267" s="736"/>
      <c r="F267" s="737"/>
      <c r="G267" s="251" t="str">
        <f>ORÇAMENTO!E88</f>
        <v>M3</v>
      </c>
      <c r="H267" s="252">
        <f>H271</f>
        <v>847.5</v>
      </c>
    </row>
    <row r="268" spans="1:8" ht="15" customHeight="1" x14ac:dyDescent="0.25">
      <c r="A268" s="177"/>
      <c r="B268" s="118" t="s">
        <v>211</v>
      </c>
      <c r="C268" s="178"/>
      <c r="D268" s="178"/>
      <c r="E268" s="178"/>
      <c r="F268" s="225"/>
      <c r="G268" s="180" t="s">
        <v>2</v>
      </c>
      <c r="H268" s="181">
        <v>565</v>
      </c>
    </row>
    <row r="269" spans="1:8" ht="15" customHeight="1" x14ac:dyDescent="0.25">
      <c r="A269" s="177"/>
      <c r="B269" s="118" t="s">
        <v>212</v>
      </c>
      <c r="C269" s="178"/>
      <c r="D269" s="178"/>
      <c r="E269" s="178"/>
      <c r="F269" s="225"/>
      <c r="G269" s="180" t="s">
        <v>2</v>
      </c>
      <c r="H269" s="181">
        <v>1.5</v>
      </c>
    </row>
    <row r="270" spans="1:8" ht="15" customHeight="1" x14ac:dyDescent="0.25">
      <c r="A270" s="177"/>
      <c r="B270" s="118" t="s">
        <v>181</v>
      </c>
      <c r="C270" s="178"/>
      <c r="D270" s="178"/>
      <c r="E270" s="178"/>
      <c r="F270" s="225"/>
      <c r="G270" s="180" t="s">
        <v>2</v>
      </c>
      <c r="H270" s="181">
        <v>1</v>
      </c>
    </row>
    <row r="271" spans="1:8" ht="15" customHeight="1" x14ac:dyDescent="0.25">
      <c r="A271" s="177"/>
      <c r="B271" s="118" t="s">
        <v>213</v>
      </c>
      <c r="C271" s="178"/>
      <c r="D271" s="178"/>
      <c r="E271" s="178"/>
      <c r="F271" s="225"/>
      <c r="G271" s="180" t="s">
        <v>106</v>
      </c>
      <c r="H271" s="181">
        <f>H268*H269*H270</f>
        <v>847.5</v>
      </c>
    </row>
    <row r="272" spans="1:8" ht="28.5" customHeight="1" x14ac:dyDescent="0.25">
      <c r="A272" s="250" t="str">
        <f>ORÇAMENTO!A89</f>
        <v>7.2</v>
      </c>
      <c r="B272" s="732" t="str">
        <f>ORÇAMENTO!D89</f>
        <v>LASTRO DE BRITA(GAP) (BC)</v>
      </c>
      <c r="C272" s="733"/>
      <c r="D272" s="733"/>
      <c r="E272" s="733"/>
      <c r="F272" s="734"/>
      <c r="G272" s="251" t="str">
        <f>ORÇAMENTO!E89</f>
        <v>M3</v>
      </c>
      <c r="H272" s="252">
        <f>H276</f>
        <v>113</v>
      </c>
    </row>
    <row r="273" spans="1:10" ht="15" customHeight="1" x14ac:dyDescent="0.25">
      <c r="A273" s="177"/>
      <c r="B273" s="118" t="s">
        <v>211</v>
      </c>
      <c r="C273" s="178"/>
      <c r="D273" s="178"/>
      <c r="E273" s="178"/>
      <c r="F273" s="225"/>
      <c r="G273" s="180" t="s">
        <v>2</v>
      </c>
      <c r="H273" s="181">
        <f>H268</f>
        <v>565</v>
      </c>
    </row>
    <row r="274" spans="1:10" ht="15" customHeight="1" x14ac:dyDescent="0.25">
      <c r="A274" s="177"/>
      <c r="B274" s="118" t="s">
        <v>214</v>
      </c>
      <c r="C274" s="178"/>
      <c r="D274" s="178"/>
      <c r="E274" s="178"/>
      <c r="F274" s="225"/>
      <c r="G274" s="180" t="s">
        <v>2</v>
      </c>
      <c r="H274" s="181">
        <v>0.2</v>
      </c>
    </row>
    <row r="275" spans="1:10" ht="15" customHeight="1" x14ac:dyDescent="0.25">
      <c r="A275" s="177"/>
      <c r="B275" s="118" t="s">
        <v>181</v>
      </c>
      <c r="C275" s="178"/>
      <c r="D275" s="178"/>
      <c r="E275" s="178"/>
      <c r="F275" s="225"/>
      <c r="G275" s="180" t="s">
        <v>2</v>
      </c>
      <c r="H275" s="181">
        <f>H270</f>
        <v>1</v>
      </c>
    </row>
    <row r="276" spans="1:10" ht="15" customHeight="1" x14ac:dyDescent="0.25">
      <c r="A276" s="177"/>
      <c r="B276" s="118" t="s">
        <v>213</v>
      </c>
      <c r="C276" s="178"/>
      <c r="D276" s="178"/>
      <c r="E276" s="178"/>
      <c r="F276" s="225"/>
      <c r="G276" s="180" t="s">
        <v>106</v>
      </c>
      <c r="H276" s="181">
        <f>H273*H274*H275</f>
        <v>113</v>
      </c>
    </row>
    <row r="277" spans="1:10" ht="28.5" customHeight="1" x14ac:dyDescent="0.25">
      <c r="A277" s="250" t="str">
        <f>ORÇAMENTO!A90</f>
        <v>7.3</v>
      </c>
      <c r="B277" s="732" t="str">
        <f>ORÇAMENTO!D90</f>
        <v>ESCORAMENTO DESCONTÍNUO EM VALAS(ESPAÇ.1,80 M)</v>
      </c>
      <c r="C277" s="733"/>
      <c r="D277" s="733"/>
      <c r="E277" s="733"/>
      <c r="F277" s="734"/>
      <c r="G277" s="251" t="str">
        <f>ORÇAMENTO!E90</f>
        <v>M2</v>
      </c>
      <c r="H277" s="252">
        <f>H279</f>
        <v>1695</v>
      </c>
    </row>
    <row r="278" spans="1:10" x14ac:dyDescent="0.25">
      <c r="A278" s="212"/>
      <c r="B278" s="126" t="s">
        <v>805</v>
      </c>
      <c r="C278" s="124"/>
      <c r="D278" s="191" t="s">
        <v>198</v>
      </c>
      <c r="E278" s="191" t="s">
        <v>180</v>
      </c>
      <c r="F278" s="238" t="s">
        <v>806</v>
      </c>
      <c r="G278" s="213"/>
      <c r="H278" s="214"/>
    </row>
    <row r="279" spans="1:10" x14ac:dyDescent="0.25">
      <c r="A279" s="212"/>
      <c r="B279" s="126" t="s">
        <v>807</v>
      </c>
      <c r="C279" s="124"/>
      <c r="D279" s="191">
        <v>2</v>
      </c>
      <c r="E279" s="278">
        <f>H268</f>
        <v>565</v>
      </c>
      <c r="F279" s="578">
        <f>H269</f>
        <v>1.5</v>
      </c>
      <c r="G279" s="193" t="s">
        <v>96</v>
      </c>
      <c r="H279" s="197">
        <f>F279*E279*D279</f>
        <v>1695</v>
      </c>
    </row>
    <row r="280" spans="1:10" x14ac:dyDescent="0.25">
      <c r="A280" s="250" t="str">
        <f>ORÇAMENTO!A91</f>
        <v>7.4</v>
      </c>
      <c r="B280" s="732" t="str">
        <f>ORÇAMENTO!D91</f>
        <v>FORNECIMENTO, TRANSPORTE E ASSENTAMENTO DE TUBO D=0,60 M (AC)</v>
      </c>
      <c r="C280" s="733"/>
      <c r="D280" s="733"/>
      <c r="E280" s="733"/>
      <c r="F280" s="734"/>
      <c r="G280" s="251" t="s">
        <v>2</v>
      </c>
      <c r="H280" s="252">
        <f>H282</f>
        <v>565</v>
      </c>
    </row>
    <row r="281" spans="1:10" x14ac:dyDescent="0.25">
      <c r="A281" s="212"/>
      <c r="B281" s="126" t="s">
        <v>805</v>
      </c>
      <c r="C281" s="124"/>
      <c r="D281" s="191"/>
      <c r="F281" s="191" t="s">
        <v>180</v>
      </c>
      <c r="G281" s="213"/>
      <c r="H281" s="214"/>
      <c r="J281" s="12">
        <f>60+106.3+99.64+129.34+22.5+28.1+4.6+3.5+3.5+3.5+3.5+3.5+17.4+3.5+3.5+3.5+3.5+32.45+3.5+3.5+12.5+12.5</f>
        <v>563.83000000000004</v>
      </c>
    </row>
    <row r="282" spans="1:10" ht="15.75" thickBot="1" x14ac:dyDescent="0.3">
      <c r="A282" s="212"/>
      <c r="B282" s="126" t="s">
        <v>807</v>
      </c>
      <c r="C282" s="124"/>
      <c r="D282" s="191"/>
      <c r="F282" s="278">
        <f>H268</f>
        <v>565</v>
      </c>
      <c r="G282" s="193" t="s">
        <v>2</v>
      </c>
      <c r="H282" s="197">
        <f>F282</f>
        <v>565</v>
      </c>
      <c r="J282" s="12">
        <f>2*J281</f>
        <v>1127.6600000000001</v>
      </c>
    </row>
    <row r="283" spans="1:10" x14ac:dyDescent="0.25">
      <c r="A283" s="295" t="str">
        <f>ORÇAMENTO!A92</f>
        <v>7.5</v>
      </c>
      <c r="B283" s="735" t="str">
        <f>ORÇAMENTO!D92</f>
        <v>ATERRO COM AREIA COM ADENSAMENTO HIDRAULICO</v>
      </c>
      <c r="C283" s="736"/>
      <c r="D283" s="736"/>
      <c r="E283" s="736"/>
      <c r="F283" s="737"/>
      <c r="G283" s="296" t="s">
        <v>106</v>
      </c>
      <c r="H283" s="297">
        <f>H288</f>
        <v>574.83100000000002</v>
      </c>
    </row>
    <row r="284" spans="1:10" x14ac:dyDescent="0.25">
      <c r="A284" s="205"/>
      <c r="B284" s="121"/>
      <c r="C284" s="207"/>
      <c r="D284" s="207" t="s">
        <v>180</v>
      </c>
      <c r="E284" s="207" t="s">
        <v>443</v>
      </c>
      <c r="F284" s="207" t="s">
        <v>181</v>
      </c>
      <c r="G284" s="207"/>
      <c r="H284" s="208"/>
    </row>
    <row r="285" spans="1:10" x14ac:dyDescent="0.25">
      <c r="A285" s="205" t="s">
        <v>642</v>
      </c>
      <c r="B285" s="121" t="str">
        <f>B281</f>
        <v>ASSENTAMENTO DOS TUBOS DE DRENAGEM PLUVIAL</v>
      </c>
      <c r="C285" s="207"/>
      <c r="D285" s="207">
        <v>565</v>
      </c>
      <c r="E285" s="207">
        <v>1.5</v>
      </c>
      <c r="F285" s="207">
        <v>1</v>
      </c>
      <c r="G285" s="207" t="s">
        <v>106</v>
      </c>
      <c r="H285" s="208">
        <f>F285*E285*D285</f>
        <v>847.5</v>
      </c>
    </row>
    <row r="286" spans="1:10" x14ac:dyDescent="0.25">
      <c r="A286" s="572" t="s">
        <v>643</v>
      </c>
      <c r="B286" s="585" t="s">
        <v>869</v>
      </c>
      <c r="C286" s="207"/>
      <c r="D286" s="207">
        <v>565</v>
      </c>
      <c r="E286" s="207" t="s">
        <v>34</v>
      </c>
      <c r="F286" s="207" t="s">
        <v>872</v>
      </c>
      <c r="G286" s="574" t="s">
        <v>106</v>
      </c>
      <c r="H286" s="208">
        <f>0.2826*D286</f>
        <v>159.66900000000001</v>
      </c>
    </row>
    <row r="287" spans="1:10" x14ac:dyDescent="0.25">
      <c r="A287" s="572" t="s">
        <v>644</v>
      </c>
      <c r="B287" s="585" t="s">
        <v>884</v>
      </c>
      <c r="C287" s="207"/>
      <c r="D287" s="207"/>
      <c r="E287" s="207"/>
      <c r="F287" s="207"/>
      <c r="G287" s="574" t="s">
        <v>106</v>
      </c>
      <c r="H287" s="208">
        <f>H272</f>
        <v>113</v>
      </c>
    </row>
    <row r="288" spans="1:10" ht="15.75" thickBot="1" x14ac:dyDescent="0.3">
      <c r="A288" s="572"/>
      <c r="B288" s="585" t="s">
        <v>871</v>
      </c>
      <c r="C288" s="207"/>
      <c r="D288" s="207"/>
      <c r="E288" s="207"/>
      <c r="F288" s="207"/>
      <c r="G288" s="574" t="s">
        <v>106</v>
      </c>
      <c r="H288" s="208">
        <f>H285-H286-H287</f>
        <v>574.83100000000002</v>
      </c>
    </row>
    <row r="289" spans="1:8" x14ac:dyDescent="0.25">
      <c r="A289" s="295" t="str">
        <f>ORÇAMENTO!A93</f>
        <v>7.6</v>
      </c>
      <c r="B289" s="735" t="str">
        <f>ORÇAMENTO!D93</f>
        <v>TRANSPORTE COMERCIAL DE AGREGADOS - OAE</v>
      </c>
      <c r="C289" s="736"/>
      <c r="D289" s="736"/>
      <c r="E289" s="736"/>
      <c r="F289" s="737"/>
      <c r="G289" s="296" t="s">
        <v>751</v>
      </c>
      <c r="H289" s="297">
        <f>H295</f>
        <v>22119.496880000002</v>
      </c>
    </row>
    <row r="290" spans="1:8" x14ac:dyDescent="0.25">
      <c r="A290" s="205"/>
      <c r="B290" s="121"/>
      <c r="C290" s="207"/>
      <c r="D290" s="207"/>
      <c r="E290" s="207"/>
      <c r="F290" s="207"/>
      <c r="G290" s="207"/>
      <c r="H290" s="208"/>
    </row>
    <row r="291" spans="1:8" x14ac:dyDescent="0.25">
      <c r="A291" s="205"/>
      <c r="B291" s="121" t="s">
        <v>885</v>
      </c>
      <c r="C291" s="207"/>
      <c r="D291" s="207"/>
      <c r="E291" s="207"/>
      <c r="F291" s="207"/>
      <c r="G291" s="207" t="s">
        <v>106</v>
      </c>
      <c r="H291" s="208">
        <f>H283</f>
        <v>574.83100000000002</v>
      </c>
    </row>
    <row r="292" spans="1:8" x14ac:dyDescent="0.25">
      <c r="A292" s="198"/>
      <c r="B292" s="121" t="s">
        <v>761</v>
      </c>
      <c r="C292" s="207"/>
      <c r="D292" s="207"/>
      <c r="E292" s="207"/>
      <c r="F292" s="207"/>
      <c r="G292" s="207" t="s">
        <v>228</v>
      </c>
      <c r="H292" s="208">
        <v>1480</v>
      </c>
    </row>
    <row r="293" spans="1:8" x14ac:dyDescent="0.25">
      <c r="A293" s="205"/>
      <c r="B293" s="121" t="s">
        <v>194</v>
      </c>
      <c r="C293" s="207"/>
      <c r="D293" s="207"/>
      <c r="E293" s="207"/>
      <c r="F293" s="207"/>
      <c r="G293" s="207" t="s">
        <v>195</v>
      </c>
      <c r="H293" s="208">
        <v>30</v>
      </c>
    </row>
    <row r="294" spans="1:8" x14ac:dyDescent="0.25">
      <c r="A294" s="545"/>
      <c r="B294" s="121" t="s">
        <v>873</v>
      </c>
      <c r="C294" s="207"/>
      <c r="D294" s="207"/>
      <c r="E294" s="207"/>
      <c r="F294" s="207"/>
      <c r="G294" s="207" t="s">
        <v>197</v>
      </c>
      <c r="H294" s="208">
        <v>20</v>
      </c>
    </row>
    <row r="295" spans="1:8" ht="15.75" thickBot="1" x14ac:dyDescent="0.3">
      <c r="A295" s="545"/>
      <c r="B295" s="586" t="s">
        <v>11</v>
      </c>
      <c r="C295" s="290"/>
      <c r="D295" s="290"/>
      <c r="E295" s="290"/>
      <c r="F295" s="290"/>
      <c r="G295" s="290" t="s">
        <v>751</v>
      </c>
      <c r="H295" s="291">
        <f>H291*1.48*1.3*H294</f>
        <v>22119.496880000002</v>
      </c>
    </row>
    <row r="296" spans="1:8" ht="28.5" customHeight="1" x14ac:dyDescent="0.25">
      <c r="A296" s="295" t="str">
        <f>ORÇAMENTO!A94</f>
        <v>7.7</v>
      </c>
      <c r="B296" s="735" t="str">
        <f>ORÇAMENTO!D94</f>
        <v>REATERRO DE VALAS C/ COMPACTAÇÃO VIBRATÓRIA</v>
      </c>
      <c r="C296" s="736"/>
      <c r="D296" s="736"/>
      <c r="E296" s="736"/>
      <c r="F296" s="737"/>
      <c r="G296" s="296" t="str">
        <f>ORÇAMENTO!E94</f>
        <v>M3</v>
      </c>
      <c r="H296" s="297">
        <f>H299</f>
        <v>687.83100000000002</v>
      </c>
    </row>
    <row r="297" spans="1:8" ht="15" customHeight="1" x14ac:dyDescent="0.25">
      <c r="A297" s="190" t="s">
        <v>642</v>
      </c>
      <c r="B297" s="126" t="s">
        <v>808</v>
      </c>
      <c r="C297" s="191"/>
      <c r="D297" s="191"/>
      <c r="E297" s="191"/>
      <c r="F297" s="238"/>
      <c r="G297" s="193" t="s">
        <v>106</v>
      </c>
      <c r="H297" s="197">
        <f>CÁLCULO!H267</f>
        <v>847.5</v>
      </c>
    </row>
    <row r="298" spans="1:8" ht="15" customHeight="1" x14ac:dyDescent="0.25">
      <c r="A298" s="190" t="s">
        <v>643</v>
      </c>
      <c r="B298" s="126" t="s">
        <v>809</v>
      </c>
      <c r="C298" s="191"/>
      <c r="D298" s="191"/>
      <c r="E298" s="191"/>
      <c r="F298" s="238"/>
      <c r="G298" s="193" t="s">
        <v>106</v>
      </c>
      <c r="H298" s="197">
        <f>(0.3*0.3)*3.14*H268</f>
        <v>159.66900000000001</v>
      </c>
    </row>
    <row r="299" spans="1:8" ht="15" customHeight="1" x14ac:dyDescent="0.25">
      <c r="A299" s="190" t="s">
        <v>644</v>
      </c>
      <c r="B299" s="126" t="s">
        <v>810</v>
      </c>
      <c r="C299" s="191"/>
      <c r="D299" s="191"/>
      <c r="E299" s="191"/>
      <c r="F299" s="238"/>
      <c r="G299" s="193" t="s">
        <v>106</v>
      </c>
      <c r="H299" s="197">
        <f>H297-H298</f>
        <v>687.83100000000002</v>
      </c>
    </row>
    <row r="300" spans="1:8" ht="30.75" customHeight="1" x14ac:dyDescent="0.25">
      <c r="A300" s="250" t="str">
        <f>ORÇAMENTO!A95</f>
        <v>7.8</v>
      </c>
      <c r="B300" s="732" t="str">
        <f>ORÇAMENTO!D95</f>
        <v>POÇO DE VISITA PARA REDE D=0,60 M, PARTE FIXA C/1,00M DE ALTURA (AC/BC)</v>
      </c>
      <c r="C300" s="733"/>
      <c r="D300" s="733"/>
      <c r="E300" s="733"/>
      <c r="F300" s="734"/>
      <c r="G300" s="251" t="str">
        <f>ORÇAMENTO!E95</f>
        <v>UND.</v>
      </c>
      <c r="H300" s="252">
        <f>H301</f>
        <v>8</v>
      </c>
    </row>
    <row r="301" spans="1:8" ht="15" customHeight="1" x14ac:dyDescent="0.25">
      <c r="A301" s="177"/>
      <c r="B301" s="118" t="s">
        <v>811</v>
      </c>
      <c r="C301" s="178"/>
      <c r="D301" s="178"/>
      <c r="E301" s="178"/>
      <c r="F301" s="179"/>
      <c r="G301" s="180" t="s">
        <v>179</v>
      </c>
      <c r="H301" s="181">
        <v>8</v>
      </c>
    </row>
    <row r="302" spans="1:8" ht="15" customHeight="1" x14ac:dyDescent="0.25">
      <c r="A302" s="250" t="str">
        <f>ORÇAMENTO!A96</f>
        <v>7.9</v>
      </c>
      <c r="B302" s="732" t="str">
        <f>ORÇAMENTO!D96</f>
        <v>ACRÉSCIMO NA ALTURA DO P.V. PARA REDE D= 0,60 M (AC)</v>
      </c>
      <c r="C302" s="733"/>
      <c r="D302" s="733"/>
      <c r="E302" s="733"/>
      <c r="F302" s="734"/>
      <c r="G302" s="251" t="str">
        <f>ORÇAMENTO!E96</f>
        <v>M</v>
      </c>
      <c r="H302" s="252">
        <f>H305</f>
        <v>5.6</v>
      </c>
    </row>
    <row r="303" spans="1:8" ht="15" customHeight="1" x14ac:dyDescent="0.25">
      <c r="A303" s="177"/>
      <c r="B303" s="118" t="s">
        <v>943</v>
      </c>
      <c r="C303" s="178"/>
      <c r="D303" s="178"/>
      <c r="E303" s="178"/>
      <c r="F303" s="179"/>
      <c r="G303" s="180" t="s">
        <v>179</v>
      </c>
      <c r="H303" s="181">
        <f>H300</f>
        <v>8</v>
      </c>
    </row>
    <row r="304" spans="1:8" ht="15" customHeight="1" x14ac:dyDescent="0.25">
      <c r="A304" s="177"/>
      <c r="B304" s="118" t="s">
        <v>812</v>
      </c>
      <c r="C304" s="178"/>
      <c r="D304" s="178"/>
      <c r="E304" s="178"/>
      <c r="F304" s="179"/>
      <c r="G304" s="180" t="s">
        <v>2</v>
      </c>
      <c r="H304" s="233">
        <v>0.7</v>
      </c>
    </row>
    <row r="305" spans="1:8" ht="15" customHeight="1" x14ac:dyDescent="0.25">
      <c r="A305" s="177"/>
      <c r="B305" s="129" t="s">
        <v>11</v>
      </c>
      <c r="C305" s="253"/>
      <c r="D305" s="253"/>
      <c r="E305" s="253"/>
      <c r="F305" s="247"/>
      <c r="G305" s="180" t="s">
        <v>2</v>
      </c>
      <c r="H305" s="181">
        <f>H303*H304</f>
        <v>5.6</v>
      </c>
    </row>
    <row r="306" spans="1:8" ht="29.25" customHeight="1" x14ac:dyDescent="0.25">
      <c r="A306" s="250" t="str">
        <f>ORÇAMENTO!A97</f>
        <v>7.10</v>
      </c>
      <c r="B306" s="732" t="str">
        <f>ORÇAMENTO!D97</f>
        <v>BOCA DE BDTC D=1,00M (AC/BC)</v>
      </c>
      <c r="C306" s="733"/>
      <c r="D306" s="733"/>
      <c r="E306" s="733"/>
      <c r="F306" s="734"/>
      <c r="G306" s="251" t="str">
        <f>ORÇAMENTO!E97</f>
        <v>UND</v>
      </c>
      <c r="H306" s="252">
        <f>H307</f>
        <v>24</v>
      </c>
    </row>
    <row r="307" spans="1:8" ht="15" customHeight="1" x14ac:dyDescent="0.25">
      <c r="A307" s="177"/>
      <c r="B307" s="118" t="s">
        <v>952</v>
      </c>
      <c r="C307" s="178"/>
      <c r="D307" s="178"/>
      <c r="E307" s="178"/>
      <c r="F307" s="179"/>
      <c r="G307" s="180" t="s">
        <v>179</v>
      </c>
      <c r="H307" s="181">
        <v>24</v>
      </c>
    </row>
    <row r="308" spans="1:8" ht="15" customHeight="1" x14ac:dyDescent="0.25">
      <c r="A308" s="250" t="str">
        <f>ORÇAMENTO!A98</f>
        <v>7.11</v>
      </c>
      <c r="B308" s="732" t="str">
        <f>ORÇAMENTO!D98</f>
        <v>BOCA DE BTTC D=1,00M (AC/BC)</v>
      </c>
      <c r="C308" s="733"/>
      <c r="D308" s="733"/>
      <c r="E308" s="733"/>
      <c r="F308" s="734"/>
      <c r="G308" s="251" t="s">
        <v>7</v>
      </c>
      <c r="H308" s="252">
        <f>H309</f>
        <v>2</v>
      </c>
    </row>
    <row r="309" spans="1:8" ht="15" customHeight="1" x14ac:dyDescent="0.25">
      <c r="A309" s="177"/>
      <c r="B309" s="118" t="str">
        <f>B307</f>
        <v>CONFORME PROJETO DRENAGEM PLUVIAL</v>
      </c>
      <c r="C309" s="178"/>
      <c r="D309" s="178"/>
      <c r="E309" s="178"/>
      <c r="F309" s="179"/>
      <c r="G309" s="180" t="s">
        <v>179</v>
      </c>
      <c r="H309" s="181">
        <v>2</v>
      </c>
    </row>
    <row r="310" spans="1:8" ht="29.25" customHeight="1" x14ac:dyDescent="0.25">
      <c r="A310" s="250" t="str">
        <f>ORÇAMENTO!A99</f>
        <v>7.12</v>
      </c>
      <c r="B310" s="732" t="str">
        <f>ORÇAMENTO!D99</f>
        <v>MEIO FIO COM SARJETA - MFC03 (AC/BC)</v>
      </c>
      <c r="C310" s="733"/>
      <c r="D310" s="733"/>
      <c r="E310" s="733"/>
      <c r="F310" s="734"/>
      <c r="G310" s="251" t="str">
        <f>ORÇAMENTO!E99</f>
        <v>M</v>
      </c>
      <c r="H310" s="252">
        <f>SUM(H311:H315)</f>
        <v>1362</v>
      </c>
    </row>
    <row r="311" spans="1:8" ht="15" customHeight="1" x14ac:dyDescent="0.25">
      <c r="A311" s="243"/>
      <c r="B311" s="128"/>
      <c r="C311" s="199"/>
      <c r="D311" s="199"/>
      <c r="E311" s="259" t="s">
        <v>183</v>
      </c>
      <c r="F311" s="259" t="s">
        <v>198</v>
      </c>
      <c r="G311" s="266"/>
      <c r="H311" s="267"/>
    </row>
    <row r="312" spans="1:8" ht="15" customHeight="1" x14ac:dyDescent="0.25">
      <c r="A312" s="177"/>
      <c r="B312" s="134" t="s">
        <v>371</v>
      </c>
      <c r="C312" s="183"/>
      <c r="D312" s="231"/>
      <c r="E312" s="262">
        <v>475</v>
      </c>
      <c r="F312" s="184">
        <v>1</v>
      </c>
      <c r="G312" s="262" t="s">
        <v>96</v>
      </c>
      <c r="H312" s="270">
        <v>475</v>
      </c>
    </row>
    <row r="313" spans="1:8" ht="15" customHeight="1" x14ac:dyDescent="0.25">
      <c r="A313" s="177"/>
      <c r="B313" s="134" t="s">
        <v>374</v>
      </c>
      <c r="C313" s="183"/>
      <c r="D313" s="231"/>
      <c r="E313" s="184">
        <v>483</v>
      </c>
      <c r="F313" s="184">
        <v>1</v>
      </c>
      <c r="G313" s="262" t="s">
        <v>96</v>
      </c>
      <c r="H313" s="270">
        <f>E313</f>
        <v>483</v>
      </c>
    </row>
    <row r="314" spans="1:8" x14ac:dyDescent="0.25">
      <c r="A314" s="190"/>
      <c r="B314" s="126" t="s">
        <v>378</v>
      </c>
      <c r="C314" s="282"/>
      <c r="D314" s="199"/>
      <c r="E314" s="273">
        <v>248</v>
      </c>
      <c r="F314" s="277">
        <v>1</v>
      </c>
      <c r="G314" s="274" t="s">
        <v>96</v>
      </c>
      <c r="H314" s="275">
        <f t="shared" ref="H314:H315" si="8">F314*E314</f>
        <v>248</v>
      </c>
    </row>
    <row r="315" spans="1:8" x14ac:dyDescent="0.25">
      <c r="A315" s="190"/>
      <c r="B315" s="137" t="s">
        <v>379</v>
      </c>
      <c r="C315" s="207"/>
      <c r="D315" s="207"/>
      <c r="E315" s="273">
        <v>78</v>
      </c>
      <c r="F315" s="277">
        <v>2</v>
      </c>
      <c r="G315" s="274" t="s">
        <v>96</v>
      </c>
      <c r="H315" s="275">
        <f t="shared" si="8"/>
        <v>156</v>
      </c>
    </row>
    <row r="316" spans="1:8" ht="15" customHeight="1" x14ac:dyDescent="0.25">
      <c r="A316" s="250" t="str">
        <f>ORÇAMENTO!A100</f>
        <v>7.13</v>
      </c>
      <c r="B316" s="732" t="str">
        <f>ORÇAMENTO!D100</f>
        <v>MEIO FIO SEM SARJETA - MFC05 (AC/BC)</v>
      </c>
      <c r="C316" s="733"/>
      <c r="D316" s="733"/>
      <c r="E316" s="733"/>
      <c r="F316" s="734"/>
      <c r="G316" s="251" t="str">
        <f>ORÇAMENTO!E100</f>
        <v>M</v>
      </c>
      <c r="H316" s="252">
        <f>SUM(H318:H325)</f>
        <v>1731</v>
      </c>
    </row>
    <row r="317" spans="1:8" ht="15" customHeight="1" x14ac:dyDescent="0.25">
      <c r="A317" s="243"/>
      <c r="B317" s="128"/>
      <c r="C317" s="199"/>
      <c r="D317" s="199"/>
      <c r="E317" s="259" t="s">
        <v>183</v>
      </c>
      <c r="F317" s="259" t="s">
        <v>198</v>
      </c>
      <c r="G317" s="266"/>
      <c r="H317" s="267"/>
    </row>
    <row r="318" spans="1:8" ht="15" customHeight="1" x14ac:dyDescent="0.25">
      <c r="A318" s="177"/>
      <c r="B318" s="134" t="s">
        <v>369</v>
      </c>
      <c r="C318" s="182"/>
      <c r="D318" s="271"/>
      <c r="E318" s="262">
        <f>111+150</f>
        <v>261</v>
      </c>
      <c r="F318" s="262">
        <v>1</v>
      </c>
      <c r="G318" s="262" t="s">
        <v>96</v>
      </c>
      <c r="H318" s="270">
        <f t="shared" ref="H318:H325" si="9">F318*E318</f>
        <v>261</v>
      </c>
    </row>
    <row r="319" spans="1:8" ht="15" customHeight="1" x14ac:dyDescent="0.25">
      <c r="A319" s="177"/>
      <c r="B319" s="134" t="s">
        <v>370</v>
      </c>
      <c r="C319" s="183"/>
      <c r="D319" s="231"/>
      <c r="E319" s="262">
        <v>255</v>
      </c>
      <c r="F319" s="262">
        <v>1</v>
      </c>
      <c r="G319" s="262" t="s">
        <v>96</v>
      </c>
      <c r="H319" s="270">
        <f t="shared" si="9"/>
        <v>255</v>
      </c>
    </row>
    <row r="320" spans="1:8" ht="15" customHeight="1" x14ac:dyDescent="0.25">
      <c r="A320" s="177"/>
      <c r="B320" s="134" t="s">
        <v>372</v>
      </c>
      <c r="C320" s="183"/>
      <c r="D320" s="231"/>
      <c r="E320" s="262">
        <v>260</v>
      </c>
      <c r="F320" s="184">
        <v>1</v>
      </c>
      <c r="G320" s="262" t="s">
        <v>96</v>
      </c>
      <c r="H320" s="270">
        <f t="shared" si="9"/>
        <v>260</v>
      </c>
    </row>
    <row r="321" spans="1:8" ht="15" customHeight="1" x14ac:dyDescent="0.25">
      <c r="A321" s="177"/>
      <c r="B321" s="134" t="s">
        <v>373</v>
      </c>
      <c r="C321" s="183"/>
      <c r="D321" s="231"/>
      <c r="E321" s="184">
        <v>233</v>
      </c>
      <c r="F321" s="184">
        <v>1</v>
      </c>
      <c r="G321" s="262" t="s">
        <v>96</v>
      </c>
      <c r="H321" s="270">
        <f t="shared" si="9"/>
        <v>233</v>
      </c>
    </row>
    <row r="322" spans="1:8" ht="15" customHeight="1" x14ac:dyDescent="0.25">
      <c r="A322" s="177"/>
      <c r="B322" s="118" t="s">
        <v>375</v>
      </c>
      <c r="C322" s="183"/>
      <c r="D322" s="231"/>
      <c r="E322" s="263">
        <v>97</v>
      </c>
      <c r="F322" s="263">
        <v>1</v>
      </c>
      <c r="G322" s="262" t="s">
        <v>96</v>
      </c>
      <c r="H322" s="270">
        <f t="shared" si="9"/>
        <v>97</v>
      </c>
    </row>
    <row r="323" spans="1:8" ht="15" customHeight="1" x14ac:dyDescent="0.25">
      <c r="A323" s="190"/>
      <c r="B323" s="118" t="s">
        <v>376</v>
      </c>
      <c r="C323" s="199"/>
      <c r="D323" s="272"/>
      <c r="E323" s="273">
        <v>224</v>
      </c>
      <c r="F323" s="273">
        <v>1</v>
      </c>
      <c r="G323" s="274" t="s">
        <v>96</v>
      </c>
      <c r="H323" s="275">
        <f t="shared" si="9"/>
        <v>224</v>
      </c>
    </row>
    <row r="324" spans="1:8" x14ac:dyDescent="0.25">
      <c r="A324" s="190"/>
      <c r="B324" s="126" t="s">
        <v>377</v>
      </c>
      <c r="C324" s="276"/>
      <c r="D324" s="276"/>
      <c r="E324" s="273">
        <v>245</v>
      </c>
      <c r="F324" s="277">
        <v>1</v>
      </c>
      <c r="G324" s="274" t="s">
        <v>96</v>
      </c>
      <c r="H324" s="275">
        <f t="shared" si="9"/>
        <v>245</v>
      </c>
    </row>
    <row r="325" spans="1:8" ht="15.75" thickBot="1" x14ac:dyDescent="0.3">
      <c r="A325" s="190"/>
      <c r="B325" s="126" t="s">
        <v>379</v>
      </c>
      <c r="C325" s="199"/>
      <c r="D325" s="199"/>
      <c r="E325" s="273">
        <v>78</v>
      </c>
      <c r="F325" s="277">
        <v>2</v>
      </c>
      <c r="G325" s="274" t="s">
        <v>96</v>
      </c>
      <c r="H325" s="275">
        <f t="shared" si="9"/>
        <v>156</v>
      </c>
    </row>
    <row r="326" spans="1:8" ht="15" customHeight="1" thickBot="1" x14ac:dyDescent="0.3">
      <c r="A326" s="153">
        <f>ORÇAMENTO!A103</f>
        <v>8</v>
      </c>
      <c r="B326" s="116" t="s">
        <v>215</v>
      </c>
      <c r="C326" s="162"/>
      <c r="D326" s="162"/>
      <c r="E326" s="162"/>
      <c r="F326" s="162"/>
      <c r="G326" s="162"/>
      <c r="H326" s="260"/>
    </row>
    <row r="327" spans="1:8" ht="15" customHeight="1" x14ac:dyDescent="0.25">
      <c r="A327" s="250" t="str">
        <f>ORÇAMENTO!A104</f>
        <v>8.1</v>
      </c>
      <c r="B327" s="735" t="str">
        <f>ORÇAMENTO!D104</f>
        <v>SINALIZAÇÃO HORIZONTAL COM RESINA ACRÍLICA</v>
      </c>
      <c r="C327" s="736"/>
      <c r="D327" s="736"/>
      <c r="E327" s="736"/>
      <c r="F327" s="737"/>
      <c r="G327" s="251" t="str">
        <f>ORÇAMENTO!E104</f>
        <v>M2</v>
      </c>
      <c r="H327" s="252">
        <f>SUM(H329:H340)</f>
        <v>411.14840000000004</v>
      </c>
    </row>
    <row r="328" spans="1:8" ht="15" customHeight="1" x14ac:dyDescent="0.25">
      <c r="A328" s="243"/>
      <c r="B328" s="128"/>
      <c r="C328" s="258"/>
      <c r="D328" s="259"/>
      <c r="E328" s="259"/>
      <c r="F328" s="259" t="s">
        <v>193</v>
      </c>
      <c r="G328" s="262" t="s">
        <v>96</v>
      </c>
      <c r="H328" s="267" t="str">
        <f>F328</f>
        <v>ÁREA</v>
      </c>
    </row>
    <row r="329" spans="1:8" ht="15" customHeight="1" x14ac:dyDescent="0.25">
      <c r="A329" s="168"/>
      <c r="B329" s="134" t="s">
        <v>470</v>
      </c>
      <c r="C329" s="271"/>
      <c r="D329" s="170"/>
      <c r="E329" s="170"/>
      <c r="F329" s="170">
        <v>106.95</v>
      </c>
      <c r="G329" s="262" t="s">
        <v>106</v>
      </c>
      <c r="H329" s="176">
        <f>F329</f>
        <v>106.95</v>
      </c>
    </row>
    <row r="330" spans="1:8" ht="15" customHeight="1" x14ac:dyDescent="0.25">
      <c r="A330" s="168"/>
      <c r="B330" s="134" t="s">
        <v>471</v>
      </c>
      <c r="C330" s="271"/>
      <c r="D330" s="170"/>
      <c r="E330" s="170"/>
      <c r="F330" s="170">
        <v>104.47</v>
      </c>
      <c r="G330" s="262" t="s">
        <v>477</v>
      </c>
      <c r="H330" s="176">
        <f t="shared" ref="H330:H340" si="10">F330</f>
        <v>104.47</v>
      </c>
    </row>
    <row r="331" spans="1:8" ht="15" customHeight="1" x14ac:dyDescent="0.25">
      <c r="A331" s="168"/>
      <c r="B331" s="134" t="s">
        <v>472</v>
      </c>
      <c r="C331" s="271"/>
      <c r="D331" s="170"/>
      <c r="E331" s="170"/>
      <c r="F331" s="170">
        <v>29.42</v>
      </c>
      <c r="G331" s="262" t="s">
        <v>478</v>
      </c>
      <c r="H331" s="176">
        <f t="shared" si="10"/>
        <v>29.42</v>
      </c>
    </row>
    <row r="332" spans="1:8" ht="15" customHeight="1" x14ac:dyDescent="0.25">
      <c r="A332" s="168"/>
      <c r="B332" s="134" t="s">
        <v>473</v>
      </c>
      <c r="C332" s="271"/>
      <c r="D332" s="170"/>
      <c r="E332" s="170"/>
      <c r="F332" s="170">
        <v>25.85</v>
      </c>
      <c r="G332" s="262" t="s">
        <v>479</v>
      </c>
      <c r="H332" s="176">
        <f t="shared" si="10"/>
        <v>25.85</v>
      </c>
    </row>
    <row r="333" spans="1:8" ht="15" customHeight="1" x14ac:dyDescent="0.25">
      <c r="A333" s="168"/>
      <c r="B333" s="118" t="s">
        <v>375</v>
      </c>
      <c r="C333" s="271"/>
      <c r="D333" s="170"/>
      <c r="E333" s="170"/>
      <c r="F333" s="170">
        <v>39.270000000000003</v>
      </c>
      <c r="G333" s="262" t="s">
        <v>480</v>
      </c>
      <c r="H333" s="176">
        <f t="shared" si="10"/>
        <v>39.270000000000003</v>
      </c>
    </row>
    <row r="334" spans="1:8" ht="15" customHeight="1" x14ac:dyDescent="0.25">
      <c r="A334" s="168"/>
      <c r="B334" s="118" t="s">
        <v>376</v>
      </c>
      <c r="C334" s="271"/>
      <c r="D334" s="170"/>
      <c r="E334" s="170"/>
      <c r="F334" s="170">
        <v>39.299999999999997</v>
      </c>
      <c r="G334" s="262" t="s">
        <v>481</v>
      </c>
      <c r="H334" s="176">
        <f t="shared" si="10"/>
        <v>39.299999999999997</v>
      </c>
    </row>
    <row r="335" spans="1:8" ht="22.5" customHeight="1" x14ac:dyDescent="0.25">
      <c r="A335" s="177"/>
      <c r="B335" s="126" t="s">
        <v>435</v>
      </c>
      <c r="C335" s="231"/>
      <c r="D335" s="262"/>
      <c r="E335" s="262"/>
      <c r="F335" s="170">
        <f>2*0.4543</f>
        <v>0.90859999999999996</v>
      </c>
      <c r="G335" s="262" t="s">
        <v>96</v>
      </c>
      <c r="H335" s="176">
        <f t="shared" si="10"/>
        <v>0.90859999999999996</v>
      </c>
    </row>
    <row r="336" spans="1:8" ht="15" customHeight="1" x14ac:dyDescent="0.25">
      <c r="A336" s="177"/>
      <c r="B336" s="126" t="s">
        <v>379</v>
      </c>
      <c r="C336" s="231"/>
      <c r="D336" s="262"/>
      <c r="E336" s="184"/>
      <c r="F336" s="170">
        <v>10.71</v>
      </c>
      <c r="G336" s="262" t="s">
        <v>96</v>
      </c>
      <c r="H336" s="176">
        <f t="shared" si="10"/>
        <v>10.71</v>
      </c>
    </row>
    <row r="337" spans="1:8" ht="15" customHeight="1" x14ac:dyDescent="0.25">
      <c r="A337" s="177"/>
      <c r="B337" s="118" t="s">
        <v>474</v>
      </c>
      <c r="C337" s="231"/>
      <c r="D337" s="184"/>
      <c r="E337" s="184"/>
      <c r="F337" s="170">
        <v>9.5696999999999992</v>
      </c>
      <c r="G337" s="180" t="s">
        <v>96</v>
      </c>
      <c r="H337" s="176">
        <f t="shared" si="10"/>
        <v>9.5696999999999992</v>
      </c>
    </row>
    <row r="338" spans="1:8" ht="15" customHeight="1" x14ac:dyDescent="0.25">
      <c r="A338" s="177"/>
      <c r="B338" s="118" t="s">
        <v>475</v>
      </c>
      <c r="C338" s="231"/>
      <c r="D338" s="184"/>
      <c r="E338" s="184"/>
      <c r="F338" s="170">
        <v>20.350000000000001</v>
      </c>
      <c r="G338" s="180" t="s">
        <v>96</v>
      </c>
      <c r="H338" s="176">
        <f t="shared" si="10"/>
        <v>20.350000000000001</v>
      </c>
    </row>
    <row r="339" spans="1:8" ht="15" customHeight="1" x14ac:dyDescent="0.25">
      <c r="A339" s="177"/>
      <c r="B339" s="118" t="s">
        <v>368</v>
      </c>
      <c r="C339" s="231"/>
      <c r="D339" s="184"/>
      <c r="E339" s="184"/>
      <c r="F339" s="170">
        <v>9.9611999999999998</v>
      </c>
      <c r="G339" s="180" t="s">
        <v>96</v>
      </c>
      <c r="H339" s="176">
        <f t="shared" si="10"/>
        <v>9.9611999999999998</v>
      </c>
    </row>
    <row r="340" spans="1:8" ht="15" customHeight="1" x14ac:dyDescent="0.25">
      <c r="A340" s="177"/>
      <c r="B340" s="118" t="s">
        <v>476</v>
      </c>
      <c r="C340" s="283"/>
      <c r="D340" s="184"/>
      <c r="E340" s="184"/>
      <c r="F340" s="170">
        <v>14.3889</v>
      </c>
      <c r="G340" s="180" t="s">
        <v>96</v>
      </c>
      <c r="H340" s="176">
        <f t="shared" si="10"/>
        <v>14.3889</v>
      </c>
    </row>
    <row r="341" spans="1:8" ht="15" customHeight="1" x14ac:dyDescent="0.25">
      <c r="A341" s="250" t="str">
        <f>ORÇAMENTO!A105</f>
        <v>8.2</v>
      </c>
      <c r="B341" s="748" t="str">
        <f>ORÇAMENTO!D105</f>
        <v>PINTURA À CAL (3 DEMÃOS)</v>
      </c>
      <c r="C341" s="749"/>
      <c r="D341" s="749"/>
      <c r="E341" s="749"/>
      <c r="F341" s="750"/>
      <c r="G341" s="251" t="str">
        <f>ORÇAMENTO!E105</f>
        <v xml:space="preserve"> M2</v>
      </c>
      <c r="H341" s="252">
        <f>H344</f>
        <v>1237.2</v>
      </c>
    </row>
    <row r="342" spans="1:8" ht="15" customHeight="1" x14ac:dyDescent="0.25">
      <c r="A342" s="177"/>
      <c r="B342" s="133" t="s">
        <v>216</v>
      </c>
      <c r="C342" s="257"/>
      <c r="D342" s="257"/>
      <c r="E342" s="257"/>
      <c r="F342" s="258"/>
      <c r="G342" s="180" t="s">
        <v>2</v>
      </c>
      <c r="H342" s="181">
        <f>H310+H316</f>
        <v>3093</v>
      </c>
    </row>
    <row r="343" spans="1:8" ht="15" customHeight="1" x14ac:dyDescent="0.25">
      <c r="A343" s="177"/>
      <c r="B343" s="134" t="s">
        <v>217</v>
      </c>
      <c r="C343" s="183"/>
      <c r="D343" s="183"/>
      <c r="E343" s="183"/>
      <c r="F343" s="231"/>
      <c r="G343" s="180" t="s">
        <v>2</v>
      </c>
      <c r="H343" s="181">
        <v>0.4</v>
      </c>
    </row>
    <row r="344" spans="1:8" ht="15" customHeight="1" x14ac:dyDescent="0.25">
      <c r="A344" s="177"/>
      <c r="B344" s="134" t="s">
        <v>11</v>
      </c>
      <c r="C344" s="183"/>
      <c r="D344" s="183"/>
      <c r="E344" s="183"/>
      <c r="F344" s="231"/>
      <c r="G344" s="180" t="s">
        <v>96</v>
      </c>
      <c r="H344" s="181">
        <f>H342*H343</f>
        <v>1237.2</v>
      </c>
    </row>
    <row r="345" spans="1:8" ht="15" customHeight="1" x14ac:dyDescent="0.25">
      <c r="A345" s="250" t="str">
        <f>ORÇAMENTO!A106</f>
        <v>8.3</v>
      </c>
      <c r="B345" s="732" t="str">
        <f>ORÇAMENTO!D106</f>
        <v>PLACA ESMALTADA PARA IDENTIFICAÇÃO NR DE RUA, DIMENSÕES 45X25CM</v>
      </c>
      <c r="C345" s="733"/>
      <c r="D345" s="733"/>
      <c r="E345" s="733"/>
      <c r="F345" s="734"/>
      <c r="G345" s="251" t="str">
        <f>ORÇAMENTO!E106</f>
        <v>UND</v>
      </c>
      <c r="H345" s="252">
        <f>H346</f>
        <v>4</v>
      </c>
    </row>
    <row r="346" spans="1:8" ht="15" customHeight="1" x14ac:dyDescent="0.25">
      <c r="A346" s="177"/>
      <c r="B346" s="128" t="s">
        <v>218</v>
      </c>
      <c r="C346" s="255"/>
      <c r="D346" s="255"/>
      <c r="E346" s="255"/>
      <c r="F346" s="284"/>
      <c r="G346" s="180" t="s">
        <v>179</v>
      </c>
      <c r="H346" s="181">
        <v>4</v>
      </c>
    </row>
    <row r="347" spans="1:8" ht="15" customHeight="1" x14ac:dyDescent="0.25">
      <c r="A347" s="250" t="str">
        <f>ORÇAMENTO!A107</f>
        <v>8.4</v>
      </c>
      <c r="B347" s="732" t="str">
        <f>ORÇAMENTO!D107</f>
        <v>SINALIZAÇÃO VERTICAL TOTALMENTE REFLETIVA -CHAPA DE ALUMÍNIO</v>
      </c>
      <c r="C347" s="733"/>
      <c r="D347" s="733"/>
      <c r="E347" s="733"/>
      <c r="F347" s="734"/>
      <c r="G347" s="251" t="str">
        <f>ORÇAMENTO!E107</f>
        <v>M2</v>
      </c>
      <c r="H347" s="252">
        <f>H348</f>
        <v>81.11</v>
      </c>
    </row>
    <row r="348" spans="1:8" ht="15" customHeight="1" x14ac:dyDescent="0.25">
      <c r="A348" s="177"/>
      <c r="B348" s="128" t="s">
        <v>486</v>
      </c>
      <c r="C348" s="255"/>
      <c r="D348" s="255"/>
      <c r="E348" s="255"/>
      <c r="F348" s="284"/>
      <c r="G348" s="180" t="s">
        <v>96</v>
      </c>
      <c r="H348" s="181">
        <v>81.11</v>
      </c>
    </row>
    <row r="349" spans="1:8" ht="15" customHeight="1" x14ac:dyDescent="0.25">
      <c r="A349" s="250" t="str">
        <f>ORÇAMENTO!A108</f>
        <v>8.5</v>
      </c>
      <c r="B349" s="732" t="str">
        <f>ORÇAMENTO!D108</f>
        <v>TACHA REFLETIVA MONODIRECIONAL</v>
      </c>
      <c r="C349" s="733"/>
      <c r="D349" s="733"/>
      <c r="E349" s="733"/>
      <c r="F349" s="734"/>
      <c r="G349" s="251" t="str">
        <f>ORÇAMENTO!E109</f>
        <v>UND</v>
      </c>
      <c r="H349" s="252">
        <f>H350</f>
        <v>866</v>
      </c>
    </row>
    <row r="350" spans="1:8" ht="15" customHeight="1" x14ac:dyDescent="0.25">
      <c r="A350" s="190"/>
      <c r="B350" s="147"/>
      <c r="C350" s="289"/>
      <c r="D350" s="289"/>
      <c r="E350" s="289"/>
      <c r="F350" s="292"/>
      <c r="G350" s="193" t="s">
        <v>179</v>
      </c>
      <c r="H350" s="197">
        <v>866</v>
      </c>
    </row>
    <row r="351" spans="1:8" ht="15" customHeight="1" x14ac:dyDescent="0.25">
      <c r="A351" s="250" t="str">
        <f>ORÇAMENTO!A109</f>
        <v>8.6</v>
      </c>
      <c r="B351" s="732" t="str">
        <f>ORÇAMENTO!D109</f>
        <v>TACHÃO REFLETIVO MONODIRECIONAL</v>
      </c>
      <c r="C351" s="733"/>
      <c r="D351" s="733"/>
      <c r="E351" s="733"/>
      <c r="F351" s="734"/>
      <c r="G351" s="251" t="str">
        <f>ORÇAMENTO!E109</f>
        <v>UND</v>
      </c>
      <c r="H351" s="252">
        <f>H352</f>
        <v>154</v>
      </c>
    </row>
    <row r="352" spans="1:8" ht="15" customHeight="1" thickBot="1" x14ac:dyDescent="0.3">
      <c r="A352" s="606"/>
      <c r="B352" s="773"/>
      <c r="C352" s="774"/>
      <c r="D352" s="774"/>
      <c r="E352" s="774"/>
      <c r="F352" s="775"/>
      <c r="G352" s="607" t="s">
        <v>179</v>
      </c>
      <c r="H352" s="608">
        <v>154</v>
      </c>
    </row>
    <row r="353" spans="1:8" ht="15" customHeight="1" thickBot="1" x14ac:dyDescent="0.3">
      <c r="A353" s="153">
        <f>ORÇAMENTO!A112</f>
        <v>9</v>
      </c>
      <c r="B353" s="116" t="s">
        <v>1021</v>
      </c>
      <c r="C353" s="162"/>
      <c r="D353" s="162"/>
      <c r="E353" s="162"/>
      <c r="F353" s="162"/>
      <c r="G353" s="162"/>
      <c r="H353" s="260"/>
    </row>
    <row r="354" spans="1:8" ht="15" customHeight="1" x14ac:dyDescent="0.25">
      <c r="A354" s="250" t="str">
        <f>ORÇAMENTO!A113</f>
        <v>9.1</v>
      </c>
      <c r="B354" s="770" t="str">
        <f>ORÇAMENTO!D113</f>
        <v>ESTACAS TRIPLO TRILHO TR 37 - COM EMENDA - FORNECIMENTO E CRAVAÇÃO</v>
      </c>
      <c r="C354" s="771"/>
      <c r="D354" s="771"/>
      <c r="E354" s="771"/>
      <c r="F354" s="772"/>
      <c r="G354" s="251" t="str">
        <f>ORÇAMENTO!E113</f>
        <v>M</v>
      </c>
      <c r="H354" s="252">
        <f>H360</f>
        <v>720</v>
      </c>
    </row>
    <row r="355" spans="1:8" ht="15" customHeight="1" x14ac:dyDescent="0.25">
      <c r="A355" s="177"/>
      <c r="B355" s="133" t="s">
        <v>219</v>
      </c>
      <c r="C355" s="257"/>
      <c r="D355" s="257"/>
      <c r="E355" s="257"/>
      <c r="F355" s="258"/>
      <c r="G355" s="180" t="s">
        <v>179</v>
      </c>
      <c r="H355" s="181">
        <v>14</v>
      </c>
    </row>
    <row r="356" spans="1:8" ht="15" customHeight="1" x14ac:dyDescent="0.25">
      <c r="A356" s="177"/>
      <c r="B356" s="134" t="s">
        <v>220</v>
      </c>
      <c r="C356" s="183"/>
      <c r="D356" s="183"/>
      <c r="E356" s="183"/>
      <c r="F356" s="231"/>
      <c r="G356" s="180" t="s">
        <v>179</v>
      </c>
      <c r="H356" s="181">
        <v>2</v>
      </c>
    </row>
    <row r="357" spans="1:8" ht="15" customHeight="1" x14ac:dyDescent="0.25">
      <c r="A357" s="177"/>
      <c r="B357" s="134" t="s">
        <v>221</v>
      </c>
      <c r="C357" s="183"/>
      <c r="D357" s="183"/>
      <c r="E357" s="183"/>
      <c r="F357" s="231"/>
      <c r="G357" s="180" t="s">
        <v>2</v>
      </c>
      <c r="H357" s="181">
        <v>12</v>
      </c>
    </row>
    <row r="358" spans="1:8" ht="15" customHeight="1" x14ac:dyDescent="0.25">
      <c r="A358" s="177"/>
      <c r="B358" s="134" t="s">
        <v>222</v>
      </c>
      <c r="C358" s="183"/>
      <c r="D358" s="183"/>
      <c r="E358" s="183"/>
      <c r="F358" s="231"/>
      <c r="G358" s="180" t="s">
        <v>179</v>
      </c>
      <c r="H358" s="181">
        <v>2</v>
      </c>
    </row>
    <row r="359" spans="1:8" ht="15" customHeight="1" x14ac:dyDescent="0.25">
      <c r="A359" s="177"/>
      <c r="B359" s="134" t="s">
        <v>1009</v>
      </c>
      <c r="C359" s="183"/>
      <c r="D359" s="183"/>
      <c r="E359" s="183" t="s">
        <v>1010</v>
      </c>
      <c r="F359" s="231" t="s">
        <v>1011</v>
      </c>
      <c r="G359" s="180" t="s">
        <v>179</v>
      </c>
      <c r="H359" s="181">
        <v>4</v>
      </c>
    </row>
    <row r="360" spans="1:8" ht="15" customHeight="1" x14ac:dyDescent="0.25">
      <c r="A360" s="177"/>
      <c r="B360" s="134" t="s">
        <v>11</v>
      </c>
      <c r="C360" s="183"/>
      <c r="D360" s="183"/>
      <c r="E360" s="183"/>
      <c r="F360" s="231"/>
      <c r="G360" s="180" t="s">
        <v>2</v>
      </c>
      <c r="H360" s="181">
        <f>H355*H356*H357*H358+(4*12)</f>
        <v>720</v>
      </c>
    </row>
    <row r="361" spans="1:8" ht="15" customHeight="1" x14ac:dyDescent="0.25">
      <c r="A361" s="250" t="str">
        <f>ORÇAMENTO!A114</f>
        <v>9.2</v>
      </c>
      <c r="B361" s="138" t="str">
        <f>ORÇAMENTO!D114</f>
        <v>ESCAVAÇÃO MEC. DE VALAS DE MAT. 3ª CAT. (INCL. TRANSPORTE)</v>
      </c>
      <c r="C361" s="139"/>
      <c r="D361" s="139"/>
      <c r="E361" s="139"/>
      <c r="F361" s="140"/>
      <c r="G361" s="251" t="s">
        <v>106</v>
      </c>
      <c r="H361" s="252">
        <f>H363</f>
        <v>52.415999999999997</v>
      </c>
    </row>
    <row r="362" spans="1:8" ht="15" customHeight="1" x14ac:dyDescent="0.25">
      <c r="A362" s="212"/>
      <c r="B362" s="587"/>
      <c r="C362" s="261" t="s">
        <v>227</v>
      </c>
      <c r="D362" s="261" t="s">
        <v>180</v>
      </c>
      <c r="E362" s="261" t="s">
        <v>231</v>
      </c>
      <c r="F362" s="322" t="s">
        <v>181</v>
      </c>
      <c r="G362" s="207"/>
      <c r="H362" s="197"/>
    </row>
    <row r="363" spans="1:8" ht="15" customHeight="1" x14ac:dyDescent="0.25">
      <c r="A363" s="212"/>
      <c r="B363" s="130" t="s">
        <v>887</v>
      </c>
      <c r="C363" s="261">
        <v>28</v>
      </c>
      <c r="D363" s="261">
        <v>2.6</v>
      </c>
      <c r="E363" s="261">
        <v>1.2</v>
      </c>
      <c r="F363" s="322">
        <v>0.6</v>
      </c>
      <c r="G363" s="207" t="s">
        <v>106</v>
      </c>
      <c r="H363" s="197">
        <f>F363*E363*D363*C363</f>
        <v>52.415999999999997</v>
      </c>
    </row>
    <row r="364" spans="1:8" ht="15" customHeight="1" x14ac:dyDescent="0.25">
      <c r="A364" s="250" t="str">
        <f>ORÇAMENTO!A115</f>
        <v>9.3</v>
      </c>
      <c r="B364" s="479" t="str">
        <f>ORÇAMENTO!D115</f>
        <v>FORMA CHAPA COMPENSADA RESINADA 12 MM (INCLUSO DESFORMA) - INFRAESTRUTURA</v>
      </c>
      <c r="C364" s="504" t="s">
        <v>227</v>
      </c>
      <c r="D364" s="504" t="s">
        <v>231</v>
      </c>
      <c r="E364" s="504" t="s">
        <v>181</v>
      </c>
      <c r="F364" s="504" t="s">
        <v>180</v>
      </c>
      <c r="G364" s="251" t="s">
        <v>96</v>
      </c>
      <c r="H364" s="252">
        <f>H369</f>
        <v>305.76000000000005</v>
      </c>
    </row>
    <row r="365" spans="1:8" ht="15" customHeight="1" x14ac:dyDescent="0.25">
      <c r="A365" s="177"/>
      <c r="B365" s="118" t="s">
        <v>256</v>
      </c>
      <c r="C365" s="184">
        <v>14</v>
      </c>
      <c r="D365" s="184">
        <v>1.2</v>
      </c>
      <c r="E365" s="184">
        <v>0.6</v>
      </c>
      <c r="F365" s="184">
        <v>2.6</v>
      </c>
      <c r="G365" s="184" t="s">
        <v>96</v>
      </c>
      <c r="H365" s="270">
        <f>C365*D365*2*(E365+F365)</f>
        <v>107.52000000000001</v>
      </c>
    </row>
    <row r="366" spans="1:8" ht="15" customHeight="1" x14ac:dyDescent="0.25">
      <c r="A366" s="177"/>
      <c r="B366" s="118" t="s">
        <v>717</v>
      </c>
      <c r="C366" s="184">
        <v>7</v>
      </c>
      <c r="D366" s="184">
        <v>0.6</v>
      </c>
      <c r="E366" s="184">
        <v>0.35</v>
      </c>
      <c r="F366" s="184">
        <v>5.4</v>
      </c>
      <c r="G366" s="184" t="s">
        <v>96</v>
      </c>
      <c r="H366" s="270">
        <f>C366*D366*2*(F366)</f>
        <v>45.360000000000007</v>
      </c>
    </row>
    <row r="367" spans="1:8" ht="15" customHeight="1" x14ac:dyDescent="0.25">
      <c r="A367" s="177"/>
      <c r="B367" s="118"/>
      <c r="C367" s="234"/>
      <c r="D367" s="234"/>
      <c r="E367" s="234"/>
      <c r="F367" s="285"/>
      <c r="G367" s="180" t="s">
        <v>224</v>
      </c>
      <c r="H367" s="181">
        <f>SUM(H365:H366)</f>
        <v>152.88000000000002</v>
      </c>
    </row>
    <row r="368" spans="1:8" ht="13.5" customHeight="1" x14ac:dyDescent="0.25">
      <c r="A368" s="177"/>
      <c r="B368" s="118"/>
      <c r="C368" s="234"/>
      <c r="D368" s="234"/>
      <c r="E368" s="234"/>
      <c r="F368" s="285"/>
      <c r="G368" s="180" t="s">
        <v>225</v>
      </c>
      <c r="H368" s="181">
        <v>2</v>
      </c>
    </row>
    <row r="369" spans="1:8" ht="15" customHeight="1" x14ac:dyDescent="0.25">
      <c r="A369" s="288"/>
      <c r="B369" s="129"/>
      <c r="C369" s="286"/>
      <c r="D369" s="286"/>
      <c r="E369" s="286"/>
      <c r="F369" s="510"/>
      <c r="G369" s="180" t="s">
        <v>11</v>
      </c>
      <c r="H369" s="181">
        <f>H368*H367</f>
        <v>305.76000000000005</v>
      </c>
    </row>
    <row r="370" spans="1:8" ht="15" customHeight="1" x14ac:dyDescent="0.25">
      <c r="A370" s="250" t="str">
        <f>ORÇAMENTO!A116</f>
        <v>9.4</v>
      </c>
      <c r="B370" s="732" t="str">
        <f>ORÇAMENTO!D116</f>
        <v>CONCRETO FCK=20 MPA (AC/BC)</v>
      </c>
      <c r="C370" s="733"/>
      <c r="D370" s="733"/>
      <c r="E370" s="733"/>
      <c r="F370" s="734"/>
      <c r="G370" s="251" t="str">
        <f>ORÇAMENTO!E116</f>
        <v>M3</v>
      </c>
      <c r="H370" s="252">
        <f>H372</f>
        <v>59.50559999999998</v>
      </c>
    </row>
    <row r="371" spans="1:8" ht="15" customHeight="1" x14ac:dyDescent="0.25">
      <c r="A371" s="243"/>
      <c r="B371" s="142"/>
      <c r="C371" s="504" t="s">
        <v>227</v>
      </c>
      <c r="D371" s="504" t="s">
        <v>438</v>
      </c>
      <c r="E371" s="504" t="s">
        <v>181</v>
      </c>
      <c r="F371" s="504" t="s">
        <v>231</v>
      </c>
      <c r="G371" s="266" t="s">
        <v>106</v>
      </c>
      <c r="H371" s="267" t="s">
        <v>11</v>
      </c>
    </row>
    <row r="372" spans="1:8" ht="15" customHeight="1" x14ac:dyDescent="0.25">
      <c r="A372" s="217"/>
      <c r="B372" s="126" t="s">
        <v>384</v>
      </c>
      <c r="C372" s="237">
        <v>28</v>
      </c>
      <c r="D372" s="237">
        <v>2.5299999999999998</v>
      </c>
      <c r="E372" s="237">
        <v>0.7</v>
      </c>
      <c r="F372" s="237">
        <v>1.2</v>
      </c>
      <c r="G372" s="290" t="s">
        <v>106</v>
      </c>
      <c r="H372" s="291">
        <f>C372*D372*E372*F372</f>
        <v>59.50559999999998</v>
      </c>
    </row>
    <row r="373" spans="1:8" ht="15" customHeight="1" x14ac:dyDescent="0.25">
      <c r="A373" s="444" t="str">
        <f>ORÇAMENTO!A117</f>
        <v>9.5</v>
      </c>
      <c r="B373" s="745" t="str">
        <f>ORÇAMENTO!D117</f>
        <v>ENSECADEIRA</v>
      </c>
      <c r="C373" s="746"/>
      <c r="D373" s="746"/>
      <c r="E373" s="746"/>
      <c r="F373" s="747"/>
      <c r="G373" s="505" t="s">
        <v>96</v>
      </c>
      <c r="H373" s="506">
        <f>H375</f>
        <v>102</v>
      </c>
    </row>
    <row r="374" spans="1:8" ht="15" customHeight="1" x14ac:dyDescent="0.25">
      <c r="A374" s="168"/>
      <c r="B374" s="482" t="s">
        <v>718</v>
      </c>
      <c r="C374" s="255"/>
      <c r="D374" s="259" t="str">
        <f>D371</f>
        <v xml:space="preserve">COMPRIMENTO  </v>
      </c>
      <c r="E374" s="259" t="str">
        <f>E371</f>
        <v>LARGURA</v>
      </c>
      <c r="F374" s="259" t="str">
        <f>F371</f>
        <v>ALTURA</v>
      </c>
      <c r="G374" s="175" t="s">
        <v>96</v>
      </c>
      <c r="H374" s="176" t="s">
        <v>11</v>
      </c>
    </row>
    <row r="375" spans="1:8" ht="15" customHeight="1" x14ac:dyDescent="0.25">
      <c r="A375" s="288"/>
      <c r="B375" s="129" t="s">
        <v>383</v>
      </c>
      <c r="C375" s="253"/>
      <c r="D375" s="253">
        <v>10</v>
      </c>
      <c r="E375" s="253">
        <v>20</v>
      </c>
      <c r="F375" s="254">
        <v>1.7</v>
      </c>
      <c r="G375" s="290" t="s">
        <v>96</v>
      </c>
      <c r="H375" s="291">
        <f>F375*(E375+D375)*2</f>
        <v>102</v>
      </c>
    </row>
    <row r="376" spans="1:8" ht="15" customHeight="1" x14ac:dyDescent="0.25">
      <c r="A376" s="444" t="str">
        <f>ORÇAMENTO!A118</f>
        <v>9.6</v>
      </c>
      <c r="B376" s="732" t="str">
        <f>ORÇAMENTO!D118</f>
        <v>FORMA CHAPA COMPENSADA RESINADA 12 MM (INCLUSO DESFORMA) - MESOESTRUTURA</v>
      </c>
      <c r="C376" s="733"/>
      <c r="D376" s="733"/>
      <c r="E376" s="733"/>
      <c r="F376" s="734"/>
      <c r="G376" s="505" t="s">
        <v>96</v>
      </c>
      <c r="H376" s="506">
        <f>H382</f>
        <v>439.59999999999997</v>
      </c>
    </row>
    <row r="377" spans="1:8" ht="15" customHeight="1" x14ac:dyDescent="0.25">
      <c r="A377" s="168"/>
      <c r="B377" s="482"/>
      <c r="C377" s="504" t="s">
        <v>227</v>
      </c>
      <c r="D377" s="504" t="s">
        <v>231</v>
      </c>
      <c r="E377" s="504" t="s">
        <v>181</v>
      </c>
      <c r="F377" s="504" t="s">
        <v>180</v>
      </c>
      <c r="G377" s="175" t="s">
        <v>96</v>
      </c>
      <c r="H377" s="252" t="s">
        <v>11</v>
      </c>
    </row>
    <row r="378" spans="1:8" ht="15" customHeight="1" x14ac:dyDescent="0.25">
      <c r="A378" s="288"/>
      <c r="B378" s="129" t="s">
        <v>721</v>
      </c>
      <c r="C378" s="184">
        <v>2</v>
      </c>
      <c r="D378" s="184">
        <v>3.5</v>
      </c>
      <c r="E378" s="184" t="s">
        <v>34</v>
      </c>
      <c r="F378" s="184">
        <v>15.7</v>
      </c>
      <c r="G378" s="290" t="s">
        <v>96</v>
      </c>
      <c r="H378" s="270">
        <f>C378*D378*2*F378</f>
        <v>219.79999999999998</v>
      </c>
    </row>
    <row r="379" spans="1:8" ht="15" customHeight="1" x14ac:dyDescent="0.25">
      <c r="A379" s="168"/>
      <c r="B379" s="117"/>
      <c r="C379" s="522"/>
      <c r="D379" s="234"/>
      <c r="E379" s="234"/>
      <c r="F379" s="285"/>
      <c r="G379" s="290" t="s">
        <v>96</v>
      </c>
      <c r="H379" s="270">
        <f>C379*D379*2*(F379)</f>
        <v>0</v>
      </c>
    </row>
    <row r="380" spans="1:8" ht="15" customHeight="1" x14ac:dyDescent="0.25">
      <c r="A380" s="177"/>
      <c r="B380" s="118"/>
      <c r="C380" s="178"/>
      <c r="D380" s="178"/>
      <c r="E380" s="178"/>
      <c r="F380" s="225"/>
      <c r="G380" s="180" t="s">
        <v>224</v>
      </c>
      <c r="H380" s="181">
        <f>SUM(H378:H379)</f>
        <v>219.79999999999998</v>
      </c>
    </row>
    <row r="381" spans="1:8" ht="15" customHeight="1" x14ac:dyDescent="0.25">
      <c r="A381" s="177"/>
      <c r="B381" s="118"/>
      <c r="C381" s="178"/>
      <c r="D381" s="178"/>
      <c r="E381" s="178"/>
      <c r="F381" s="225"/>
      <c r="G381" s="180" t="s">
        <v>225</v>
      </c>
      <c r="H381" s="181">
        <v>2</v>
      </c>
    </row>
    <row r="382" spans="1:8" ht="15" customHeight="1" x14ac:dyDescent="0.25">
      <c r="A382" s="288"/>
      <c r="B382" s="129"/>
      <c r="C382" s="253"/>
      <c r="D382" s="253"/>
      <c r="E382" s="253"/>
      <c r="F382" s="254"/>
      <c r="G382" s="180" t="s">
        <v>11</v>
      </c>
      <c r="H382" s="181">
        <f>H381*H380</f>
        <v>439.59999999999997</v>
      </c>
    </row>
    <row r="383" spans="1:8" ht="15" customHeight="1" x14ac:dyDescent="0.25">
      <c r="A383" s="250" t="str">
        <f>ORÇAMENTO!A119</f>
        <v>9.7</v>
      </c>
      <c r="B383" s="732" t="str">
        <f>ORÇAMENTO!D119</f>
        <v>AÇO CA50/60 AQUISIÇÃO, ARMAÇÃO E COLOCAÇÃO (INCLUSO PERDAS) - MESOESTRUTURA</v>
      </c>
      <c r="C383" s="733"/>
      <c r="D383" s="733"/>
      <c r="E383" s="733"/>
      <c r="F383" s="734"/>
      <c r="G383" s="508" t="s">
        <v>68</v>
      </c>
      <c r="H383" s="509">
        <f>H397</f>
        <v>21421.019999999997</v>
      </c>
    </row>
    <row r="384" spans="1:8" ht="15" customHeight="1" x14ac:dyDescent="0.25">
      <c r="A384" s="177"/>
      <c r="B384" s="118" t="s">
        <v>380</v>
      </c>
      <c r="C384" s="511"/>
      <c r="D384" s="234"/>
      <c r="E384" s="256"/>
      <c r="F384" s="300"/>
      <c r="G384" s="290"/>
      <c r="H384" s="291"/>
    </row>
    <row r="385" spans="1:8" ht="15" customHeight="1" x14ac:dyDescent="0.25">
      <c r="A385" s="177"/>
      <c r="B385" s="118" t="s">
        <v>722</v>
      </c>
      <c r="C385" s="234"/>
      <c r="D385" s="234"/>
      <c r="E385" s="184" t="s">
        <v>255</v>
      </c>
      <c r="F385" s="184" t="s">
        <v>489</v>
      </c>
      <c r="G385" s="266" t="s">
        <v>179</v>
      </c>
      <c r="H385" s="267" t="s">
        <v>11</v>
      </c>
    </row>
    <row r="386" spans="1:8" ht="15" customHeight="1" x14ac:dyDescent="0.25">
      <c r="A386" s="177"/>
      <c r="B386" s="118" t="s">
        <v>381</v>
      </c>
      <c r="C386" s="234"/>
      <c r="D386" s="234"/>
      <c r="E386" s="314">
        <v>687.44</v>
      </c>
      <c r="F386" s="314">
        <v>2</v>
      </c>
      <c r="G386" s="180" t="s">
        <v>68</v>
      </c>
      <c r="H386" s="181">
        <f>F386*E386</f>
        <v>1374.88</v>
      </c>
    </row>
    <row r="387" spans="1:8" ht="15" customHeight="1" x14ac:dyDescent="0.25">
      <c r="A387" s="177"/>
      <c r="B387" s="118" t="s">
        <v>382</v>
      </c>
      <c r="C387" s="234"/>
      <c r="D387" s="234"/>
      <c r="E387" s="314">
        <v>816.58</v>
      </c>
      <c r="F387" s="314">
        <v>2</v>
      </c>
      <c r="G387" s="180" t="s">
        <v>68</v>
      </c>
      <c r="H387" s="181">
        <f>F387*E387</f>
        <v>1633.16</v>
      </c>
    </row>
    <row r="388" spans="1:8" ht="15" customHeight="1" x14ac:dyDescent="0.25">
      <c r="A388" s="177"/>
      <c r="B388" s="118" t="s">
        <v>723</v>
      </c>
      <c r="C388" s="234"/>
      <c r="D388" s="234"/>
      <c r="E388" s="184" t="s">
        <v>255</v>
      </c>
      <c r="F388" s="184" t="s">
        <v>489</v>
      </c>
      <c r="G388" s="180" t="s">
        <v>68</v>
      </c>
      <c r="H388" s="181"/>
    </row>
    <row r="389" spans="1:8" ht="15" customHeight="1" x14ac:dyDescent="0.25">
      <c r="A389" s="177"/>
      <c r="B389" s="118" t="s">
        <v>381</v>
      </c>
      <c r="C389" s="234"/>
      <c r="D389" s="234"/>
      <c r="E389" s="314">
        <v>557.98</v>
      </c>
      <c r="F389" s="314">
        <v>2</v>
      </c>
      <c r="G389" s="180" t="s">
        <v>68</v>
      </c>
      <c r="H389" s="181">
        <f t="shared" ref="H389:H396" si="11">F389*E389</f>
        <v>1115.96</v>
      </c>
    </row>
    <row r="390" spans="1:8" ht="15" customHeight="1" x14ac:dyDescent="0.25">
      <c r="A390" s="177"/>
      <c r="B390" s="118" t="s">
        <v>382</v>
      </c>
      <c r="C390" s="234"/>
      <c r="D390" s="234"/>
      <c r="E390" s="314">
        <v>2212.4699999999998</v>
      </c>
      <c r="F390" s="314">
        <v>2</v>
      </c>
      <c r="G390" s="180" t="s">
        <v>68</v>
      </c>
      <c r="H390" s="181">
        <f t="shared" si="11"/>
        <v>4424.9399999999996</v>
      </c>
    </row>
    <row r="391" spans="1:8" ht="15" customHeight="1" x14ac:dyDescent="0.25">
      <c r="A391" s="177"/>
      <c r="B391" s="118" t="s">
        <v>724</v>
      </c>
      <c r="C391" s="234"/>
      <c r="D391" s="234"/>
      <c r="E391" s="184" t="s">
        <v>255</v>
      </c>
      <c r="F391" s="184" t="s">
        <v>489</v>
      </c>
      <c r="G391" s="180" t="s">
        <v>68</v>
      </c>
      <c r="H391" s="181"/>
    </row>
    <row r="392" spans="1:8" ht="15" customHeight="1" x14ac:dyDescent="0.25">
      <c r="A392" s="177"/>
      <c r="B392" s="118" t="s">
        <v>382</v>
      </c>
      <c r="C392" s="234"/>
      <c r="D392" s="234"/>
      <c r="E392" s="314">
        <v>348.73</v>
      </c>
      <c r="F392" s="314">
        <v>2</v>
      </c>
      <c r="G392" s="180" t="s">
        <v>68</v>
      </c>
      <c r="H392" s="181">
        <f t="shared" si="11"/>
        <v>697.46</v>
      </c>
    </row>
    <row r="393" spans="1:8" ht="15" customHeight="1" x14ac:dyDescent="0.25">
      <c r="A393" s="177"/>
      <c r="B393" s="118" t="s">
        <v>725</v>
      </c>
      <c r="C393" s="234"/>
      <c r="D393" s="234"/>
      <c r="E393" s="184" t="s">
        <v>255</v>
      </c>
      <c r="F393" s="184" t="s">
        <v>489</v>
      </c>
      <c r="G393" s="180" t="s">
        <v>68</v>
      </c>
      <c r="H393" s="181"/>
    </row>
    <row r="394" spans="1:8" ht="15" customHeight="1" x14ac:dyDescent="0.25">
      <c r="A394" s="177"/>
      <c r="B394" s="118" t="s">
        <v>381</v>
      </c>
      <c r="C394" s="234"/>
      <c r="D394" s="234"/>
      <c r="E394" s="314">
        <v>172.57</v>
      </c>
      <c r="F394" s="314">
        <v>2</v>
      </c>
      <c r="G394" s="180" t="s">
        <v>68</v>
      </c>
      <c r="H394" s="181">
        <f t="shared" si="11"/>
        <v>345.14</v>
      </c>
    </row>
    <row r="395" spans="1:8" ht="15" customHeight="1" x14ac:dyDescent="0.25">
      <c r="A395" s="217"/>
      <c r="B395" s="118" t="s">
        <v>726</v>
      </c>
      <c r="C395" s="234"/>
      <c r="D395" s="234"/>
      <c r="E395" s="184" t="s">
        <v>255</v>
      </c>
      <c r="F395" s="184" t="s">
        <v>489</v>
      </c>
      <c r="G395" s="180" t="s">
        <v>68</v>
      </c>
      <c r="H395" s="222"/>
    </row>
    <row r="396" spans="1:8" ht="15" customHeight="1" x14ac:dyDescent="0.25">
      <c r="A396" s="217"/>
      <c r="B396" s="118" t="s">
        <v>381</v>
      </c>
      <c r="C396" s="234"/>
      <c r="D396" s="234"/>
      <c r="E396" s="314">
        <v>5914.74</v>
      </c>
      <c r="F396" s="314">
        <v>2</v>
      </c>
      <c r="G396" s="180" t="s">
        <v>68</v>
      </c>
      <c r="H396" s="181">
        <f t="shared" si="11"/>
        <v>11829.48</v>
      </c>
    </row>
    <row r="397" spans="1:8" ht="15" customHeight="1" x14ac:dyDescent="0.25">
      <c r="A397" s="288"/>
      <c r="B397" s="129"/>
      <c r="C397" s="286"/>
      <c r="D397" s="286"/>
      <c r="E397" s="286"/>
      <c r="F397" s="510"/>
      <c r="G397" s="281" t="s">
        <v>0</v>
      </c>
      <c r="H397" s="293">
        <f>SUM(H386:H396)</f>
        <v>21421.019999999997</v>
      </c>
    </row>
    <row r="398" spans="1:8" ht="15" customHeight="1" x14ac:dyDescent="0.25">
      <c r="A398" s="250" t="str">
        <f>ORÇAMENTO!A120</f>
        <v>9.8</v>
      </c>
      <c r="B398" s="732" t="str">
        <f>ORÇAMENTO!D120</f>
        <v>CONCRETO FCK=30 MPA COM ADITIVO (AC/BC)</v>
      </c>
      <c r="C398" s="733"/>
      <c r="D398" s="733"/>
      <c r="E398" s="733"/>
      <c r="F398" s="734"/>
      <c r="G398" s="251" t="s">
        <v>106</v>
      </c>
      <c r="H398" s="252">
        <f>H400</f>
        <v>502.68</v>
      </c>
    </row>
    <row r="399" spans="1:8" ht="15" customHeight="1" x14ac:dyDescent="0.25">
      <c r="A399" s="243"/>
      <c r="B399" s="483" t="s">
        <v>442</v>
      </c>
      <c r="C399" s="289"/>
      <c r="D399" s="292"/>
      <c r="E399" s="504" t="s">
        <v>226</v>
      </c>
      <c r="F399" s="504" t="s">
        <v>489</v>
      </c>
      <c r="G399" s="266" t="s">
        <v>106</v>
      </c>
      <c r="H399" s="267" t="s">
        <v>11</v>
      </c>
    </row>
    <row r="400" spans="1:8" ht="15" customHeight="1" x14ac:dyDescent="0.25">
      <c r="A400" s="217"/>
      <c r="B400" s="126" t="s">
        <v>728</v>
      </c>
      <c r="C400" s="218"/>
      <c r="D400" s="280"/>
      <c r="E400" s="237">
        <v>251.34</v>
      </c>
      <c r="F400" s="237">
        <v>2</v>
      </c>
      <c r="G400" s="290" t="s">
        <v>106</v>
      </c>
      <c r="H400" s="291">
        <f>F400*E400</f>
        <v>502.68</v>
      </c>
    </row>
    <row r="401" spans="1:8" ht="15" customHeight="1" x14ac:dyDescent="0.25">
      <c r="A401" s="250" t="str">
        <f>ORÇAMENTO!A121</f>
        <v>9.9</v>
      </c>
      <c r="B401" s="732" t="str">
        <f>ORÇAMENTO!D121</f>
        <v xml:space="preserve">VIGAS PRÉ-FRABICADAS EM CONCRETO ARMADO COM PROTENSÃO </v>
      </c>
      <c r="C401" s="733"/>
      <c r="D401" s="733"/>
      <c r="E401" s="733"/>
      <c r="F401" s="734"/>
      <c r="G401" s="251" t="str">
        <f>ORÇAMENTO!E121</f>
        <v>UND.</v>
      </c>
      <c r="H401" s="252">
        <f>SUM(H403:H403)</f>
        <v>38</v>
      </c>
    </row>
    <row r="402" spans="1:8" ht="15" customHeight="1" x14ac:dyDescent="0.25">
      <c r="A402" s="177"/>
      <c r="B402" s="118"/>
      <c r="C402" s="511"/>
      <c r="D402" s="300"/>
      <c r="E402" s="184" t="s">
        <v>227</v>
      </c>
      <c r="F402" s="184" t="str">
        <f>F399</f>
        <v>QTD. PONTES</v>
      </c>
      <c r="G402" s="180" t="s">
        <v>179</v>
      </c>
      <c r="H402" s="181"/>
    </row>
    <row r="403" spans="1:8" ht="15" customHeight="1" x14ac:dyDescent="0.25">
      <c r="A403" s="177"/>
      <c r="B403" s="118" t="s">
        <v>740</v>
      </c>
      <c r="C403" s="234"/>
      <c r="D403" s="285"/>
      <c r="E403" s="237">
        <v>19</v>
      </c>
      <c r="F403" s="523">
        <v>2</v>
      </c>
      <c r="G403" s="180" t="s">
        <v>179</v>
      </c>
      <c r="H403" s="181">
        <f>F403*E403</f>
        <v>38</v>
      </c>
    </row>
    <row r="404" spans="1:8" ht="15" customHeight="1" x14ac:dyDescent="0.25">
      <c r="A404" s="250" t="str">
        <f>ORÇAMENTO!A122</f>
        <v>9.10</v>
      </c>
      <c r="B404" s="732" t="str">
        <f>ORÇAMENTO!D122</f>
        <v>CONCRETO USINADO BOMBEAVEL, CLASSE DE RESISTENCIA C50, COM BRITA 0 E 1, SLUMP = 100 +/- 20 MM, INCLUI SERVICO DE BOMBEAMENTO (NBR 8953)</v>
      </c>
      <c r="C404" s="733"/>
      <c r="D404" s="733"/>
      <c r="E404" s="733"/>
      <c r="F404" s="734"/>
      <c r="G404" s="251" t="s">
        <v>106</v>
      </c>
      <c r="H404" s="252">
        <f>H406</f>
        <v>155.24</v>
      </c>
    </row>
    <row r="405" spans="1:8" ht="15" customHeight="1" x14ac:dyDescent="0.25">
      <c r="A405" s="243"/>
      <c r="B405" s="483" t="s">
        <v>442</v>
      </c>
      <c r="C405" s="289"/>
      <c r="D405" s="292"/>
      <c r="E405" s="504" t="s">
        <v>226</v>
      </c>
      <c r="F405" s="504" t="s">
        <v>489</v>
      </c>
      <c r="G405" s="266" t="s">
        <v>106</v>
      </c>
      <c r="H405" s="267" t="s">
        <v>11</v>
      </c>
    </row>
    <row r="406" spans="1:8" ht="15" customHeight="1" x14ac:dyDescent="0.25">
      <c r="A406" s="217"/>
      <c r="B406" s="126" t="s">
        <v>745</v>
      </c>
      <c r="C406" s="218"/>
      <c r="D406" s="280"/>
      <c r="E406" s="237">
        <v>77.62</v>
      </c>
      <c r="F406" s="237">
        <v>2</v>
      </c>
      <c r="G406" s="290" t="s">
        <v>106</v>
      </c>
      <c r="H406" s="291">
        <f>F406*E406</f>
        <v>155.24</v>
      </c>
    </row>
    <row r="407" spans="1:8" ht="15" customHeight="1" x14ac:dyDescent="0.25">
      <c r="A407" s="444" t="str">
        <f>ORÇAMENTO!A123</f>
        <v>9.11</v>
      </c>
      <c r="B407" s="732" t="str">
        <f>ORÇAMENTO!D123</f>
        <v>FORMA CHAPA COMPENSADA RESINADA 12 MM (INCLUSO DESFORMA) - SUPERESTRUTURA</v>
      </c>
      <c r="C407" s="733"/>
      <c r="D407" s="733"/>
      <c r="E407" s="733"/>
      <c r="F407" s="734"/>
      <c r="G407" s="505" t="s">
        <v>96</v>
      </c>
      <c r="H407" s="506">
        <f>H412</f>
        <v>94.199999999999989</v>
      </c>
    </row>
    <row r="408" spans="1:8" ht="15" customHeight="1" x14ac:dyDescent="0.25">
      <c r="A408" s="168"/>
      <c r="B408" s="482"/>
      <c r="C408" s="504" t="s">
        <v>227</v>
      </c>
      <c r="D408" s="504" t="s">
        <v>231</v>
      </c>
      <c r="E408" s="504" t="s">
        <v>181</v>
      </c>
      <c r="F408" s="504" t="s">
        <v>180</v>
      </c>
      <c r="G408" s="175" t="s">
        <v>96</v>
      </c>
      <c r="H408" s="252" t="s">
        <v>11</v>
      </c>
    </row>
    <row r="409" spans="1:8" ht="15" customHeight="1" x14ac:dyDescent="0.25">
      <c r="A409" s="288"/>
      <c r="B409" s="143" t="s">
        <v>946</v>
      </c>
      <c r="C409" s="184">
        <v>2</v>
      </c>
      <c r="D409" s="185">
        <v>1.2</v>
      </c>
      <c r="E409" s="185">
        <v>0.25</v>
      </c>
      <c r="F409" s="185">
        <v>15.7</v>
      </c>
      <c r="G409" s="266" t="s">
        <v>96</v>
      </c>
      <c r="H409" s="270">
        <f>C409*(D409+E409)*F409</f>
        <v>45.529999999999994</v>
      </c>
    </row>
    <row r="410" spans="1:8" ht="15" customHeight="1" x14ac:dyDescent="0.25">
      <c r="A410" s="168"/>
      <c r="B410" s="143" t="s">
        <v>944</v>
      </c>
      <c r="C410" s="184">
        <v>2</v>
      </c>
      <c r="D410" s="185">
        <v>0.2</v>
      </c>
      <c r="E410" s="185">
        <v>0.55000000000000004</v>
      </c>
      <c r="F410" s="185">
        <v>15.7</v>
      </c>
      <c r="G410" s="180" t="s">
        <v>96</v>
      </c>
      <c r="H410" s="270">
        <f t="shared" ref="H410" si="12">C410*(D410+E410)*F410</f>
        <v>23.549999999999997</v>
      </c>
    </row>
    <row r="411" spans="1:8" ht="15" customHeight="1" x14ac:dyDescent="0.25">
      <c r="A411" s="177"/>
      <c r="B411" s="143" t="s">
        <v>945</v>
      </c>
      <c r="C411" s="184">
        <v>2</v>
      </c>
      <c r="D411" s="185">
        <v>0.8</v>
      </c>
      <c r="E411" s="185" t="s">
        <v>34</v>
      </c>
      <c r="F411" s="185">
        <v>15.7</v>
      </c>
      <c r="G411" s="180" t="s">
        <v>96</v>
      </c>
      <c r="H411" s="270">
        <f>F411*D411*C411</f>
        <v>25.12</v>
      </c>
    </row>
    <row r="412" spans="1:8" ht="15" customHeight="1" x14ac:dyDescent="0.25">
      <c r="A412" s="177"/>
      <c r="B412" s="118"/>
      <c r="C412" s="178"/>
      <c r="D412" s="178"/>
      <c r="E412" s="178"/>
      <c r="F412" s="225"/>
      <c r="G412" s="180" t="s">
        <v>0</v>
      </c>
      <c r="H412" s="181">
        <f>SUM(H409:H411)</f>
        <v>94.199999999999989</v>
      </c>
    </row>
    <row r="413" spans="1:8" ht="15" customHeight="1" x14ac:dyDescent="0.25">
      <c r="A413" s="250" t="str">
        <f>ORÇAMENTO!A124</f>
        <v>9.12</v>
      </c>
      <c r="B413" s="732" t="str">
        <f>ORÇAMENTO!D124</f>
        <v>LANÇAMENTO/APLICAÇÃO/ADENSAMENTO DE CONCRETO USINADO BOMBEADO EM ESTRUTURA - (O.C.)</v>
      </c>
      <c r="C413" s="733"/>
      <c r="D413" s="733"/>
      <c r="E413" s="733"/>
      <c r="F413" s="734"/>
      <c r="G413" s="251" t="str">
        <f>ORÇAMENTO!E124</f>
        <v>M3</v>
      </c>
      <c r="H413" s="252">
        <f>H418</f>
        <v>717.42560000000003</v>
      </c>
    </row>
    <row r="414" spans="1:8" ht="15" customHeight="1" x14ac:dyDescent="0.25">
      <c r="A414" s="212"/>
      <c r="B414" s="482" t="s">
        <v>747</v>
      </c>
      <c r="C414" s="445"/>
      <c r="D414" s="445"/>
      <c r="E414" s="256"/>
      <c r="F414" s="503" t="s">
        <v>226</v>
      </c>
      <c r="G414" s="266" t="s">
        <v>106</v>
      </c>
      <c r="H414" s="506"/>
    </row>
    <row r="415" spans="1:8" ht="15" customHeight="1" x14ac:dyDescent="0.25">
      <c r="A415" s="212"/>
      <c r="B415" s="118" t="s">
        <v>743</v>
      </c>
      <c r="C415" s="449"/>
      <c r="D415" s="449"/>
      <c r="E415" s="178"/>
      <c r="F415" s="314">
        <f>H370</f>
        <v>59.50559999999998</v>
      </c>
      <c r="G415" s="180" t="s">
        <v>106</v>
      </c>
      <c r="H415" s="451">
        <f>F415</f>
        <v>59.50559999999998</v>
      </c>
    </row>
    <row r="416" spans="1:8" ht="15" customHeight="1" x14ac:dyDescent="0.25">
      <c r="A416" s="190"/>
      <c r="B416" s="118" t="s">
        <v>742</v>
      </c>
      <c r="C416" s="234"/>
      <c r="D416" s="234"/>
      <c r="E416" s="234"/>
      <c r="F416" s="314">
        <f>H398</f>
        <v>502.68</v>
      </c>
      <c r="G416" s="180" t="s">
        <v>106</v>
      </c>
      <c r="H416" s="181">
        <f>F416</f>
        <v>502.68</v>
      </c>
    </row>
    <row r="417" spans="1:8" ht="15" customHeight="1" x14ac:dyDescent="0.25">
      <c r="A417" s="190"/>
      <c r="B417" s="118" t="s">
        <v>746</v>
      </c>
      <c r="C417" s="234"/>
      <c r="D417" s="234"/>
      <c r="E417" s="234"/>
      <c r="F417" s="314">
        <f>H404</f>
        <v>155.24</v>
      </c>
      <c r="G417" s="180" t="str">
        <f>G416</f>
        <v>M3</v>
      </c>
      <c r="H417" s="181">
        <f>F417</f>
        <v>155.24</v>
      </c>
    </row>
    <row r="418" spans="1:8" ht="15" customHeight="1" x14ac:dyDescent="0.25">
      <c r="A418" s="190"/>
      <c r="B418" s="129"/>
      <c r="C418" s="286"/>
      <c r="D418" s="286"/>
      <c r="E418" s="286"/>
      <c r="F418" s="510"/>
      <c r="G418" s="281" t="s">
        <v>0</v>
      </c>
      <c r="H418" s="293">
        <f>SUM(H415:H417)</f>
        <v>717.42560000000003</v>
      </c>
    </row>
    <row r="419" spans="1:8" ht="15" customHeight="1" x14ac:dyDescent="0.25">
      <c r="A419" s="250" t="str">
        <f>ORÇAMENTO!A125</f>
        <v>9.13</v>
      </c>
      <c r="B419" s="732" t="str">
        <f>ORÇAMENTO!D125</f>
        <v>TRANSPORTE DE PRÉ MOLDADOS EM CAMINHÃO PRANCHA 3 EIXOS - CAP. 30 T</v>
      </c>
      <c r="C419" s="733"/>
      <c r="D419" s="733"/>
      <c r="E419" s="733"/>
      <c r="F419" s="734"/>
      <c r="G419" s="251" t="s">
        <v>751</v>
      </c>
      <c r="H419" s="252">
        <f>H424</f>
        <v>50445</v>
      </c>
    </row>
    <row r="420" spans="1:8" ht="15" customHeight="1" x14ac:dyDescent="0.25">
      <c r="A420" s="212"/>
      <c r="B420" s="482" t="s">
        <v>749</v>
      </c>
      <c r="C420" s="259" t="s">
        <v>227</v>
      </c>
      <c r="D420" s="259" t="s">
        <v>753</v>
      </c>
      <c r="E420" s="503" t="s">
        <v>755</v>
      </c>
      <c r="F420" s="503" t="s">
        <v>756</v>
      </c>
      <c r="G420" s="505"/>
      <c r="H420" s="506"/>
    </row>
    <row r="421" spans="1:8" ht="15" customHeight="1" x14ac:dyDescent="0.25">
      <c r="A421" s="212"/>
      <c r="B421" s="118" t="s">
        <v>750</v>
      </c>
      <c r="C421" s="527">
        <v>19</v>
      </c>
      <c r="D421" s="507" t="s">
        <v>754</v>
      </c>
      <c r="E421" s="527">
        <v>1.77</v>
      </c>
      <c r="F421" s="527">
        <f>2.5*1.77</f>
        <v>4.4249999999999998</v>
      </c>
      <c r="G421" s="180" t="s">
        <v>677</v>
      </c>
      <c r="H421" s="181">
        <f>F421*C421</f>
        <v>84.075000000000003</v>
      </c>
    </row>
    <row r="422" spans="1:8" ht="15" customHeight="1" x14ac:dyDescent="0.25">
      <c r="A422" s="212"/>
      <c r="B422" s="118" t="s">
        <v>757</v>
      </c>
      <c r="C422" s="525"/>
      <c r="D422" s="169"/>
      <c r="E422" s="525"/>
      <c r="F422" s="526"/>
      <c r="G422" s="180" t="s">
        <v>179</v>
      </c>
      <c r="H422" s="181">
        <v>2</v>
      </c>
    </row>
    <row r="423" spans="1:8" ht="15" customHeight="1" x14ac:dyDescent="0.25">
      <c r="A423" s="190"/>
      <c r="B423" s="118" t="s">
        <v>752</v>
      </c>
      <c r="C423" s="234"/>
      <c r="D423" s="234"/>
      <c r="E423" s="234"/>
      <c r="F423" s="524"/>
      <c r="G423" s="180" t="s">
        <v>197</v>
      </c>
      <c r="H423" s="181">
        <v>300</v>
      </c>
    </row>
    <row r="424" spans="1:8" ht="15" customHeight="1" x14ac:dyDescent="0.25">
      <c r="A424" s="190"/>
      <c r="B424" s="129"/>
      <c r="C424" s="286"/>
      <c r="D424" s="286"/>
      <c r="E424" s="286"/>
      <c r="F424" s="510"/>
      <c r="G424" s="281" t="s">
        <v>0</v>
      </c>
      <c r="H424" s="293">
        <f>H423*H422*H421</f>
        <v>50445</v>
      </c>
    </row>
    <row r="425" spans="1:8" ht="15" customHeight="1" x14ac:dyDescent="0.25">
      <c r="A425" s="250" t="str">
        <f>ORÇAMENTO!A126</f>
        <v>9.14</v>
      </c>
      <c r="B425" s="732" t="str">
        <f>ORÇAMENTO!D126</f>
        <v>ESCORAMENTO PARA PONTE</v>
      </c>
      <c r="C425" s="733"/>
      <c r="D425" s="733"/>
      <c r="E425" s="733"/>
      <c r="F425" s="734"/>
      <c r="G425" s="251" t="s">
        <v>106</v>
      </c>
      <c r="H425" s="252">
        <f>H427</f>
        <v>657.92000000000007</v>
      </c>
    </row>
    <row r="426" spans="1:8" ht="15" customHeight="1" x14ac:dyDescent="0.25">
      <c r="A426" s="177"/>
      <c r="B426" s="118"/>
      <c r="C426" s="256"/>
      <c r="D426" s="300"/>
      <c r="E426" s="184" t="s">
        <v>226</v>
      </c>
      <c r="F426" s="184" t="s">
        <v>489</v>
      </c>
      <c r="G426" s="180" t="s">
        <v>106</v>
      </c>
      <c r="H426" s="181"/>
    </row>
    <row r="427" spans="1:8" ht="15" customHeight="1" x14ac:dyDescent="0.25">
      <c r="A427" s="177"/>
      <c r="B427" s="118" t="s">
        <v>765</v>
      </c>
      <c r="C427" s="286"/>
      <c r="D427" s="510"/>
      <c r="E427" s="527">
        <f>E400+E406</f>
        <v>328.96000000000004</v>
      </c>
      <c r="F427" s="527">
        <v>2</v>
      </c>
      <c r="G427" s="180" t="s">
        <v>106</v>
      </c>
      <c r="H427" s="181">
        <f>F427*E427</f>
        <v>657.92000000000007</v>
      </c>
    </row>
    <row r="428" spans="1:8" ht="15" customHeight="1" x14ac:dyDescent="0.25">
      <c r="A428" s="250" t="str">
        <f>ORÇAMENTO!A127</f>
        <v>9.15</v>
      </c>
      <c r="B428" s="732" t="str">
        <f>ORÇAMENTO!D127</f>
        <v>LANÇAMENTO DE VIGA PRÉ-MOLDADA DE 980 A 1.225 KN COM UTILIZAÇÃO DE TRALIÇA LANÇADEIRA E CARRELONE</v>
      </c>
      <c r="C428" s="733"/>
      <c r="D428" s="733"/>
      <c r="E428" s="733"/>
      <c r="F428" s="734"/>
      <c r="G428" s="251" t="str">
        <f>ORÇAMENTO!E127</f>
        <v>UND</v>
      </c>
      <c r="H428" s="252">
        <f>H429*H430</f>
        <v>38</v>
      </c>
    </row>
    <row r="429" spans="1:8" ht="15" customHeight="1" x14ac:dyDescent="0.25">
      <c r="A429" s="177"/>
      <c r="B429" s="128" t="s">
        <v>229</v>
      </c>
      <c r="C429" s="255"/>
      <c r="D429" s="255"/>
      <c r="E429" s="255"/>
      <c r="F429" s="284"/>
      <c r="G429" s="180" t="s">
        <v>179</v>
      </c>
      <c r="H429" s="181">
        <v>19</v>
      </c>
    </row>
    <row r="430" spans="1:8" ht="15" customHeight="1" x14ac:dyDescent="0.25">
      <c r="A430" s="177"/>
      <c r="B430" s="118" t="s">
        <v>230</v>
      </c>
      <c r="C430" s="178"/>
      <c r="D430" s="178"/>
      <c r="E430" s="178"/>
      <c r="F430" s="280"/>
      <c r="G430" s="180" t="s">
        <v>179</v>
      </c>
      <c r="H430" s="181">
        <v>2</v>
      </c>
    </row>
    <row r="431" spans="1:8" ht="30.75" customHeight="1" x14ac:dyDescent="0.25">
      <c r="A431" s="250" t="str">
        <f>ORÇAMENTO!A128</f>
        <v>9.16</v>
      </c>
      <c r="B431" s="732" t="str">
        <f>ORÇAMENTO!D128</f>
        <v>GUARDA CORPO COM CORRIMÃO/TUBO INDUSTRIAL GC-1</v>
      </c>
      <c r="C431" s="733"/>
      <c r="D431" s="733"/>
      <c r="E431" s="733"/>
      <c r="F431" s="734"/>
      <c r="G431" s="251" t="str">
        <f>ORÇAMENTO!E128</f>
        <v>M2</v>
      </c>
      <c r="H431" s="252">
        <f>H432*H433</f>
        <v>28</v>
      </c>
    </row>
    <row r="432" spans="1:8" ht="15" customHeight="1" x14ac:dyDescent="0.25">
      <c r="A432" s="177"/>
      <c r="B432" s="128" t="s">
        <v>385</v>
      </c>
      <c r="C432" s="255"/>
      <c r="D432" s="255"/>
      <c r="E432" s="255"/>
      <c r="F432" s="284"/>
      <c r="G432" s="180" t="s">
        <v>2</v>
      </c>
      <c r="H432" s="181">
        <v>14</v>
      </c>
    </row>
    <row r="433" spans="1:8" ht="15" customHeight="1" x14ac:dyDescent="0.25">
      <c r="A433" s="177"/>
      <c r="B433" s="118" t="s">
        <v>198</v>
      </c>
      <c r="C433" s="178"/>
      <c r="D433" s="178"/>
      <c r="E433" s="178"/>
      <c r="F433" s="225"/>
      <c r="G433" s="180" t="s">
        <v>179</v>
      </c>
      <c r="H433" s="181">
        <v>2</v>
      </c>
    </row>
    <row r="434" spans="1:8" ht="15" customHeight="1" x14ac:dyDescent="0.25">
      <c r="A434" s="250" t="str">
        <f>ORÇAMENTO!A129</f>
        <v>9.17</v>
      </c>
      <c r="B434" s="732" t="str">
        <f>ORÇAMENTO!D129</f>
        <v>FUNDO PRIMER P/ ESTR. METALICA (2 DEMAOS)</v>
      </c>
      <c r="C434" s="733"/>
      <c r="D434" s="733"/>
      <c r="E434" s="733"/>
      <c r="F434" s="734"/>
      <c r="G434" s="251" t="str">
        <f>ORÇAMENTO!E129</f>
        <v>M2</v>
      </c>
      <c r="H434" s="252">
        <f>SUM(H435:H436)</f>
        <v>123.20000000000002</v>
      </c>
    </row>
    <row r="435" spans="1:8" ht="15" customHeight="1" x14ac:dyDescent="0.25">
      <c r="A435" s="177"/>
      <c r="B435" s="143"/>
      <c r="C435" s="113"/>
      <c r="D435" s="206" t="s">
        <v>183</v>
      </c>
      <c r="E435" s="206" t="s">
        <v>199</v>
      </c>
      <c r="F435" s="206" t="s">
        <v>198</v>
      </c>
      <c r="G435" s="206"/>
      <c r="H435" s="181"/>
    </row>
    <row r="436" spans="1:8" ht="15" customHeight="1" x14ac:dyDescent="0.25">
      <c r="A436" s="177"/>
      <c r="B436" s="143" t="s">
        <v>232</v>
      </c>
      <c r="C436" s="113"/>
      <c r="D436" s="273">
        <v>28</v>
      </c>
      <c r="E436" s="273">
        <v>1.1000000000000001</v>
      </c>
      <c r="F436" s="273">
        <v>4</v>
      </c>
      <c r="G436" s="273"/>
      <c r="H436" s="181">
        <f>D436*E436*F436</f>
        <v>123.20000000000002</v>
      </c>
    </row>
    <row r="437" spans="1:8" ht="15" customHeight="1" x14ac:dyDescent="0.25">
      <c r="A437" s="250" t="str">
        <f>ORÇAMENTO!A130</f>
        <v>9.18</v>
      </c>
      <c r="B437" s="732" t="str">
        <f>ORÇAMENTO!D130</f>
        <v>ENSAIO DE RESISTENCIA A COMPRESSAO SIMPLES - CONCRETO</v>
      </c>
      <c r="C437" s="733"/>
      <c r="D437" s="733"/>
      <c r="E437" s="733"/>
      <c r="F437" s="734"/>
      <c r="G437" s="251" t="str">
        <f>ORÇAMENTO!E130</f>
        <v>UND</v>
      </c>
      <c r="H437" s="252">
        <f>H438</f>
        <v>391</v>
      </c>
    </row>
    <row r="438" spans="1:8" ht="15" customHeight="1" x14ac:dyDescent="0.25">
      <c r="A438" s="177"/>
      <c r="B438" s="128" t="s">
        <v>388</v>
      </c>
      <c r="C438" s="255"/>
      <c r="D438" s="255"/>
      <c r="E438" s="255"/>
      <c r="F438" s="284"/>
      <c r="G438" s="180" t="s">
        <v>106</v>
      </c>
      <c r="H438" s="181">
        <f>364+27</f>
        <v>391</v>
      </c>
    </row>
    <row r="439" spans="1:8" ht="15" customHeight="1" x14ac:dyDescent="0.25">
      <c r="A439" s="250" t="str">
        <f>ORÇAMENTO!A131</f>
        <v>9.19</v>
      </c>
      <c r="B439" s="732" t="str">
        <f>ORÇAMENTO!D131</f>
        <v>NEOPRENE</v>
      </c>
      <c r="C439" s="733"/>
      <c r="D439" s="733"/>
      <c r="E439" s="733"/>
      <c r="F439" s="734"/>
      <c r="G439" s="251" t="str">
        <f>[2]ORÇAMENTO!E98</f>
        <v>M3</v>
      </c>
      <c r="H439" s="252">
        <f>H446</f>
        <v>168.91000000000003</v>
      </c>
    </row>
    <row r="440" spans="1:8" ht="15" customHeight="1" x14ac:dyDescent="0.25">
      <c r="A440" s="177"/>
      <c r="B440" s="482" t="s">
        <v>389</v>
      </c>
      <c r="C440" s="255"/>
      <c r="D440" s="255"/>
      <c r="E440" s="255"/>
      <c r="F440" s="284"/>
      <c r="G440" s="180" t="s">
        <v>179</v>
      </c>
      <c r="H440" s="181">
        <v>19</v>
      </c>
    </row>
    <row r="441" spans="1:8" ht="15" customHeight="1" x14ac:dyDescent="0.25">
      <c r="A441" s="177"/>
      <c r="B441" s="117" t="s">
        <v>198</v>
      </c>
      <c r="C441" s="169"/>
      <c r="D441" s="169"/>
      <c r="E441" s="169"/>
      <c r="F441" s="294"/>
      <c r="G441" s="180"/>
      <c r="H441" s="181">
        <v>2</v>
      </c>
    </row>
    <row r="442" spans="1:8" ht="15" customHeight="1" x14ac:dyDescent="0.25">
      <c r="A442" s="177"/>
      <c r="B442" s="118" t="s">
        <v>225</v>
      </c>
      <c r="C442" s="178"/>
      <c r="D442" s="178"/>
      <c r="E442" s="178"/>
      <c r="F442" s="225"/>
      <c r="G442" s="180" t="s">
        <v>179</v>
      </c>
      <c r="H442" s="181">
        <v>2</v>
      </c>
    </row>
    <row r="443" spans="1:8" ht="15" customHeight="1" x14ac:dyDescent="0.25">
      <c r="A443" s="177"/>
      <c r="B443" s="118"/>
      <c r="C443" s="178"/>
      <c r="D443" s="178"/>
      <c r="E443" s="178"/>
      <c r="F443" s="225"/>
      <c r="G443" s="180" t="s">
        <v>11</v>
      </c>
      <c r="H443" s="181">
        <f>H442*H440*H441</f>
        <v>76</v>
      </c>
    </row>
    <row r="444" spans="1:8" ht="15" customHeight="1" x14ac:dyDescent="0.25">
      <c r="A444" s="177"/>
      <c r="B444" s="118" t="s">
        <v>759</v>
      </c>
      <c r="C444" s="178"/>
      <c r="D444" s="178"/>
      <c r="E444" s="178"/>
      <c r="F444" s="225"/>
      <c r="G444" s="180" t="s">
        <v>760</v>
      </c>
      <c r="H444" s="181">
        <v>1750</v>
      </c>
    </row>
    <row r="445" spans="1:8" ht="15" customHeight="1" x14ac:dyDescent="0.25">
      <c r="A445" s="177"/>
      <c r="B445" s="118" t="s">
        <v>761</v>
      </c>
      <c r="C445" s="178"/>
      <c r="D445" s="178"/>
      <c r="E445" s="178"/>
      <c r="F445" s="225"/>
      <c r="G445" s="180" t="s">
        <v>762</v>
      </c>
      <c r="H445" s="181">
        <v>1.27</v>
      </c>
    </row>
    <row r="446" spans="1:8" ht="15" customHeight="1" thickBot="1" x14ac:dyDescent="0.3">
      <c r="A446" s="217"/>
      <c r="B446" s="125" t="s">
        <v>0</v>
      </c>
      <c r="C446" s="218"/>
      <c r="D446" s="218"/>
      <c r="E446" s="218"/>
      <c r="F446" s="280"/>
      <c r="G446" s="221" t="s">
        <v>68</v>
      </c>
      <c r="H446" s="222">
        <f>H443*((H444*H445)/1000)</f>
        <v>168.91000000000003</v>
      </c>
    </row>
    <row r="447" spans="1:8" ht="15" customHeight="1" thickBot="1" x14ac:dyDescent="0.3">
      <c r="A447" s="153">
        <v>10</v>
      </c>
      <c r="B447" s="742" t="str">
        <f>ORÇAMENTO!A133</f>
        <v>ESTRUTURA DE CONTENÇÃO - CANALIZAÇÃO</v>
      </c>
      <c r="C447" s="742"/>
      <c r="D447" s="742"/>
      <c r="E447" s="742"/>
      <c r="F447" s="742"/>
      <c r="G447" s="742"/>
      <c r="H447" s="743"/>
    </row>
    <row r="448" spans="1:8" ht="15" customHeight="1" x14ac:dyDescent="0.25">
      <c r="A448" s="295" t="str">
        <f>ORÇAMENTO!A135</f>
        <v>10.1</v>
      </c>
      <c r="B448" s="732" t="str">
        <f>ORÇAMENTO!D135</f>
        <v>CORTA-RIO</v>
      </c>
      <c r="C448" s="733"/>
      <c r="D448" s="733"/>
      <c r="E448" s="733"/>
      <c r="F448" s="734"/>
      <c r="G448" s="251" t="s">
        <v>106</v>
      </c>
      <c r="H448" s="252">
        <f>H450</f>
        <v>7084</v>
      </c>
    </row>
    <row r="449" spans="1:8" ht="15" customHeight="1" x14ac:dyDescent="0.25">
      <c r="A449" s="190"/>
      <c r="B449" s="623" t="s">
        <v>962</v>
      </c>
      <c r="C449" s="255"/>
      <c r="D449" s="255" t="s">
        <v>180</v>
      </c>
      <c r="E449" s="255" t="s">
        <v>270</v>
      </c>
      <c r="F449" s="284" t="s">
        <v>181</v>
      </c>
      <c r="G449" s="180"/>
      <c r="H449" s="181"/>
    </row>
    <row r="450" spans="1:8" ht="15" customHeight="1" x14ac:dyDescent="0.25">
      <c r="A450" s="190"/>
      <c r="B450" s="126" t="s">
        <v>961</v>
      </c>
      <c r="C450" s="191"/>
      <c r="D450" s="191">
        <v>506</v>
      </c>
      <c r="E450" s="191">
        <v>3.5</v>
      </c>
      <c r="F450" s="238">
        <v>4</v>
      </c>
      <c r="G450" s="193" t="s">
        <v>106</v>
      </c>
      <c r="H450" s="197">
        <f>F450*E450*D450</f>
        <v>7084</v>
      </c>
    </row>
    <row r="451" spans="1:8" ht="15" customHeight="1" x14ac:dyDescent="0.25">
      <c r="A451" s="250" t="str">
        <f>ORÇAMENTO!A136</f>
        <v>10.2</v>
      </c>
      <c r="B451" s="732" t="str">
        <f>ORÇAMENTO!D136</f>
        <v>LASTRO DE PEDRA MARROADA(GAP)</v>
      </c>
      <c r="C451" s="733"/>
      <c r="D451" s="733"/>
      <c r="E451" s="733"/>
      <c r="F451" s="734"/>
      <c r="G451" s="251" t="str">
        <f>ORÇAMENTO!E136</f>
        <v>M3</v>
      </c>
      <c r="H451" s="252">
        <f>H455</f>
        <v>2502.6</v>
      </c>
    </row>
    <row r="452" spans="1:8" ht="15" customHeight="1" x14ac:dyDescent="0.25">
      <c r="A452" s="177"/>
      <c r="B452" s="128" t="s">
        <v>408</v>
      </c>
      <c r="C452" s="255"/>
      <c r="D452" s="255"/>
      <c r="E452" s="255"/>
      <c r="F452" s="284"/>
      <c r="G452" s="180" t="s">
        <v>2</v>
      </c>
      <c r="H452" s="181">
        <v>516</v>
      </c>
    </row>
    <row r="453" spans="1:8" ht="15" customHeight="1" x14ac:dyDescent="0.25">
      <c r="A453" s="177"/>
      <c r="B453" s="118" t="s">
        <v>181</v>
      </c>
      <c r="C453" s="178"/>
      <c r="D453" s="178"/>
      <c r="E453" s="178"/>
      <c r="F453" s="225"/>
      <c r="G453" s="180" t="s">
        <v>2</v>
      </c>
      <c r="H453" s="181">
        <v>9.6999999999999993</v>
      </c>
    </row>
    <row r="454" spans="1:8" ht="15" customHeight="1" x14ac:dyDescent="0.25">
      <c r="A454" s="177"/>
      <c r="B454" s="118" t="s">
        <v>231</v>
      </c>
      <c r="C454" s="178"/>
      <c r="D454" s="178"/>
      <c r="E454" s="178"/>
      <c r="F454" s="225"/>
      <c r="G454" s="180" t="s">
        <v>2</v>
      </c>
      <c r="H454" s="181">
        <v>0.5</v>
      </c>
    </row>
    <row r="455" spans="1:8" ht="15" customHeight="1" x14ac:dyDescent="0.25">
      <c r="A455" s="177"/>
      <c r="B455" s="129" t="s">
        <v>11</v>
      </c>
      <c r="C455" s="253"/>
      <c r="D455" s="253"/>
      <c r="E455" s="253"/>
      <c r="F455" s="254"/>
      <c r="G455" s="180" t="s">
        <v>106</v>
      </c>
      <c r="H455" s="181">
        <f>H454*H453*H452</f>
        <v>2502.6</v>
      </c>
    </row>
    <row r="456" spans="1:8" ht="15" customHeight="1" x14ac:dyDescent="0.25">
      <c r="A456" s="250" t="str">
        <f>ORÇAMENTO!A137</f>
        <v>10.3</v>
      </c>
      <c r="B456" s="732" t="str">
        <f>ORÇAMENTO!D137</f>
        <v>LASTRO DE CONCRETO REGULARIZADO SEM IMPERMEAB. 1:3:6 ESP= 5CM (BASE)</v>
      </c>
      <c r="C456" s="733"/>
      <c r="D456" s="733"/>
      <c r="E456" s="733"/>
      <c r="F456" s="734"/>
      <c r="G456" s="251" t="str">
        <f>ORÇAMENTO!E137</f>
        <v>M2</v>
      </c>
      <c r="H456" s="252">
        <f>H459</f>
        <v>5005.2</v>
      </c>
    </row>
    <row r="457" spans="1:8" ht="15" customHeight="1" x14ac:dyDescent="0.25">
      <c r="A457" s="177"/>
      <c r="B457" s="128" t="s">
        <v>408</v>
      </c>
      <c r="C457" s="255"/>
      <c r="D457" s="255"/>
      <c r="E457" s="255"/>
      <c r="F457" s="284"/>
      <c r="G457" s="180" t="s">
        <v>2</v>
      </c>
      <c r="H457" s="181">
        <v>516</v>
      </c>
    </row>
    <row r="458" spans="1:8" ht="15" customHeight="1" x14ac:dyDescent="0.25">
      <c r="A458" s="177"/>
      <c r="B458" s="118" t="s">
        <v>181</v>
      </c>
      <c r="C458" s="178"/>
      <c r="D458" s="178"/>
      <c r="E458" s="178"/>
      <c r="F458" s="225"/>
      <c r="G458" s="180" t="s">
        <v>2</v>
      </c>
      <c r="H458" s="181">
        <v>9.6999999999999993</v>
      </c>
    </row>
    <row r="459" spans="1:8" ht="15" customHeight="1" x14ac:dyDescent="0.25">
      <c r="A459" s="177"/>
      <c r="B459" s="129" t="s">
        <v>11</v>
      </c>
      <c r="C459" s="253"/>
      <c r="D459" s="253"/>
      <c r="E459" s="253"/>
      <c r="F459" s="254"/>
      <c r="G459" s="180" t="s">
        <v>96</v>
      </c>
      <c r="H459" s="181">
        <f>H458*H457</f>
        <v>5005.2</v>
      </c>
    </row>
    <row r="460" spans="1:8" ht="30.75" customHeight="1" x14ac:dyDescent="0.25">
      <c r="A460" s="250" t="str">
        <f>ORÇAMENTO!A138</f>
        <v>10.4</v>
      </c>
      <c r="B460" s="732" t="str">
        <f>ORÇAMENTO!D138</f>
        <v>CONCRETO USINADO BOMBEÁVEL FCK=30 MPA (O.C.)</v>
      </c>
      <c r="C460" s="733"/>
      <c r="D460" s="733"/>
      <c r="E460" s="733"/>
      <c r="F460" s="734"/>
      <c r="G460" s="251" t="str">
        <f>ORÇAMENTO!E138</f>
        <v xml:space="preserve">M3 </v>
      </c>
      <c r="H460" s="252">
        <f>SUM(H462:H465)</f>
        <v>2819.0939999999996</v>
      </c>
    </row>
    <row r="461" spans="1:8" ht="30.75" customHeight="1" x14ac:dyDescent="0.25">
      <c r="A461" s="212"/>
      <c r="B461" s="481"/>
      <c r="C461" s="145"/>
      <c r="D461" s="538" t="s">
        <v>269</v>
      </c>
      <c r="E461" s="538" t="s">
        <v>767</v>
      </c>
      <c r="F461" s="538" t="s">
        <v>180</v>
      </c>
      <c r="G461" s="213"/>
      <c r="H461" s="214"/>
    </row>
    <row r="462" spans="1:8" ht="15" customHeight="1" x14ac:dyDescent="0.25">
      <c r="A462" s="168"/>
      <c r="B462" s="118" t="s">
        <v>233</v>
      </c>
      <c r="C462" s="285"/>
      <c r="D462" s="537">
        <v>1</v>
      </c>
      <c r="E462" s="537">
        <v>3.03</v>
      </c>
      <c r="F462" s="537">
        <v>516</v>
      </c>
      <c r="G462" s="175" t="s">
        <v>106</v>
      </c>
      <c r="H462" s="176">
        <f>F462*E462</f>
        <v>1563.4799999999998</v>
      </c>
    </row>
    <row r="463" spans="1:8" ht="15" customHeight="1" x14ac:dyDescent="0.25">
      <c r="A463" s="168"/>
      <c r="B463" s="118" t="s">
        <v>768</v>
      </c>
      <c r="C463" s="285"/>
      <c r="D463" s="184">
        <v>2</v>
      </c>
      <c r="E463" s="184">
        <v>1.1399999999999999</v>
      </c>
      <c r="F463" s="184">
        <v>480</v>
      </c>
      <c r="G463" s="175" t="s">
        <v>106</v>
      </c>
      <c r="H463" s="176">
        <f>F463*E463*D463</f>
        <v>1094.3999999999999</v>
      </c>
    </row>
    <row r="464" spans="1:8" ht="15" customHeight="1" x14ac:dyDescent="0.25">
      <c r="A464" s="168"/>
      <c r="B464" s="118" t="s">
        <v>235</v>
      </c>
      <c r="C464" s="285"/>
      <c r="D464" s="184">
        <v>6</v>
      </c>
      <c r="E464" s="184">
        <v>0.19</v>
      </c>
      <c r="F464" s="184">
        <v>9.6999999999999993</v>
      </c>
      <c r="G464" s="175" t="s">
        <v>106</v>
      </c>
      <c r="H464" s="176">
        <f>F464*E464*D464</f>
        <v>11.058</v>
      </c>
    </row>
    <row r="465" spans="1:8" ht="15" customHeight="1" x14ac:dyDescent="0.25">
      <c r="A465" s="168"/>
      <c r="B465" s="129" t="s">
        <v>236</v>
      </c>
      <c r="C465" s="253"/>
      <c r="D465" s="184">
        <v>1</v>
      </c>
      <c r="E465" s="539" t="s">
        <v>769</v>
      </c>
      <c r="F465" s="184">
        <v>516</v>
      </c>
      <c r="G465" s="175" t="s">
        <v>106</v>
      </c>
      <c r="H465" s="176">
        <f>9.7*516*0.03</f>
        <v>150.15599999999998</v>
      </c>
    </row>
    <row r="466" spans="1:8" ht="15" customHeight="1" x14ac:dyDescent="0.25">
      <c r="A466" s="250" t="str">
        <f>ORÇAMENTO!A139</f>
        <v>10.5</v>
      </c>
      <c r="B466" s="732" t="str">
        <f>ORÇAMENTO!D139</f>
        <v>LANÇAMENTO/APLICAÇÃO/ADENSAMENTO DE CONCRETO USINADO BOMBEADO EM ESTRUTURA - (O.C.)</v>
      </c>
      <c r="C466" s="733"/>
      <c r="D466" s="733"/>
      <c r="E466" s="733"/>
      <c r="F466" s="734"/>
      <c r="G466" s="251" t="str">
        <f>ORÇAMENTO!E139</f>
        <v>M3</v>
      </c>
      <c r="H466" s="252">
        <f>H469</f>
        <v>2922.4848775981518</v>
      </c>
    </row>
    <row r="467" spans="1:8" x14ac:dyDescent="0.25">
      <c r="A467" s="177"/>
      <c r="B467" s="128" t="s">
        <v>1026</v>
      </c>
      <c r="C467" s="255"/>
      <c r="D467" s="255"/>
      <c r="E467" s="255"/>
      <c r="F467" s="284"/>
      <c r="G467" s="180" t="s">
        <v>106</v>
      </c>
      <c r="H467" s="181">
        <f>H460</f>
        <v>2819.0939999999996</v>
      </c>
    </row>
    <row r="468" spans="1:8" x14ac:dyDescent="0.25">
      <c r="A468" s="217"/>
      <c r="B468" s="482" t="s">
        <v>1027</v>
      </c>
      <c r="C468" s="255"/>
      <c r="D468" s="255"/>
      <c r="E468" s="255"/>
      <c r="F468" s="284"/>
      <c r="G468" s="180" t="s">
        <v>106</v>
      </c>
      <c r="H468" s="181">
        <f>H558</f>
        <v>103.39087759815243</v>
      </c>
    </row>
    <row r="469" spans="1:8" ht="15" customHeight="1" x14ac:dyDescent="0.25">
      <c r="A469" s="288"/>
      <c r="B469" s="129"/>
      <c r="C469" s="253"/>
      <c r="D469" s="253"/>
      <c r="E469" s="253"/>
      <c r="F469" s="254"/>
      <c r="G469" s="281" t="s">
        <v>11</v>
      </c>
      <c r="H469" s="293">
        <f>H467+H468</f>
        <v>2922.4848775981518</v>
      </c>
    </row>
    <row r="470" spans="1:8" ht="30.75" customHeight="1" x14ac:dyDescent="0.25">
      <c r="A470" s="250" t="str">
        <f>ORÇAMENTO!A140</f>
        <v>10.6</v>
      </c>
      <c r="B470" s="732" t="str">
        <f>ORÇAMENTO!D140</f>
        <v>FORMA CH.COMPENSADA PLASTIF. 12MM-U=5V - (OBRAS CIVIS)</v>
      </c>
      <c r="C470" s="733"/>
      <c r="D470" s="733"/>
      <c r="E470" s="733"/>
      <c r="F470" s="734"/>
      <c r="G470" s="251" t="str">
        <f>ORÇAMENTO!E140</f>
        <v>M2</v>
      </c>
      <c r="H470" s="252">
        <f>SUM(H472:H474)</f>
        <v>3727.7599999999998</v>
      </c>
    </row>
    <row r="471" spans="1:8" ht="30.75" customHeight="1" x14ac:dyDescent="0.25">
      <c r="A471" s="212"/>
      <c r="B471" s="144"/>
      <c r="C471" s="145" t="s">
        <v>176</v>
      </c>
      <c r="D471" s="145" t="s">
        <v>282</v>
      </c>
      <c r="E471" s="145" t="s">
        <v>181</v>
      </c>
      <c r="F471" s="136" t="s">
        <v>180</v>
      </c>
      <c r="G471" s="298"/>
      <c r="H471" s="214"/>
    </row>
    <row r="472" spans="1:8" ht="15" customHeight="1" x14ac:dyDescent="0.25">
      <c r="A472" s="177"/>
      <c r="B472" s="128" t="s">
        <v>233</v>
      </c>
      <c r="C472" s="184">
        <v>2</v>
      </c>
      <c r="D472" s="184">
        <v>0.3</v>
      </c>
      <c r="E472" s="184">
        <v>9.6999999999999993</v>
      </c>
      <c r="F472" s="184">
        <v>516</v>
      </c>
      <c r="G472" s="199" t="s">
        <v>96</v>
      </c>
      <c r="H472" s="181">
        <f>C472*D472*F472</f>
        <v>309.59999999999997</v>
      </c>
    </row>
    <row r="473" spans="1:8" ht="15" customHeight="1" x14ac:dyDescent="0.25">
      <c r="A473" s="177"/>
      <c r="B473" s="118" t="s">
        <v>234</v>
      </c>
      <c r="C473" s="184">
        <v>2</v>
      </c>
      <c r="D473" s="184">
        <v>3.5</v>
      </c>
      <c r="E473" s="184">
        <v>0.25</v>
      </c>
      <c r="F473" s="184">
        <v>516</v>
      </c>
      <c r="G473" s="199" t="s">
        <v>96</v>
      </c>
      <c r="H473" s="181">
        <f>C473*D473*488</f>
        <v>3416</v>
      </c>
    </row>
    <row r="474" spans="1:8" ht="15" customHeight="1" x14ac:dyDescent="0.25">
      <c r="A474" s="177"/>
      <c r="B474" s="129" t="s">
        <v>235</v>
      </c>
      <c r="C474" s="184">
        <v>12</v>
      </c>
      <c r="D474" s="184">
        <v>0.6</v>
      </c>
      <c r="E474" s="184">
        <v>0.3</v>
      </c>
      <c r="F474" s="184">
        <v>9.6999999999999993</v>
      </c>
      <c r="G474" s="199" t="s">
        <v>96</v>
      </c>
      <c r="H474" s="181">
        <f>C474*E474*D474</f>
        <v>2.1599999999999997</v>
      </c>
    </row>
    <row r="475" spans="1:8" ht="15" customHeight="1" x14ac:dyDescent="0.25">
      <c r="A475" s="250" t="str">
        <f>ORÇAMENTO!A141</f>
        <v>10.7</v>
      </c>
      <c r="B475" s="146" t="str">
        <f>ORÇAMENTO!D141</f>
        <v>GEOTEXTIL - BIDIM RT-16 OU EQUIVALENTE</v>
      </c>
      <c r="C475" s="146"/>
      <c r="D475" s="146"/>
      <c r="E475" s="146"/>
      <c r="F475" s="146"/>
      <c r="G475" s="251" t="str">
        <f>ORÇAMENTO!E141</f>
        <v>M2</v>
      </c>
      <c r="H475" s="252">
        <f>H480</f>
        <v>10010.4</v>
      </c>
    </row>
    <row r="476" spans="1:8" ht="15" customHeight="1" x14ac:dyDescent="0.25">
      <c r="A476" s="177"/>
      <c r="B476" s="141" t="s">
        <v>409</v>
      </c>
      <c r="C476" s="255"/>
      <c r="D476" s="255"/>
      <c r="E476" s="255"/>
      <c r="F476" s="284"/>
      <c r="G476" s="180" t="s">
        <v>2</v>
      </c>
      <c r="H476" s="270"/>
    </row>
    <row r="477" spans="1:8" ht="15" customHeight="1" x14ac:dyDescent="0.25">
      <c r="A477" s="177"/>
      <c r="B477" s="128" t="s">
        <v>408</v>
      </c>
      <c r="C477" s="255"/>
      <c r="D477" s="255"/>
      <c r="E477" s="255"/>
      <c r="F477" s="284"/>
      <c r="G477" s="180" t="s">
        <v>2</v>
      </c>
      <c r="H477" s="270">
        <v>516</v>
      </c>
    </row>
    <row r="478" spans="1:8" ht="15" customHeight="1" x14ac:dyDescent="0.25">
      <c r="A478" s="177"/>
      <c r="B478" s="118" t="s">
        <v>237</v>
      </c>
      <c r="C478" s="178"/>
      <c r="D478" s="178"/>
      <c r="E478" s="178"/>
      <c r="F478" s="225"/>
      <c r="G478" s="180" t="s">
        <v>2</v>
      </c>
      <c r="H478" s="270">
        <v>9.6999999999999993</v>
      </c>
    </row>
    <row r="479" spans="1:8" ht="15" customHeight="1" x14ac:dyDescent="0.25">
      <c r="A479" s="177"/>
      <c r="B479" s="118" t="s">
        <v>238</v>
      </c>
      <c r="C479" s="178"/>
      <c r="D479" s="178"/>
      <c r="E479" s="178"/>
      <c r="F479" s="225"/>
      <c r="G479" s="180" t="s">
        <v>179</v>
      </c>
      <c r="H479" s="270">
        <v>2</v>
      </c>
    </row>
    <row r="480" spans="1:8" ht="15" customHeight="1" x14ac:dyDescent="0.25">
      <c r="A480" s="177"/>
      <c r="B480" s="129" t="s">
        <v>11</v>
      </c>
      <c r="C480" s="253"/>
      <c r="D480" s="253"/>
      <c r="E480" s="253"/>
      <c r="F480" s="254"/>
      <c r="G480" s="180" t="s">
        <v>96</v>
      </c>
      <c r="H480" s="270">
        <f>H479*H478*H477</f>
        <v>10010.4</v>
      </c>
    </row>
    <row r="481" spans="1:8" ht="15" customHeight="1" x14ac:dyDescent="0.25">
      <c r="A481" s="250" t="str">
        <f>ORÇAMENTO!A142</f>
        <v>10.8</v>
      </c>
      <c r="B481" s="732" t="str">
        <f>ORÇAMENTO!D142</f>
        <v>DRENO SUB-SUPERFICIAL - DSS 02 (EXCETO ESCAVAÇÃO) (BC)</v>
      </c>
      <c r="C481" s="733"/>
      <c r="D481" s="733"/>
      <c r="E481" s="733"/>
      <c r="F481" s="734"/>
      <c r="G481" s="251" t="s">
        <v>2</v>
      </c>
      <c r="H481" s="252">
        <f>H484</f>
        <v>2064</v>
      </c>
    </row>
    <row r="482" spans="1:8" ht="15" customHeight="1" x14ac:dyDescent="0.25">
      <c r="A482" s="177"/>
      <c r="B482" s="128" t="s">
        <v>408</v>
      </c>
      <c r="C482" s="255"/>
      <c r="D482" s="255"/>
      <c r="E482" s="255"/>
      <c r="F482" s="284"/>
      <c r="G482" s="180" t="s">
        <v>2</v>
      </c>
      <c r="H482" s="181">
        <v>516</v>
      </c>
    </row>
    <row r="483" spans="1:8" ht="15" customHeight="1" x14ac:dyDescent="0.25">
      <c r="A483" s="177"/>
      <c r="B483" s="125" t="s">
        <v>269</v>
      </c>
      <c r="C483" s="218"/>
      <c r="D483" s="218"/>
      <c r="E483" s="218"/>
      <c r="F483" s="280"/>
      <c r="G483" s="180" t="s">
        <v>2</v>
      </c>
      <c r="H483" s="181">
        <v>4</v>
      </c>
    </row>
    <row r="484" spans="1:8" ht="15" customHeight="1" x14ac:dyDescent="0.25">
      <c r="A484" s="177"/>
      <c r="B484" s="129" t="s">
        <v>11</v>
      </c>
      <c r="C484" s="253"/>
      <c r="D484" s="253"/>
      <c r="E484" s="253"/>
      <c r="F484" s="254"/>
      <c r="G484" s="180" t="s">
        <v>2</v>
      </c>
      <c r="H484" s="181">
        <f>H483*H482</f>
        <v>2064</v>
      </c>
    </row>
    <row r="485" spans="1:8" ht="15" customHeight="1" x14ac:dyDescent="0.25">
      <c r="A485" s="250" t="str">
        <f>ORÇAMENTO!A143</f>
        <v>10.9</v>
      </c>
      <c r="B485" s="732" t="str">
        <f>ORÇAMENTO!D143</f>
        <v>COLCHÃO DRENANTE COM BRITA (BC)</v>
      </c>
      <c r="C485" s="733"/>
      <c r="D485" s="733"/>
      <c r="E485" s="733"/>
      <c r="F485" s="734"/>
      <c r="G485" s="251" t="str">
        <f>ORÇAMENTO!E143</f>
        <v>M3</v>
      </c>
      <c r="H485" s="252">
        <f>H489</f>
        <v>1001.04</v>
      </c>
    </row>
    <row r="486" spans="1:8" ht="15" customHeight="1" x14ac:dyDescent="0.25">
      <c r="A486" s="177"/>
      <c r="B486" s="128" t="s">
        <v>408</v>
      </c>
      <c r="C486" s="255"/>
      <c r="D486" s="255"/>
      <c r="E486" s="255"/>
      <c r="F486" s="284"/>
      <c r="G486" s="180" t="s">
        <v>2</v>
      </c>
      <c r="H486" s="181">
        <v>516</v>
      </c>
    </row>
    <row r="487" spans="1:8" ht="15" customHeight="1" x14ac:dyDescent="0.25">
      <c r="A487" s="177"/>
      <c r="B487" s="118" t="s">
        <v>181</v>
      </c>
      <c r="C487" s="178"/>
      <c r="D487" s="178"/>
      <c r="E487" s="178"/>
      <c r="F487" s="225"/>
      <c r="G487" s="180" t="s">
        <v>2</v>
      </c>
      <c r="H487" s="181">
        <v>9.6999999999999993</v>
      </c>
    </row>
    <row r="488" spans="1:8" ht="15" customHeight="1" x14ac:dyDescent="0.25">
      <c r="A488" s="177"/>
      <c r="B488" s="118" t="s">
        <v>231</v>
      </c>
      <c r="C488" s="178"/>
      <c r="D488" s="178"/>
      <c r="E488" s="178"/>
      <c r="F488" s="225"/>
      <c r="G488" s="180" t="s">
        <v>2</v>
      </c>
      <c r="H488" s="181">
        <v>0.2</v>
      </c>
    </row>
    <row r="489" spans="1:8" ht="15" customHeight="1" x14ac:dyDescent="0.25">
      <c r="A489" s="177"/>
      <c r="B489" s="129" t="s">
        <v>11</v>
      </c>
      <c r="C489" s="253"/>
      <c r="D489" s="253"/>
      <c r="E489" s="253"/>
      <c r="F489" s="254"/>
      <c r="G489" s="180" t="s">
        <v>106</v>
      </c>
      <c r="H489" s="181">
        <f>H488*H487*H486</f>
        <v>1001.04</v>
      </c>
    </row>
    <row r="490" spans="1:8" ht="15" customHeight="1" x14ac:dyDescent="0.25">
      <c r="A490" s="250" t="str">
        <f>ORÇAMENTO!A144</f>
        <v>10.10</v>
      </c>
      <c r="B490" s="732" t="str">
        <f>ORÇAMENTO!D144</f>
        <v>TRANSPORTE COMERCIAL DE AGREGADOS - OAE</v>
      </c>
      <c r="C490" s="733"/>
      <c r="D490" s="733"/>
      <c r="E490" s="733"/>
      <c r="F490" s="734"/>
      <c r="G490" s="251" t="str">
        <f>ORÇAMENTO!E144</f>
        <v>TxKM</v>
      </c>
      <c r="H490" s="252">
        <f>H500</f>
        <v>662818.1</v>
      </c>
    </row>
    <row r="491" spans="1:8" ht="15" customHeight="1" x14ac:dyDescent="0.25">
      <c r="A491" s="212"/>
      <c r="B491" s="621"/>
      <c r="C491" s="622"/>
      <c r="D491" s="12" t="s">
        <v>180</v>
      </c>
      <c r="E491" s="289" t="s">
        <v>226</v>
      </c>
      <c r="F491" s="322" t="s">
        <v>967</v>
      </c>
      <c r="G491" s="213"/>
      <c r="H491" s="214"/>
    </row>
    <row r="492" spans="1:8" ht="15" customHeight="1" x14ac:dyDescent="0.25">
      <c r="A492" s="177"/>
      <c r="B492" s="623" t="s">
        <v>964</v>
      </c>
      <c r="C492" s="255"/>
      <c r="D492" s="255" t="s">
        <v>34</v>
      </c>
      <c r="E492" s="628">
        <f>H485</f>
        <v>1001.04</v>
      </c>
      <c r="F492" s="294">
        <v>1.1000000000000001</v>
      </c>
      <c r="G492" s="180" t="s">
        <v>106</v>
      </c>
      <c r="H492" s="270">
        <f>H485</f>
        <v>1001.04</v>
      </c>
    </row>
    <row r="493" spans="1:8" ht="15" customHeight="1" x14ac:dyDescent="0.25">
      <c r="A493" s="177"/>
      <c r="B493" s="117" t="s">
        <v>963</v>
      </c>
      <c r="C493" s="178"/>
      <c r="D493" s="178" t="s">
        <v>34</v>
      </c>
      <c r="E493" s="223">
        <f>H451</f>
        <v>2502.6</v>
      </c>
      <c r="F493" s="225">
        <v>1.5</v>
      </c>
      <c r="G493" s="180" t="s">
        <v>106</v>
      </c>
      <c r="H493" s="270">
        <f>H451</f>
        <v>2502.6</v>
      </c>
    </row>
    <row r="494" spans="1:8" ht="15" customHeight="1" x14ac:dyDescent="0.25">
      <c r="A494" s="177"/>
      <c r="B494" s="118" t="s">
        <v>965</v>
      </c>
      <c r="C494" s="178"/>
      <c r="D494" s="223">
        <f>H481</f>
        <v>2064</v>
      </c>
      <c r="E494" s="223" t="s">
        <v>34</v>
      </c>
      <c r="F494" s="225">
        <v>0.16</v>
      </c>
      <c r="G494" s="180" t="s">
        <v>106</v>
      </c>
      <c r="H494" s="270">
        <f>F494*D494</f>
        <v>330.24</v>
      </c>
    </row>
    <row r="495" spans="1:8" ht="15" customHeight="1" x14ac:dyDescent="0.25">
      <c r="A495" s="177"/>
      <c r="B495" s="118" t="s">
        <v>966</v>
      </c>
      <c r="C495" s="178"/>
      <c r="D495" s="223">
        <f>H501</f>
        <v>1033</v>
      </c>
      <c r="E495" s="223" t="s">
        <v>34</v>
      </c>
      <c r="F495" s="225">
        <v>0.14000000000000001</v>
      </c>
      <c r="G495" s="180" t="s">
        <v>106</v>
      </c>
      <c r="H495" s="270">
        <f>F495*D495</f>
        <v>144.62</v>
      </c>
    </row>
    <row r="496" spans="1:8" ht="15" customHeight="1" x14ac:dyDescent="0.25">
      <c r="A496" s="177"/>
      <c r="B496" s="118" t="s">
        <v>213</v>
      </c>
      <c r="C496" s="178"/>
      <c r="D496" s="178"/>
      <c r="E496" s="178"/>
      <c r="F496" s="225"/>
      <c r="G496" s="180" t="s">
        <v>106</v>
      </c>
      <c r="H496" s="181">
        <f>SUM(H492:H495)</f>
        <v>3978.5</v>
      </c>
    </row>
    <row r="497" spans="1:11" ht="15" customHeight="1" x14ac:dyDescent="0.25">
      <c r="A497" s="177"/>
      <c r="B497" s="118" t="s">
        <v>761</v>
      </c>
      <c r="C497" s="178"/>
      <c r="D497" s="178"/>
      <c r="E497" s="178"/>
      <c r="F497" s="225"/>
      <c r="G497" s="180" t="s">
        <v>228</v>
      </c>
      <c r="H497" s="181">
        <v>1.7</v>
      </c>
    </row>
    <row r="498" spans="1:11" ht="15" customHeight="1" x14ac:dyDescent="0.25">
      <c r="A498" s="177"/>
      <c r="B498" s="118" t="s">
        <v>202</v>
      </c>
      <c r="C498" s="178"/>
      <c r="D498" s="178"/>
      <c r="E498" s="178"/>
      <c r="F498" s="225"/>
      <c r="G498" s="180" t="s">
        <v>195</v>
      </c>
      <c r="H498" s="233">
        <v>40</v>
      </c>
    </row>
    <row r="499" spans="1:11" ht="15" customHeight="1" x14ac:dyDescent="0.25">
      <c r="A499" s="177"/>
      <c r="B499" s="118" t="s">
        <v>239</v>
      </c>
      <c r="C499" s="178"/>
      <c r="D499" s="178"/>
      <c r="E499" s="178"/>
      <c r="F499" s="225"/>
      <c r="G499" s="180" t="s">
        <v>197</v>
      </c>
      <c r="H499" s="181">
        <v>70</v>
      </c>
    </row>
    <row r="500" spans="1:11" ht="15" customHeight="1" x14ac:dyDescent="0.25">
      <c r="A500" s="177"/>
      <c r="B500" s="129"/>
      <c r="C500" s="253"/>
      <c r="D500" s="253"/>
      <c r="E500" s="253"/>
      <c r="F500" s="254"/>
      <c r="G500" s="180" t="s">
        <v>11</v>
      </c>
      <c r="H500" s="181">
        <f>H496*1.4*H499*1.7</f>
        <v>662818.1</v>
      </c>
    </row>
    <row r="501" spans="1:11" ht="15" customHeight="1" x14ac:dyDescent="0.25">
      <c r="A501" s="250" t="str">
        <f>ORÇAMENTO!A145</f>
        <v>10.11</v>
      </c>
      <c r="B501" s="732" t="str">
        <f>ORÇAMENTO!D145</f>
        <v>DRENO DE TUBO PEAD 100MM (0,5MX0,4M) (GAP) (AC/BC)</v>
      </c>
      <c r="C501" s="733"/>
      <c r="D501" s="733"/>
      <c r="E501" s="733"/>
      <c r="F501" s="734"/>
      <c r="G501" s="251" t="str">
        <f>ORÇAMENTO!E145</f>
        <v>M</v>
      </c>
      <c r="H501" s="252">
        <f>SUM(H507,H513)</f>
        <v>1033</v>
      </c>
      <c r="K501" s="30"/>
    </row>
    <row r="502" spans="1:11" ht="15" customHeight="1" x14ac:dyDescent="0.25">
      <c r="A502" s="177"/>
      <c r="B502" s="128" t="s">
        <v>240</v>
      </c>
      <c r="C502" s="255"/>
      <c r="D502" s="255"/>
      <c r="E502" s="255"/>
      <c r="F502" s="284"/>
      <c r="G502" s="180"/>
      <c r="H502" s="181"/>
    </row>
    <row r="503" spans="1:11" ht="15" customHeight="1" x14ac:dyDescent="0.25">
      <c r="A503" s="177"/>
      <c r="B503" s="128" t="s">
        <v>408</v>
      </c>
      <c r="C503" s="178"/>
      <c r="D503" s="178"/>
      <c r="E503" s="178"/>
      <c r="F503" s="225"/>
      <c r="G503" s="180" t="s">
        <v>2</v>
      </c>
      <c r="H503" s="270">
        <v>516</v>
      </c>
    </row>
    <row r="504" spans="1:11" ht="15" customHeight="1" x14ac:dyDescent="0.25">
      <c r="A504" s="177"/>
      <c r="B504" s="118" t="s">
        <v>241</v>
      </c>
      <c r="C504" s="178"/>
      <c r="D504" s="178"/>
      <c r="E504" s="178"/>
      <c r="F504" s="225"/>
      <c r="G504" s="180" t="s">
        <v>2</v>
      </c>
      <c r="H504" s="270">
        <v>1.5</v>
      </c>
    </row>
    <row r="505" spans="1:11" ht="15" customHeight="1" x14ac:dyDescent="0.25">
      <c r="A505" s="177"/>
      <c r="B505" s="118" t="s">
        <v>242</v>
      </c>
      <c r="C505" s="178"/>
      <c r="D505" s="178"/>
      <c r="E505" s="178"/>
      <c r="F505" s="225"/>
      <c r="G505" s="180" t="s">
        <v>179</v>
      </c>
      <c r="H505" s="270">
        <v>4</v>
      </c>
    </row>
    <row r="506" spans="1:11" ht="15" customHeight="1" x14ac:dyDescent="0.25">
      <c r="A506" s="177"/>
      <c r="B506" s="118" t="s">
        <v>243</v>
      </c>
      <c r="C506" s="178"/>
      <c r="D506" s="178"/>
      <c r="E506" s="178"/>
      <c r="F506" s="225"/>
      <c r="G506" s="180" t="s">
        <v>2</v>
      </c>
      <c r="H506" s="270">
        <v>0.5</v>
      </c>
    </row>
    <row r="507" spans="1:11" ht="15" customHeight="1" x14ac:dyDescent="0.25">
      <c r="A507" s="177"/>
      <c r="B507" s="118" t="s">
        <v>11</v>
      </c>
      <c r="C507" s="178"/>
      <c r="D507" s="178"/>
      <c r="E507" s="178"/>
      <c r="F507" s="225"/>
      <c r="G507" s="180" t="s">
        <v>2</v>
      </c>
      <c r="H507" s="181">
        <f>((H503/H504)*H506*H505)</f>
        <v>688</v>
      </c>
    </row>
    <row r="508" spans="1:11" ht="15" customHeight="1" x14ac:dyDescent="0.25">
      <c r="A508" s="177"/>
      <c r="B508" s="118" t="s">
        <v>244</v>
      </c>
      <c r="C508" s="178"/>
      <c r="D508" s="178"/>
      <c r="E508" s="178"/>
      <c r="F508" s="225"/>
      <c r="G508" s="180"/>
      <c r="H508" s="181"/>
    </row>
    <row r="509" spans="1:11" ht="15" customHeight="1" x14ac:dyDescent="0.25">
      <c r="A509" s="177"/>
      <c r="B509" s="128" t="s">
        <v>408</v>
      </c>
      <c r="C509" s="178"/>
      <c r="D509" s="178"/>
      <c r="E509" s="178"/>
      <c r="F509" s="225"/>
      <c r="G509" s="180" t="s">
        <v>2</v>
      </c>
      <c r="H509" s="270">
        <v>516</v>
      </c>
    </row>
    <row r="510" spans="1:11" ht="15" customHeight="1" x14ac:dyDescent="0.25">
      <c r="A510" s="177"/>
      <c r="B510" s="118" t="s">
        <v>241</v>
      </c>
      <c r="C510" s="178"/>
      <c r="D510" s="178"/>
      <c r="E510" s="178"/>
      <c r="F510" s="225"/>
      <c r="G510" s="180" t="s">
        <v>2</v>
      </c>
      <c r="H510" s="270">
        <v>1.5</v>
      </c>
    </row>
    <row r="511" spans="1:11" ht="15" customHeight="1" x14ac:dyDescent="0.25">
      <c r="A511" s="177"/>
      <c r="B511" s="118" t="s">
        <v>242</v>
      </c>
      <c r="C511" s="178"/>
      <c r="D511" s="178"/>
      <c r="E511" s="178"/>
      <c r="F511" s="225"/>
      <c r="G511" s="180" t="s">
        <v>179</v>
      </c>
      <c r="H511" s="270">
        <v>2</v>
      </c>
    </row>
    <row r="512" spans="1:11" ht="15" customHeight="1" x14ac:dyDescent="0.25">
      <c r="A512" s="177"/>
      <c r="B512" s="118" t="s">
        <v>243</v>
      </c>
      <c r="C512" s="178"/>
      <c r="D512" s="178"/>
      <c r="E512" s="178"/>
      <c r="F512" s="225"/>
      <c r="G512" s="180" t="s">
        <v>2</v>
      </c>
      <c r="H512" s="270">
        <v>0.5</v>
      </c>
    </row>
    <row r="513" spans="1:8" ht="15" customHeight="1" x14ac:dyDescent="0.25">
      <c r="A513" s="177"/>
      <c r="B513" s="129" t="s">
        <v>11</v>
      </c>
      <c r="C513" s="253"/>
      <c r="D513" s="253"/>
      <c r="E513" s="253"/>
      <c r="F513" s="254"/>
      <c r="G513" s="180" t="s">
        <v>2</v>
      </c>
      <c r="H513" s="181">
        <f>((H509/H510)*H512*H511)+1</f>
        <v>345</v>
      </c>
    </row>
    <row r="514" spans="1:8" ht="29.25" customHeight="1" x14ac:dyDescent="0.25">
      <c r="A514" s="250" t="str">
        <f>ORÇAMENTO!A146</f>
        <v>10.12</v>
      </c>
      <c r="B514" s="732" t="str">
        <f>ORÇAMENTO!D146</f>
        <v>BOMBA SUBMERSÍVEL ELÉTRICA TRIFÁSICA, POTÊNCIA 2,96 HP, Ø ROTOR 144 MM SEMI-ABERTO, BOCAL DE SAÍDA Ø 2, HM/Q = 2 MCA / 38,8 M3/H A 28 MCA /5 M3/H - CHP DIURNO. AF_06/2014</v>
      </c>
      <c r="C514" s="733"/>
      <c r="D514" s="733"/>
      <c r="E514" s="733"/>
      <c r="F514" s="734"/>
      <c r="G514" s="251" t="str">
        <f>ORÇAMENTO!E146</f>
        <v>CHP</v>
      </c>
      <c r="H514" s="252">
        <f>H518</f>
        <v>8800</v>
      </c>
    </row>
    <row r="515" spans="1:8" ht="15" customHeight="1" x14ac:dyDescent="0.25">
      <c r="A515" s="177"/>
      <c r="B515" s="128" t="s">
        <v>245</v>
      </c>
      <c r="C515" s="255"/>
      <c r="D515" s="255"/>
      <c r="E515" s="255"/>
      <c r="F515" s="284"/>
      <c r="G515" s="180" t="s">
        <v>246</v>
      </c>
      <c r="H515" s="181">
        <v>10</v>
      </c>
    </row>
    <row r="516" spans="1:8" ht="15" customHeight="1" x14ac:dyDescent="0.25">
      <c r="A516" s="177"/>
      <c r="B516" s="118" t="s">
        <v>247</v>
      </c>
      <c r="C516" s="178"/>
      <c r="D516" s="178"/>
      <c r="E516" s="178"/>
      <c r="F516" s="225"/>
      <c r="G516" s="180" t="s">
        <v>22</v>
      </c>
      <c r="H516" s="181">
        <f>8*22</f>
        <v>176</v>
      </c>
    </row>
    <row r="517" spans="1:8" ht="15" customHeight="1" x14ac:dyDescent="0.25">
      <c r="A517" s="177"/>
      <c r="B517" s="118" t="s">
        <v>248</v>
      </c>
      <c r="C517" s="178"/>
      <c r="D517" s="178"/>
      <c r="E517" s="178"/>
      <c r="F517" s="225"/>
      <c r="G517" s="180" t="s">
        <v>179</v>
      </c>
      <c r="H517" s="181">
        <v>5</v>
      </c>
    </row>
    <row r="518" spans="1:8" ht="15" customHeight="1" x14ac:dyDescent="0.25">
      <c r="A518" s="177"/>
      <c r="B518" s="129" t="s">
        <v>11</v>
      </c>
      <c r="C518" s="253"/>
      <c r="D518" s="253"/>
      <c r="E518" s="253"/>
      <c r="F518" s="254"/>
      <c r="G518" s="180" t="s">
        <v>249</v>
      </c>
      <c r="H518" s="181">
        <f>H517*H516*H515</f>
        <v>8800</v>
      </c>
    </row>
    <row r="519" spans="1:8" ht="30" customHeight="1" x14ac:dyDescent="0.25">
      <c r="A519" s="250" t="str">
        <f>ORÇAMENTO!A147</f>
        <v>10.13</v>
      </c>
      <c r="B519" s="732" t="str">
        <f>ORÇAMENTO!D147</f>
        <v>FORNECIMENTO, TRANSPORTE E ASSENTAMENTO DE TUBO D=1,20 M (AC)</v>
      </c>
      <c r="C519" s="733"/>
      <c r="D519" s="733"/>
      <c r="E519" s="733"/>
      <c r="F519" s="734"/>
      <c r="G519" s="251" t="str">
        <f>ORÇAMENTO!E147</f>
        <v>M</v>
      </c>
      <c r="H519" s="252">
        <f>SUM(H520:H521)</f>
        <v>80</v>
      </c>
    </row>
    <row r="520" spans="1:8" ht="15" customHeight="1" x14ac:dyDescent="0.25">
      <c r="A520" s="177"/>
      <c r="B520" s="118" t="s">
        <v>411</v>
      </c>
      <c r="C520" s="178"/>
      <c r="D520" s="178"/>
      <c r="E520" s="178"/>
      <c r="F520" s="225"/>
      <c r="G520" s="180" t="s">
        <v>2</v>
      </c>
      <c r="H520" s="181">
        <v>40</v>
      </c>
    </row>
    <row r="521" spans="1:8" ht="15" customHeight="1" x14ac:dyDescent="0.25">
      <c r="A521" s="177"/>
      <c r="B521" s="118" t="s">
        <v>410</v>
      </c>
      <c r="C521" s="178"/>
      <c r="D521" s="178"/>
      <c r="E521" s="178"/>
      <c r="F521" s="225"/>
      <c r="G521" s="180" t="s">
        <v>2</v>
      </c>
      <c r="H521" s="181">
        <v>40</v>
      </c>
    </row>
    <row r="522" spans="1:8" ht="15" customHeight="1" x14ac:dyDescent="0.25">
      <c r="A522" s="250" t="str">
        <f>ORÇAMENTO!A148</f>
        <v>10.14</v>
      </c>
      <c r="B522" s="732" t="str">
        <f>ORÇAMENTO!D148</f>
        <v xml:space="preserve"> ACO CA-50-A - 6,3 MM (1/4") - (OBRAS CIVIS) </v>
      </c>
      <c r="C522" s="733"/>
      <c r="D522" s="733"/>
      <c r="E522" s="733"/>
      <c r="F522" s="734"/>
      <c r="G522" s="251" t="str">
        <f>ORÇAMENTO!E148</f>
        <v>KG</v>
      </c>
      <c r="H522" s="252">
        <f>(H524*H525)+(H526*H527)+H529</f>
        <v>28969.119999999999</v>
      </c>
    </row>
    <row r="523" spans="1:8" ht="15" customHeight="1" x14ac:dyDescent="0.25">
      <c r="A523" s="177"/>
      <c r="B523" s="128" t="s">
        <v>412</v>
      </c>
      <c r="C523" s="256"/>
      <c r="D523" s="299"/>
      <c r="E523" s="256"/>
      <c r="F523" s="300"/>
      <c r="G523" s="184" t="s">
        <v>68</v>
      </c>
      <c r="H523" s="270"/>
    </row>
    <row r="524" spans="1:8" ht="15" customHeight="1" x14ac:dyDescent="0.25">
      <c r="A524" s="190"/>
      <c r="B524" s="147" t="s">
        <v>413</v>
      </c>
      <c r="C524" s="301"/>
      <c r="D524" s="302"/>
      <c r="E524" s="301"/>
      <c r="F524" s="303"/>
      <c r="G524" s="184" t="s">
        <v>68</v>
      </c>
      <c r="H524" s="275">
        <v>1170.23</v>
      </c>
    </row>
    <row r="525" spans="1:8" ht="15" customHeight="1" x14ac:dyDescent="0.25">
      <c r="A525" s="190"/>
      <c r="B525" s="147" t="s">
        <v>415</v>
      </c>
      <c r="C525" s="301"/>
      <c r="D525" s="302"/>
      <c r="E525" s="301"/>
      <c r="F525" s="303"/>
      <c r="G525" s="184" t="s">
        <v>179</v>
      </c>
      <c r="H525" s="275">
        <v>24</v>
      </c>
    </row>
    <row r="526" spans="1:8" ht="15" customHeight="1" x14ac:dyDescent="0.25">
      <c r="A526" s="190"/>
      <c r="B526" s="147" t="s">
        <v>414</v>
      </c>
      <c r="C526" s="301"/>
      <c r="D526" s="302"/>
      <c r="E526" s="301"/>
      <c r="F526" s="303"/>
      <c r="G526" s="184" t="s">
        <v>68</v>
      </c>
      <c r="H526" s="275">
        <v>21.13</v>
      </c>
    </row>
    <row r="527" spans="1:8" ht="15" customHeight="1" x14ac:dyDescent="0.25">
      <c r="A527" s="190"/>
      <c r="B527" s="147" t="s">
        <v>416</v>
      </c>
      <c r="C527" s="301"/>
      <c r="D527" s="302"/>
      <c r="E527" s="301"/>
      <c r="F527" s="303"/>
      <c r="G527" s="304" t="s">
        <v>7</v>
      </c>
      <c r="H527" s="275">
        <v>6</v>
      </c>
    </row>
    <row r="528" spans="1:8" ht="15" customHeight="1" x14ac:dyDescent="0.25">
      <c r="A528" s="190"/>
      <c r="B528" s="144" t="s">
        <v>425</v>
      </c>
      <c r="C528" s="301"/>
      <c r="D528" s="302"/>
      <c r="E528" s="301"/>
      <c r="F528" s="303"/>
      <c r="G528" s="304"/>
      <c r="H528" s="275"/>
    </row>
    <row r="529" spans="1:8" ht="15" customHeight="1" x14ac:dyDescent="0.25">
      <c r="A529" s="190"/>
      <c r="B529" s="147" t="s">
        <v>426</v>
      </c>
      <c r="C529" s="301"/>
      <c r="D529" s="302" t="s">
        <v>427</v>
      </c>
      <c r="E529" s="301" t="s">
        <v>428</v>
      </c>
      <c r="F529" s="303"/>
      <c r="G529" s="304"/>
      <c r="H529" s="275">
        <v>756.82</v>
      </c>
    </row>
    <row r="530" spans="1:8" ht="15" customHeight="1" x14ac:dyDescent="0.25">
      <c r="A530" s="250" t="str">
        <f>ORÇAMENTO!A149</f>
        <v>10.15</v>
      </c>
      <c r="B530" s="732" t="str">
        <f>ORÇAMENTO!D149</f>
        <v>ACO CA-50 A - 8,0 MM (5/16") - (OBRAS CIVIS)</v>
      </c>
      <c r="C530" s="733"/>
      <c r="D530" s="733"/>
      <c r="E530" s="733"/>
      <c r="F530" s="734"/>
      <c r="G530" s="251" t="str">
        <f>ORÇAMENTO!E149</f>
        <v>KG</v>
      </c>
      <c r="H530" s="252">
        <f>(H532*H533)+(H534*H535)</f>
        <v>17322.600000000002</v>
      </c>
    </row>
    <row r="531" spans="1:8" ht="15" customHeight="1" x14ac:dyDescent="0.25">
      <c r="A531" s="177"/>
      <c r="B531" s="128" t="s">
        <v>412</v>
      </c>
      <c r="C531" s="256"/>
      <c r="D531" s="299"/>
      <c r="E531" s="256"/>
      <c r="F531" s="300"/>
      <c r="G531" s="184" t="s">
        <v>68</v>
      </c>
      <c r="H531" s="472"/>
    </row>
    <row r="532" spans="1:8" ht="15" customHeight="1" x14ac:dyDescent="0.25">
      <c r="A532" s="190"/>
      <c r="B532" s="147" t="s">
        <v>413</v>
      </c>
      <c r="C532" s="301"/>
      <c r="D532" s="302"/>
      <c r="E532" s="301"/>
      <c r="F532" s="303"/>
      <c r="G532" s="184" t="s">
        <v>68</v>
      </c>
      <c r="H532" s="270">
        <v>712.58</v>
      </c>
    </row>
    <row r="533" spans="1:8" ht="15" customHeight="1" x14ac:dyDescent="0.25">
      <c r="A533" s="190"/>
      <c r="B533" s="147" t="s">
        <v>415</v>
      </c>
      <c r="C533" s="301"/>
      <c r="D533" s="302"/>
      <c r="E533" s="301"/>
      <c r="F533" s="303"/>
      <c r="G533" s="184" t="s">
        <v>7</v>
      </c>
      <c r="H533" s="275">
        <v>24</v>
      </c>
    </row>
    <row r="534" spans="1:8" ht="15" customHeight="1" x14ac:dyDescent="0.25">
      <c r="A534" s="190"/>
      <c r="B534" s="147" t="s">
        <v>414</v>
      </c>
      <c r="C534" s="301"/>
      <c r="D534" s="302"/>
      <c r="E534" s="301"/>
      <c r="F534" s="303"/>
      <c r="G534" s="304" t="s">
        <v>68</v>
      </c>
      <c r="H534" s="275">
        <v>36.78</v>
      </c>
    </row>
    <row r="535" spans="1:8" ht="15" customHeight="1" x14ac:dyDescent="0.25">
      <c r="A535" s="190"/>
      <c r="B535" s="147" t="s">
        <v>416</v>
      </c>
      <c r="C535" s="301"/>
      <c r="D535" s="302"/>
      <c r="E535" s="301"/>
      <c r="F535" s="303"/>
      <c r="G535" s="304" t="s">
        <v>7</v>
      </c>
      <c r="H535" s="275">
        <v>6</v>
      </c>
    </row>
    <row r="536" spans="1:8" ht="15" customHeight="1" x14ac:dyDescent="0.25">
      <c r="A536" s="250" t="str">
        <f>ORÇAMENTO!A150</f>
        <v>10.16</v>
      </c>
      <c r="B536" s="732" t="str">
        <f>ORÇAMENTO!D150</f>
        <v>ACO CA-50A - 10,0 MM (3/8") - (OBRAS CIVIS)</v>
      </c>
      <c r="C536" s="733"/>
      <c r="D536" s="733"/>
      <c r="E536" s="733"/>
      <c r="F536" s="734"/>
      <c r="G536" s="251" t="str">
        <f>ORÇAMENTO!E150</f>
        <v>KG</v>
      </c>
      <c r="H536" s="252">
        <f>H538*H539</f>
        <v>27282.959999999999</v>
      </c>
    </row>
    <row r="537" spans="1:8" ht="15" customHeight="1" x14ac:dyDescent="0.25">
      <c r="A537" s="177"/>
      <c r="B537" s="128" t="s">
        <v>412</v>
      </c>
      <c r="C537" s="256"/>
      <c r="D537" s="299"/>
      <c r="E537" s="256"/>
      <c r="F537" s="300"/>
      <c r="G537" s="184" t="s">
        <v>68</v>
      </c>
      <c r="H537" s="270"/>
    </row>
    <row r="538" spans="1:8" ht="15" customHeight="1" x14ac:dyDescent="0.25">
      <c r="A538" s="190"/>
      <c r="B538" s="147" t="s">
        <v>413</v>
      </c>
      <c r="C538" s="301"/>
      <c r="D538" s="302"/>
      <c r="E538" s="301"/>
      <c r="F538" s="303"/>
      <c r="G538" s="184" t="s">
        <v>68</v>
      </c>
      <c r="H538" s="270">
        <v>1136.79</v>
      </c>
    </row>
    <row r="539" spans="1:8" ht="15" customHeight="1" x14ac:dyDescent="0.25">
      <c r="A539" s="190"/>
      <c r="B539" s="147" t="s">
        <v>415</v>
      </c>
      <c r="C539" s="301"/>
      <c r="D539" s="302"/>
      <c r="E539" s="301"/>
      <c r="F539" s="303"/>
      <c r="G539" s="184" t="s">
        <v>68</v>
      </c>
      <c r="H539" s="275">
        <v>24</v>
      </c>
    </row>
    <row r="540" spans="1:8" ht="15" customHeight="1" x14ac:dyDescent="0.25">
      <c r="A540" s="250" t="str">
        <f>ORÇAMENTO!A151</f>
        <v>10.17</v>
      </c>
      <c r="B540" s="732" t="str">
        <f>ORÇAMENTO!D151</f>
        <v>JUNTA DE DILATACAO ELASTICA (PVC) O-220/6 PRESSAO ATE 30 MCA</v>
      </c>
      <c r="C540" s="733"/>
      <c r="D540" s="733"/>
      <c r="E540" s="733"/>
      <c r="F540" s="734"/>
      <c r="G540" s="251" t="str">
        <f>ORÇAMENTO!E151</f>
        <v>M</v>
      </c>
      <c r="H540" s="249">
        <f>SUM(H541:H542)</f>
        <v>537.59999999999991</v>
      </c>
    </row>
    <row r="541" spans="1:8" ht="15" customHeight="1" x14ac:dyDescent="0.25">
      <c r="A541" s="177"/>
      <c r="B541" s="148"/>
      <c r="C541" s="180" t="s">
        <v>250</v>
      </c>
      <c r="D541" s="180" t="s">
        <v>418</v>
      </c>
      <c r="E541" s="180" t="s">
        <v>251</v>
      </c>
      <c r="F541" s="180"/>
      <c r="G541" s="180"/>
      <c r="H541" s="305"/>
    </row>
    <row r="542" spans="1:8" ht="15" customHeight="1" x14ac:dyDescent="0.25">
      <c r="A542" s="177"/>
      <c r="B542" s="148" t="s">
        <v>417</v>
      </c>
      <c r="C542" s="262">
        <v>8.4</v>
      </c>
      <c r="D542" s="262">
        <v>7</v>
      </c>
      <c r="E542" s="262">
        <v>24</v>
      </c>
      <c r="F542" s="180"/>
      <c r="G542" s="180" t="s">
        <v>2</v>
      </c>
      <c r="H542" s="305">
        <f>(C542+(D542*2))*E542</f>
        <v>537.59999999999991</v>
      </c>
    </row>
    <row r="543" spans="1:8" ht="15" customHeight="1" x14ac:dyDescent="0.25">
      <c r="A543" s="250" t="str">
        <f>ORÇAMENTO!A152</f>
        <v>10.18</v>
      </c>
      <c r="B543" s="732" t="str">
        <f>ORÇAMENTO!D152</f>
        <v>ENSAIO DE RESISTENCIA A COMPRESSAO SIMPLES - CONCRETO</v>
      </c>
      <c r="C543" s="733"/>
      <c r="D543" s="733"/>
      <c r="E543" s="733"/>
      <c r="F543" s="734"/>
      <c r="G543" s="251" t="str">
        <f>ORÇAMENTO!E152</f>
        <v>UND</v>
      </c>
      <c r="H543" s="249">
        <f>H544</f>
        <v>1440</v>
      </c>
    </row>
    <row r="544" spans="1:8" ht="15" customHeight="1" x14ac:dyDescent="0.25">
      <c r="A544" s="177"/>
      <c r="B544" s="128" t="s">
        <v>252</v>
      </c>
      <c r="C544" s="255"/>
      <c r="D544" s="255"/>
      <c r="E544" s="255"/>
      <c r="F544" s="284"/>
      <c r="G544" s="180" t="s">
        <v>7</v>
      </c>
      <c r="H544" s="305">
        <v>1440</v>
      </c>
    </row>
    <row r="545" spans="1:8" ht="30" customHeight="1" x14ac:dyDescent="0.25">
      <c r="A545" s="250" t="str">
        <f>ORÇAMENTO!A153</f>
        <v>10.19</v>
      </c>
      <c r="B545" s="732" t="str">
        <f>ORÇAMENTO!D153</f>
        <v>ALVENARIA DE BLOCOS DE CONCRETO ESTRUTURAL 14X19X39 CM, (ESPESSURA 14CM), FBK = 4,5 MPA, PARA PAREDES COM ÁREA LÍQUIDA MAIOR OU IGUAL A 6M², SEM VÃOS, UTILIZANDO PALHETA. AF_12/2014VÃOS, UTILIZANDO PALHETA. AF_12/2014</v>
      </c>
      <c r="C545" s="733"/>
      <c r="D545" s="733"/>
      <c r="E545" s="733"/>
      <c r="F545" s="734"/>
      <c r="G545" s="251" t="str">
        <f>ORÇAMENTO!E153</f>
        <v>M2</v>
      </c>
      <c r="H545" s="249">
        <f>((H547+H548)*H549)+H551</f>
        <v>1237.0999999999999</v>
      </c>
    </row>
    <row r="546" spans="1:8" ht="21.75" customHeight="1" x14ac:dyDescent="0.25">
      <c r="A546" s="212"/>
      <c r="B546" s="144" t="s">
        <v>430</v>
      </c>
      <c r="C546" s="149"/>
      <c r="D546" s="149"/>
      <c r="E546" s="149"/>
      <c r="F546" s="150"/>
      <c r="G546" s="213"/>
      <c r="H546" s="306"/>
    </row>
    <row r="547" spans="1:8" ht="15" customHeight="1" x14ac:dyDescent="0.25">
      <c r="A547" s="177"/>
      <c r="B547" s="128" t="s">
        <v>253</v>
      </c>
      <c r="C547" s="255"/>
      <c r="D547" s="255"/>
      <c r="E547" s="255"/>
      <c r="F547" s="284"/>
      <c r="G547" s="180" t="s">
        <v>96</v>
      </c>
      <c r="H547" s="307">
        <v>483</v>
      </c>
    </row>
    <row r="548" spans="1:8" ht="15" customHeight="1" x14ac:dyDescent="0.25">
      <c r="A548" s="177"/>
      <c r="B548" s="118" t="s">
        <v>254</v>
      </c>
      <c r="C548" s="178"/>
      <c r="D548" s="178"/>
      <c r="E548" s="178"/>
      <c r="F548" s="225"/>
      <c r="G548" s="180" t="s">
        <v>96</v>
      </c>
      <c r="H548" s="307">
        <v>475</v>
      </c>
    </row>
    <row r="549" spans="1:8" ht="15" customHeight="1" x14ac:dyDescent="0.25">
      <c r="A549" s="177"/>
      <c r="B549" s="118" t="s">
        <v>231</v>
      </c>
      <c r="C549" s="178"/>
      <c r="D549" s="178"/>
      <c r="E549" s="178"/>
      <c r="F549" s="225"/>
      <c r="G549" s="180" t="s">
        <v>96</v>
      </c>
      <c r="H549" s="308">
        <v>1.2</v>
      </c>
    </row>
    <row r="550" spans="1:8" ht="15" customHeight="1" x14ac:dyDescent="0.25">
      <c r="A550" s="177"/>
      <c r="B550" s="144" t="s">
        <v>431</v>
      </c>
      <c r="C550" s="178"/>
      <c r="D550" s="178"/>
      <c r="E550" s="178"/>
      <c r="F550" s="225"/>
      <c r="G550" s="180" t="s">
        <v>96</v>
      </c>
      <c r="H550" s="307"/>
    </row>
    <row r="551" spans="1:8" ht="15" customHeight="1" x14ac:dyDescent="0.25">
      <c r="A551" s="190"/>
      <c r="B551" s="147" t="s">
        <v>234</v>
      </c>
      <c r="C551" s="191"/>
      <c r="D551" s="191"/>
      <c r="E551" s="191"/>
      <c r="F551" s="238"/>
      <c r="G551" s="180" t="s">
        <v>96</v>
      </c>
      <c r="H551" s="309">
        <f>43.75*2</f>
        <v>87.5</v>
      </c>
    </row>
    <row r="552" spans="1:8" ht="30.75" customHeight="1" x14ac:dyDescent="0.25">
      <c r="A552" s="250" t="str">
        <f>ORÇAMENTO!A154</f>
        <v>10.20</v>
      </c>
      <c r="B552" s="732" t="str">
        <f>ORÇAMENTO!D154</f>
        <v>CHAPISCO COMUM</v>
      </c>
      <c r="C552" s="733"/>
      <c r="D552" s="733"/>
      <c r="E552" s="733"/>
      <c r="F552" s="734"/>
      <c r="G552" s="251" t="str">
        <f>ORÇAMENTO!E154</f>
        <v>M2</v>
      </c>
      <c r="H552" s="249">
        <f>H555</f>
        <v>2474.1999999999998</v>
      </c>
    </row>
    <row r="553" spans="1:8" ht="15" customHeight="1" x14ac:dyDescent="0.25">
      <c r="A553" s="177"/>
      <c r="B553" s="128" t="s">
        <v>947</v>
      </c>
      <c r="C553" s="255"/>
      <c r="D553" s="255"/>
      <c r="E553" s="255"/>
      <c r="F553" s="284"/>
      <c r="G553" s="180" t="s">
        <v>96</v>
      </c>
      <c r="H553" s="307">
        <f>H545</f>
        <v>1237.0999999999999</v>
      </c>
    </row>
    <row r="554" spans="1:8" ht="15" customHeight="1" x14ac:dyDescent="0.25">
      <c r="A554" s="177"/>
      <c r="B554" s="118" t="s">
        <v>198</v>
      </c>
      <c r="C554" s="178"/>
      <c r="D554" s="178"/>
      <c r="E554" s="178"/>
      <c r="F554" s="225"/>
      <c r="G554" s="180" t="s">
        <v>179</v>
      </c>
      <c r="H554" s="307">
        <v>2</v>
      </c>
    </row>
    <row r="555" spans="1:8" ht="15" customHeight="1" x14ac:dyDescent="0.25">
      <c r="A555" s="190"/>
      <c r="B555" s="125"/>
      <c r="C555" s="218"/>
      <c r="D555" s="218"/>
      <c r="E555" s="218"/>
      <c r="F555" s="280"/>
      <c r="G555" s="193" t="s">
        <v>11</v>
      </c>
      <c r="H555" s="309">
        <f>H554*H553</f>
        <v>2474.1999999999998</v>
      </c>
    </row>
    <row r="556" spans="1:8" ht="27" customHeight="1" x14ac:dyDescent="0.25">
      <c r="A556" s="250" t="str">
        <f>ORÇAMENTO!A155</f>
        <v>10.21</v>
      </c>
      <c r="B556" s="732" t="str">
        <f>ORÇAMENTO!D155</f>
        <v>REBOCO PAULISTA A-14 (1CALH:4ARMLC+100kgCI/M3)</v>
      </c>
      <c r="C556" s="733"/>
      <c r="D556" s="733"/>
      <c r="E556" s="733"/>
      <c r="F556" s="734"/>
      <c r="G556" s="251" t="str">
        <f>ORÇAMENTO!E155</f>
        <v>M2</v>
      </c>
      <c r="H556" s="252">
        <f>SUM(H557:H557)</f>
        <v>2474.1999999999998</v>
      </c>
    </row>
    <row r="557" spans="1:8" ht="15" customHeight="1" thickBot="1" x14ac:dyDescent="0.3">
      <c r="A557" s="217"/>
      <c r="B557" s="147" t="s">
        <v>948</v>
      </c>
      <c r="C557" s="289"/>
      <c r="D557" s="289"/>
      <c r="E557" s="289"/>
      <c r="F557" s="292"/>
      <c r="G557" s="221" t="s">
        <v>96</v>
      </c>
      <c r="H557" s="287">
        <f>H552</f>
        <v>2474.1999999999998</v>
      </c>
    </row>
    <row r="558" spans="1:8" ht="15" customHeight="1" thickBot="1" x14ac:dyDescent="0.3">
      <c r="A558" s="186" t="str">
        <f>ORÇAMENTO!A156</f>
        <v>10.22</v>
      </c>
      <c r="B558" s="739" t="str">
        <f>ORÇAMENTO!D156</f>
        <v>CONCRETO USINADO BOMBEÁVEL FCK=25 MPA (O.C.)</v>
      </c>
      <c r="C558" s="740"/>
      <c r="D558" s="740"/>
      <c r="E558" s="740"/>
      <c r="F558" s="740"/>
      <c r="G558" s="166" t="s">
        <v>106</v>
      </c>
      <c r="H558" s="310">
        <f>SUM(H559:H561)</f>
        <v>103.39087759815243</v>
      </c>
    </row>
    <row r="559" spans="1:8" ht="15" customHeight="1" x14ac:dyDescent="0.25">
      <c r="A559" s="311"/>
      <c r="B559" s="151"/>
      <c r="C559" s="312"/>
      <c r="D559" s="312" t="s">
        <v>193</v>
      </c>
      <c r="E559" s="312" t="s">
        <v>424</v>
      </c>
      <c r="F559" s="312" t="s">
        <v>282</v>
      </c>
      <c r="G559" s="175"/>
      <c r="H559" s="313"/>
    </row>
    <row r="560" spans="1:8" ht="15" customHeight="1" x14ac:dyDescent="0.25">
      <c r="A560" s="177"/>
      <c r="B560" s="143" t="s">
        <v>422</v>
      </c>
      <c r="C560" s="185"/>
      <c r="D560" s="185">
        <f>2071.34-1163</f>
        <v>908.34000000000015</v>
      </c>
      <c r="E560" s="314" t="s">
        <v>423</v>
      </c>
      <c r="F560" s="185">
        <v>0.05</v>
      </c>
      <c r="G560" s="180" t="s">
        <v>106</v>
      </c>
      <c r="H560" s="270">
        <f>(D560/0.866)*F560</f>
        <v>52.444572748267916</v>
      </c>
    </row>
    <row r="561" spans="1:8" ht="15" customHeight="1" thickBot="1" x14ac:dyDescent="0.3">
      <c r="A561" s="315"/>
      <c r="B561" s="152" t="s">
        <v>421</v>
      </c>
      <c r="C561" s="316"/>
      <c r="D561" s="316">
        <f>2057.85-1175.46</f>
        <v>882.38999999999987</v>
      </c>
      <c r="E561" s="314" t="s">
        <v>423</v>
      </c>
      <c r="F561" s="316">
        <v>0.05</v>
      </c>
      <c r="G561" s="317" t="s">
        <v>106</v>
      </c>
      <c r="H561" s="270">
        <f>(D561/0.866)*F561</f>
        <v>50.94630484988452</v>
      </c>
    </row>
    <row r="562" spans="1:8" ht="15" customHeight="1" thickBot="1" x14ac:dyDescent="0.3">
      <c r="A562" s="186" t="str">
        <f>ORÇAMENTO!A157</f>
        <v>10.23</v>
      </c>
      <c r="B562" s="739" t="str">
        <f>ORÇAMENTO!D157</f>
        <v>TELA SOLDADA Q138</v>
      </c>
      <c r="C562" s="740"/>
      <c r="D562" s="740"/>
      <c r="E562" s="740"/>
      <c r="F562" s="741"/>
      <c r="G562" s="166" t="str">
        <f>ORÇAMENTO!E157</f>
        <v>M2</v>
      </c>
      <c r="H562" s="310">
        <f>H563</f>
        <v>1790.73</v>
      </c>
    </row>
    <row r="563" spans="1:8" ht="15" customHeight="1" thickBot="1" x14ac:dyDescent="0.3">
      <c r="A563" s="318"/>
      <c r="B563" s="319" t="s">
        <v>429</v>
      </c>
      <c r="C563" s="320"/>
      <c r="D563" s="320"/>
      <c r="E563" s="321"/>
      <c r="F563" s="204"/>
      <c r="G563" s="175" t="s">
        <v>96</v>
      </c>
      <c r="H563" s="313">
        <v>1790.73</v>
      </c>
    </row>
    <row r="564" spans="1:8" ht="15" customHeight="1" thickBot="1" x14ac:dyDescent="0.3">
      <c r="A564" s="186" t="str">
        <f>ORÇAMENTO!A158</f>
        <v>10.24</v>
      </c>
      <c r="B564" s="739" t="str">
        <f>ORÇAMENTO!D158</f>
        <v>DISSIPADOR DE ENERGIA - DEB 11 (AC/BC)</v>
      </c>
      <c r="C564" s="740"/>
      <c r="D564" s="740"/>
      <c r="E564" s="740"/>
      <c r="F564" s="740"/>
      <c r="G564" s="166" t="s">
        <v>106</v>
      </c>
      <c r="H564" s="310">
        <f>H565</f>
        <v>2</v>
      </c>
    </row>
    <row r="565" spans="1:8" ht="15" customHeight="1" thickBot="1" x14ac:dyDescent="0.3">
      <c r="A565" s="311"/>
      <c r="B565" s="151" t="s">
        <v>778</v>
      </c>
      <c r="C565" s="312"/>
      <c r="D565" s="312"/>
      <c r="E565" s="312" t="s">
        <v>269</v>
      </c>
      <c r="F565" s="312">
        <v>2</v>
      </c>
      <c r="G565" s="175" t="s">
        <v>7</v>
      </c>
      <c r="H565" s="313">
        <v>2</v>
      </c>
    </row>
    <row r="566" spans="1:8" ht="15" customHeight="1" thickBot="1" x14ac:dyDescent="0.3">
      <c r="A566" s="186" t="str">
        <f>ORÇAMENTO!A159</f>
        <v>10.25</v>
      </c>
      <c r="B566" s="739" t="str">
        <f>ORÇAMENTO!D159</f>
        <v>PINTURA TEXTURIZADA C/SELADOR ACRILICO</v>
      </c>
      <c r="C566" s="740"/>
      <c r="D566" s="740"/>
      <c r="E566" s="740"/>
      <c r="F566" s="740"/>
      <c r="G566" s="166" t="s">
        <v>96</v>
      </c>
      <c r="H566" s="310">
        <f>H567</f>
        <v>2474.1999999999998</v>
      </c>
    </row>
    <row r="567" spans="1:8" ht="15" customHeight="1" thickBot="1" x14ac:dyDescent="0.3">
      <c r="A567" s="311"/>
      <c r="B567" s="151" t="s">
        <v>949</v>
      </c>
      <c r="C567" s="312"/>
      <c r="D567" s="312"/>
      <c r="E567" s="312"/>
      <c r="F567" s="312"/>
      <c r="G567" s="175" t="s">
        <v>96</v>
      </c>
      <c r="H567" s="313">
        <f>H557</f>
        <v>2474.1999999999998</v>
      </c>
    </row>
    <row r="568" spans="1:8" ht="15" customHeight="1" thickBot="1" x14ac:dyDescent="0.3">
      <c r="A568" s="153">
        <v>11</v>
      </c>
      <c r="B568" s="116" t="s">
        <v>441</v>
      </c>
      <c r="C568" s="162"/>
      <c r="D568" s="162"/>
      <c r="E568" s="162"/>
      <c r="F568" s="162"/>
      <c r="G568" s="162"/>
      <c r="H568" s="260"/>
    </row>
    <row r="569" spans="1:8" ht="15" customHeight="1" x14ac:dyDescent="0.25">
      <c r="A569" s="295" t="str">
        <f>ORÇAMENTO!A163</f>
        <v>11.1</v>
      </c>
      <c r="B569" s="744" t="str">
        <f>ORÇAMENTO!D163</f>
        <v>ESCAVAÇÃO MANUAL COM REATERRO E COMPACTAÇÃO EM MATERIAL DE 2ª CATEGORIA</v>
      </c>
      <c r="C569" s="744"/>
      <c r="D569" s="744"/>
      <c r="E569" s="744"/>
      <c r="F569" s="744"/>
      <c r="G569" s="296" t="s">
        <v>179</v>
      </c>
      <c r="H569" s="297" t="s">
        <v>11</v>
      </c>
    </row>
    <row r="570" spans="1:8" ht="15" customHeight="1" x14ac:dyDescent="0.25">
      <c r="A570" s="205"/>
      <c r="B570" s="121" t="s">
        <v>442</v>
      </c>
      <c r="C570" s="207"/>
      <c r="D570" s="207" t="s">
        <v>180</v>
      </c>
      <c r="E570" s="207" t="s">
        <v>443</v>
      </c>
      <c r="F570" s="207" t="s">
        <v>181</v>
      </c>
      <c r="G570" s="207" t="s">
        <v>106</v>
      </c>
      <c r="H570" s="208">
        <v>147.41999999999999</v>
      </c>
    </row>
    <row r="571" spans="1:8" ht="15" customHeight="1" x14ac:dyDescent="0.25">
      <c r="A571" s="205"/>
      <c r="B571" s="121" t="s">
        <v>444</v>
      </c>
      <c r="C571" s="207"/>
      <c r="D571" s="207">
        <v>1638</v>
      </c>
      <c r="E571" s="207">
        <v>0.3</v>
      </c>
      <c r="F571" s="207">
        <v>0.3</v>
      </c>
      <c r="G571" s="207">
        <v>147.41999999999999</v>
      </c>
      <c r="H571" s="208">
        <v>147.41999999999999</v>
      </c>
    </row>
    <row r="572" spans="1:8" ht="15" customHeight="1" x14ac:dyDescent="0.25">
      <c r="A572" s="250" t="str">
        <f>ORÇAMENTO!A164</f>
        <v>11.2</v>
      </c>
      <c r="B572" s="738" t="s">
        <v>30</v>
      </c>
      <c r="C572" s="738"/>
      <c r="D572" s="738"/>
      <c r="E572" s="738"/>
      <c r="F572" s="738"/>
      <c r="G572" s="251" t="s">
        <v>179</v>
      </c>
      <c r="H572" s="252" t="s">
        <v>11</v>
      </c>
    </row>
    <row r="573" spans="1:8" ht="15" customHeight="1" x14ac:dyDescent="0.25">
      <c r="A573" s="205"/>
      <c r="B573" s="121" t="s">
        <v>445</v>
      </c>
      <c r="C573" s="207"/>
      <c r="D573" s="207"/>
      <c r="E573" s="207"/>
      <c r="F573" s="207"/>
      <c r="G573" s="207" t="s">
        <v>106</v>
      </c>
      <c r="H573" s="208">
        <v>1</v>
      </c>
    </row>
    <row r="574" spans="1:8" ht="15" customHeight="1" x14ac:dyDescent="0.25">
      <c r="A574" s="250" t="str">
        <f>ORÇAMENTO!A165</f>
        <v>11.3</v>
      </c>
      <c r="B574" s="738" t="s">
        <v>37</v>
      </c>
      <c r="C574" s="738"/>
      <c r="D574" s="738"/>
      <c r="E574" s="738"/>
      <c r="F574" s="738"/>
      <c r="G574" s="251" t="s">
        <v>179</v>
      </c>
      <c r="H574" s="252" t="s">
        <v>11</v>
      </c>
    </row>
    <row r="575" spans="1:8" ht="15" customHeight="1" x14ac:dyDescent="0.25">
      <c r="A575" s="205"/>
      <c r="B575" s="121" t="s">
        <v>446</v>
      </c>
      <c r="C575" s="207"/>
      <c r="D575" s="207"/>
      <c r="E575" s="207"/>
      <c r="F575" s="207"/>
      <c r="G575" s="207" t="s">
        <v>106</v>
      </c>
      <c r="H575" s="208">
        <v>1</v>
      </c>
    </row>
    <row r="576" spans="1:8" ht="15" customHeight="1" x14ac:dyDescent="0.25">
      <c r="A576" s="250" t="str">
        <f>ORÇAMENTO!A166</f>
        <v>11.4</v>
      </c>
      <c r="B576" s="738" t="s">
        <v>41</v>
      </c>
      <c r="C576" s="738"/>
      <c r="D576" s="738"/>
      <c r="E576" s="738"/>
      <c r="F576" s="738"/>
      <c r="G576" s="251" t="s">
        <v>179</v>
      </c>
      <c r="H576" s="252" t="s">
        <v>11</v>
      </c>
    </row>
    <row r="577" spans="1:8" ht="15" customHeight="1" x14ac:dyDescent="0.25">
      <c r="A577" s="205"/>
      <c r="B577" s="121" t="s">
        <v>447</v>
      </c>
      <c r="C577" s="207"/>
      <c r="D577" s="207"/>
      <c r="E577" s="207"/>
      <c r="F577" s="207"/>
      <c r="G577" s="207" t="s">
        <v>106</v>
      </c>
      <c r="H577" s="208">
        <v>1</v>
      </c>
    </row>
    <row r="578" spans="1:8" ht="15" customHeight="1" x14ac:dyDescent="0.25">
      <c r="A578" s="250" t="str">
        <f>ORÇAMENTO!A167</f>
        <v>11.5</v>
      </c>
      <c r="B578" s="738" t="s">
        <v>46</v>
      </c>
      <c r="C578" s="738"/>
      <c r="D578" s="738"/>
      <c r="E578" s="738"/>
      <c r="F578" s="738"/>
      <c r="G578" s="251" t="s">
        <v>179</v>
      </c>
      <c r="H578" s="252" t="s">
        <v>11</v>
      </c>
    </row>
    <row r="579" spans="1:8" ht="15" customHeight="1" x14ac:dyDescent="0.25">
      <c r="A579" s="205"/>
      <c r="B579" s="137" t="s">
        <v>448</v>
      </c>
      <c r="C579" s="206"/>
      <c r="D579" s="206"/>
      <c r="E579" s="206"/>
      <c r="F579" s="206"/>
      <c r="G579" s="207" t="s">
        <v>179</v>
      </c>
      <c r="H579" s="208">
        <v>26</v>
      </c>
    </row>
    <row r="580" spans="1:8" ht="15" customHeight="1" x14ac:dyDescent="0.25">
      <c r="A580" s="250" t="str">
        <f>ORÇAMENTO!A168</f>
        <v>11.6</v>
      </c>
      <c r="B580" s="738" t="s">
        <v>60</v>
      </c>
      <c r="C580" s="738"/>
      <c r="D580" s="738"/>
      <c r="E580" s="738"/>
      <c r="F580" s="738"/>
      <c r="G580" s="251" t="s">
        <v>179</v>
      </c>
      <c r="H580" s="252" t="s">
        <v>11</v>
      </c>
    </row>
    <row r="581" spans="1:8" ht="15" customHeight="1" x14ac:dyDescent="0.25">
      <c r="A581" s="205"/>
      <c r="B581" s="137" t="s">
        <v>449</v>
      </c>
      <c r="C581" s="206"/>
      <c r="D581" s="206"/>
      <c r="E581" s="206"/>
      <c r="F581" s="206"/>
      <c r="G581" s="207" t="s">
        <v>179</v>
      </c>
      <c r="H581" s="208">
        <v>38</v>
      </c>
    </row>
    <row r="582" spans="1:8" ht="15" customHeight="1" x14ac:dyDescent="0.25">
      <c r="A582" s="250" t="str">
        <f>ORÇAMENTO!A169</f>
        <v>11.7</v>
      </c>
      <c r="B582" s="738" t="s">
        <v>61</v>
      </c>
      <c r="C582" s="738"/>
      <c r="D582" s="738"/>
      <c r="E582" s="738"/>
      <c r="F582" s="738"/>
      <c r="G582" s="251" t="s">
        <v>179</v>
      </c>
      <c r="H582" s="252" t="s">
        <v>11</v>
      </c>
    </row>
    <row r="583" spans="1:8" ht="15" customHeight="1" x14ac:dyDescent="0.25">
      <c r="A583" s="205"/>
      <c r="B583" s="137" t="s">
        <v>450</v>
      </c>
      <c r="C583" s="206"/>
      <c r="D583" s="206"/>
      <c r="E583" s="206"/>
      <c r="F583" s="206"/>
      <c r="G583" s="207" t="s">
        <v>179</v>
      </c>
      <c r="H583" s="208">
        <v>2</v>
      </c>
    </row>
    <row r="584" spans="1:8" ht="15" customHeight="1" x14ac:dyDescent="0.25">
      <c r="A584" s="250" t="str">
        <f>ORÇAMENTO!A170</f>
        <v>11.8</v>
      </c>
      <c r="B584" s="738" t="str">
        <f>ORÇAMENTO!D170</f>
        <v>ELETRODUTO EM AÇO GALVANIZADO A FOGO DIÂMETRO 3" - PESADO</v>
      </c>
      <c r="C584" s="738"/>
      <c r="D584" s="738"/>
      <c r="E584" s="738"/>
      <c r="F584" s="738"/>
      <c r="G584" s="251" t="str">
        <f>ORÇAMENTO!E170</f>
        <v>M</v>
      </c>
      <c r="H584" s="252" t="s">
        <v>11</v>
      </c>
    </row>
    <row r="585" spans="1:8" ht="15" customHeight="1" x14ac:dyDescent="0.25">
      <c r="A585" s="205"/>
      <c r="B585" s="121" t="s">
        <v>442</v>
      </c>
      <c r="C585" s="206"/>
      <c r="D585" s="206"/>
      <c r="E585" s="206"/>
      <c r="F585" s="207" t="s">
        <v>269</v>
      </c>
      <c r="G585" s="207" t="s">
        <v>2</v>
      </c>
      <c r="H585" s="208" t="s">
        <v>11</v>
      </c>
    </row>
    <row r="586" spans="1:8" ht="15" customHeight="1" x14ac:dyDescent="0.25">
      <c r="A586" s="205"/>
      <c r="B586" s="121" t="s">
        <v>451</v>
      </c>
      <c r="C586" s="206"/>
      <c r="D586" s="206"/>
      <c r="E586" s="206"/>
      <c r="F586" s="207">
        <v>2</v>
      </c>
      <c r="G586" s="207" t="s">
        <v>2</v>
      </c>
      <c r="H586" s="208">
        <v>12</v>
      </c>
    </row>
    <row r="587" spans="1:8" ht="15" customHeight="1" x14ac:dyDescent="0.25">
      <c r="A587" s="250" t="str">
        <f>ORÇAMENTO!A171</f>
        <v>11.9</v>
      </c>
      <c r="B587" s="738" t="str">
        <f>ORÇAMENTO!D171</f>
        <v>LUVA EM AÇO GALVANIZADO DIÂMETRO 3"</v>
      </c>
      <c r="C587" s="738"/>
      <c r="D587" s="738"/>
      <c r="E587" s="738"/>
      <c r="F587" s="738"/>
      <c r="G587" s="251" t="s">
        <v>179</v>
      </c>
      <c r="H587" s="252" t="s">
        <v>11</v>
      </c>
    </row>
    <row r="588" spans="1:8" ht="15" customHeight="1" x14ac:dyDescent="0.25">
      <c r="A588" s="205"/>
      <c r="B588" s="121" t="s">
        <v>442</v>
      </c>
      <c r="C588" s="207"/>
      <c r="D588" s="207"/>
      <c r="E588" s="207"/>
      <c r="F588" s="207" t="s">
        <v>269</v>
      </c>
      <c r="G588" s="207" t="s">
        <v>179</v>
      </c>
      <c r="H588" s="208" t="s">
        <v>11</v>
      </c>
    </row>
    <row r="589" spans="1:8" ht="15" customHeight="1" x14ac:dyDescent="0.25">
      <c r="A589" s="205"/>
      <c r="B589" s="121" t="s">
        <v>451</v>
      </c>
      <c r="C589" s="207"/>
      <c r="D589" s="207"/>
      <c r="E589" s="207"/>
      <c r="F589" s="207">
        <v>2</v>
      </c>
      <c r="G589" s="207" t="s">
        <v>179</v>
      </c>
      <c r="H589" s="208">
        <v>2</v>
      </c>
    </row>
    <row r="590" spans="1:8" ht="15" customHeight="1" x14ac:dyDescent="0.25">
      <c r="A590" s="250" t="str">
        <f>ORÇAMENTO!A172</f>
        <v>11.10</v>
      </c>
      <c r="B590" s="738" t="str">
        <f>ORÇAMENTO!D172</f>
        <v>CABEÇOTE DE LIGA DE ALUMÍNIO DIAM. 3"</v>
      </c>
      <c r="C590" s="738"/>
      <c r="D590" s="738"/>
      <c r="E590" s="738"/>
      <c r="F590" s="738"/>
      <c r="G590" s="251" t="s">
        <v>179</v>
      </c>
      <c r="H590" s="252" t="s">
        <v>11</v>
      </c>
    </row>
    <row r="591" spans="1:8" ht="15" customHeight="1" x14ac:dyDescent="0.25">
      <c r="A591" s="205"/>
      <c r="B591" s="121" t="s">
        <v>442</v>
      </c>
      <c r="C591" s="207"/>
      <c r="D591" s="207"/>
      <c r="E591" s="207"/>
      <c r="F591" s="207" t="s">
        <v>269</v>
      </c>
      <c r="G591" s="207" t="s">
        <v>179</v>
      </c>
      <c r="H591" s="208">
        <f>H592</f>
        <v>1</v>
      </c>
    </row>
    <row r="592" spans="1:8" ht="15" customHeight="1" x14ac:dyDescent="0.25">
      <c r="A592" s="205"/>
      <c r="B592" s="121" t="s">
        <v>451</v>
      </c>
      <c r="C592" s="207"/>
      <c r="D592" s="207"/>
      <c r="E592" s="207"/>
      <c r="F592" s="207">
        <v>1</v>
      </c>
      <c r="G592" s="207" t="s">
        <v>7</v>
      </c>
      <c r="H592" s="208">
        <v>1</v>
      </c>
    </row>
    <row r="593" spans="1:8" ht="15" customHeight="1" x14ac:dyDescent="0.25">
      <c r="A593" s="250" t="str">
        <f>ORÇAMENTO!A173</f>
        <v>11.11</v>
      </c>
      <c r="B593" s="738" t="str">
        <f>ORÇAMENTO!D173</f>
        <v xml:space="preserve">ARAME GALVANIZADO 12 BWG </v>
      </c>
      <c r="C593" s="738"/>
      <c r="D593" s="738"/>
      <c r="E593" s="738"/>
      <c r="F593" s="738"/>
      <c r="G593" s="251" t="s">
        <v>179</v>
      </c>
      <c r="H593" s="252" t="s">
        <v>11</v>
      </c>
    </row>
    <row r="594" spans="1:8" ht="15" customHeight="1" x14ac:dyDescent="0.25">
      <c r="A594" s="205"/>
      <c r="B594" s="121" t="s">
        <v>442</v>
      </c>
      <c r="C594" s="207"/>
      <c r="D594" s="207"/>
      <c r="E594" s="207"/>
      <c r="F594" s="207" t="s">
        <v>269</v>
      </c>
      <c r="G594" s="207" t="s">
        <v>68</v>
      </c>
      <c r="H594" s="208">
        <v>10</v>
      </c>
    </row>
    <row r="595" spans="1:8" ht="15" customHeight="1" x14ac:dyDescent="0.25">
      <c r="A595" s="205"/>
      <c r="B595" s="121" t="s">
        <v>444</v>
      </c>
      <c r="C595" s="207"/>
      <c r="D595" s="207"/>
      <c r="E595" s="207"/>
      <c r="F595" s="207">
        <v>10</v>
      </c>
      <c r="G595" s="207" t="s">
        <v>68</v>
      </c>
      <c r="H595" s="208">
        <v>10</v>
      </c>
    </row>
    <row r="596" spans="1:8" ht="15" customHeight="1" x14ac:dyDescent="0.25">
      <c r="A596" s="250" t="str">
        <f>ORÇAMENTO!A174</f>
        <v>11.12</v>
      </c>
      <c r="B596" s="738" t="str">
        <f>ORÇAMENTO!D174</f>
        <v xml:space="preserve">CAIXA DE PASSAGEM 40X40CM SEM TAMPA </v>
      </c>
      <c r="C596" s="738"/>
      <c r="D596" s="738"/>
      <c r="E596" s="738"/>
      <c r="F596" s="738"/>
      <c r="G596" s="251" t="s">
        <v>179</v>
      </c>
      <c r="H596" s="252" t="s">
        <v>11</v>
      </c>
    </row>
    <row r="597" spans="1:8" ht="15" customHeight="1" x14ac:dyDescent="0.25">
      <c r="A597" s="205"/>
      <c r="B597" s="121" t="s">
        <v>442</v>
      </c>
      <c r="C597" s="207"/>
      <c r="D597" s="207"/>
      <c r="E597" s="207"/>
      <c r="F597" s="207" t="s">
        <v>269</v>
      </c>
      <c r="G597" s="207" t="s">
        <v>179</v>
      </c>
      <c r="H597" s="208">
        <f>H598</f>
        <v>66</v>
      </c>
    </row>
    <row r="598" spans="1:8" ht="15" customHeight="1" x14ac:dyDescent="0.25">
      <c r="A598" s="205"/>
      <c r="B598" s="121" t="s">
        <v>452</v>
      </c>
      <c r="C598" s="207"/>
      <c r="D598" s="207"/>
      <c r="E598" s="207"/>
      <c r="F598" s="625">
        <f>H579+H581+H583</f>
        <v>66</v>
      </c>
      <c r="G598" s="207" t="s">
        <v>179</v>
      </c>
      <c r="H598" s="208">
        <f>F598</f>
        <v>66</v>
      </c>
    </row>
    <row r="599" spans="1:8" ht="15" customHeight="1" x14ac:dyDescent="0.25">
      <c r="A599" s="250" t="str">
        <f>ORÇAMENTO!A175</f>
        <v>11.13</v>
      </c>
      <c r="B599" s="738" t="str">
        <f>ORÇAMENTO!D175</f>
        <v>CAIXA DE PASSAGEM - TAMPA EM CONCRETO ARMADO 25 MPA E=5CM</v>
      </c>
      <c r="C599" s="738"/>
      <c r="D599" s="738"/>
      <c r="E599" s="738"/>
      <c r="F599" s="738"/>
      <c r="G599" s="251" t="str">
        <f>ORÇAMENTO!E175</f>
        <v>M2</v>
      </c>
      <c r="H599" s="252" t="s">
        <v>11</v>
      </c>
    </row>
    <row r="600" spans="1:8" ht="15" customHeight="1" x14ac:dyDescent="0.25">
      <c r="A600" s="205"/>
      <c r="B600" s="121" t="s">
        <v>442</v>
      </c>
      <c r="C600" s="207"/>
      <c r="D600" s="207"/>
      <c r="E600" s="207"/>
      <c r="F600" s="207" t="s">
        <v>269</v>
      </c>
      <c r="G600" s="207" t="s">
        <v>96</v>
      </c>
      <c r="H600" s="252" t="s">
        <v>11</v>
      </c>
    </row>
    <row r="601" spans="1:8" ht="15" customHeight="1" x14ac:dyDescent="0.25">
      <c r="A601" s="205"/>
      <c r="B601" s="121" t="s">
        <v>699</v>
      </c>
      <c r="C601" s="207"/>
      <c r="D601" s="207"/>
      <c r="E601" s="207"/>
      <c r="F601" s="207">
        <v>57</v>
      </c>
      <c r="G601" s="207" t="s">
        <v>96</v>
      </c>
      <c r="H601" s="208">
        <f>F601*0.4*0.4</f>
        <v>9.120000000000001</v>
      </c>
    </row>
    <row r="602" spans="1:8" ht="15" customHeight="1" x14ac:dyDescent="0.25">
      <c r="A602" s="250" t="str">
        <f>ORÇAMENTO!A176</f>
        <v>11.14</v>
      </c>
      <c r="B602" s="738" t="str">
        <f>ORÇAMENTO!D176</f>
        <v>HASTE VER. COBRE (COPPERWELD) 5/8"X 3,00 M C/ CONECTOR</v>
      </c>
      <c r="C602" s="738"/>
      <c r="D602" s="738"/>
      <c r="E602" s="738"/>
      <c r="F602" s="738"/>
      <c r="G602" s="251" t="s">
        <v>179</v>
      </c>
      <c r="H602" s="252" t="s">
        <v>11</v>
      </c>
    </row>
    <row r="603" spans="1:8" ht="15" customHeight="1" x14ac:dyDescent="0.25">
      <c r="A603" s="205"/>
      <c r="B603" s="137" t="s">
        <v>453</v>
      </c>
      <c r="C603" s="206"/>
      <c r="D603" s="206"/>
      <c r="E603" s="206" t="s">
        <v>180</v>
      </c>
      <c r="F603" s="206">
        <v>57</v>
      </c>
      <c r="G603" s="207" t="s">
        <v>2</v>
      </c>
      <c r="H603" s="208">
        <v>57</v>
      </c>
    </row>
    <row r="604" spans="1:8" ht="15" customHeight="1" x14ac:dyDescent="0.25">
      <c r="A604" s="250" t="str">
        <f>ORÇAMENTO!A177</f>
        <v>11.15</v>
      </c>
      <c r="B604" s="738" t="str">
        <f>ORÇAMENTO!D177</f>
        <v>CABO EPR/XLPE (90°C) 1KV - 10MM²</v>
      </c>
      <c r="C604" s="738"/>
      <c r="D604" s="738"/>
      <c r="E604" s="738"/>
      <c r="F604" s="738"/>
      <c r="G604" s="251" t="s">
        <v>179</v>
      </c>
      <c r="H604" s="252" t="s">
        <v>11</v>
      </c>
    </row>
    <row r="605" spans="1:8" ht="15" customHeight="1" x14ac:dyDescent="0.25">
      <c r="A605" s="205"/>
      <c r="B605" s="121" t="s">
        <v>442</v>
      </c>
      <c r="C605" s="207"/>
      <c r="D605" s="207"/>
      <c r="E605" s="207" t="s">
        <v>269</v>
      </c>
      <c r="F605" s="207" t="s">
        <v>180</v>
      </c>
      <c r="G605" s="207" t="s">
        <v>2</v>
      </c>
      <c r="H605" s="208">
        <f>H606</f>
        <v>3240</v>
      </c>
    </row>
    <row r="606" spans="1:8" ht="15" customHeight="1" x14ac:dyDescent="0.25">
      <c r="A606" s="205"/>
      <c r="B606" s="121" t="s">
        <v>454</v>
      </c>
      <c r="C606" s="207"/>
      <c r="D606" s="207"/>
      <c r="E606" s="207">
        <v>3</v>
      </c>
      <c r="F606" s="207">
        <v>1080</v>
      </c>
      <c r="G606" s="207" t="s">
        <v>2</v>
      </c>
      <c r="H606" s="208">
        <f>F606*E606</f>
        <v>3240</v>
      </c>
    </row>
    <row r="607" spans="1:8" ht="15" customHeight="1" x14ac:dyDescent="0.25">
      <c r="A607" s="250" t="str">
        <f>ORÇAMENTO!A178</f>
        <v>11.16</v>
      </c>
      <c r="B607" s="738" t="str">
        <f>ORÇAMENTO!D178</f>
        <v>CABO EPR/XLPE (90°C) 1KV - 16MM²</v>
      </c>
      <c r="C607" s="738"/>
      <c r="D607" s="738"/>
      <c r="E607" s="738"/>
      <c r="F607" s="738"/>
      <c r="G607" s="251" t="s">
        <v>179</v>
      </c>
      <c r="H607" s="252" t="s">
        <v>11</v>
      </c>
    </row>
    <row r="608" spans="1:8" x14ac:dyDescent="0.25">
      <c r="A608" s="205"/>
      <c r="B608" s="121" t="s">
        <v>442</v>
      </c>
      <c r="C608" s="207"/>
      <c r="D608" s="207"/>
      <c r="E608" s="207" t="s">
        <v>269</v>
      </c>
      <c r="F608" s="207" t="s">
        <v>180</v>
      </c>
      <c r="G608" s="207" t="s">
        <v>2</v>
      </c>
      <c r="H608" s="208">
        <f>H609</f>
        <v>5640</v>
      </c>
    </row>
    <row r="609" spans="1:8" x14ac:dyDescent="0.25">
      <c r="A609" s="205"/>
      <c r="B609" s="121" t="s">
        <v>454</v>
      </c>
      <c r="C609" s="207"/>
      <c r="D609" s="207"/>
      <c r="E609" s="207">
        <v>3</v>
      </c>
      <c r="F609" s="207">
        <v>1880</v>
      </c>
      <c r="G609" s="207" t="s">
        <v>2</v>
      </c>
      <c r="H609" s="208">
        <f>F609*E609</f>
        <v>5640</v>
      </c>
    </row>
    <row r="610" spans="1:8" x14ac:dyDescent="0.25">
      <c r="A610" s="250" t="str">
        <f>ORÇAMENTO!A179</f>
        <v>11.17</v>
      </c>
      <c r="B610" s="738" t="str">
        <f>ORÇAMENTO!D179</f>
        <v>CABO EPR/XLPE (90°C) 1KV - 25MM²</v>
      </c>
      <c r="C610" s="738"/>
      <c r="D610" s="738"/>
      <c r="E610" s="738"/>
      <c r="F610" s="738"/>
      <c r="G610" s="251" t="s">
        <v>179</v>
      </c>
      <c r="H610" s="252" t="s">
        <v>11</v>
      </c>
    </row>
    <row r="611" spans="1:8" x14ac:dyDescent="0.25">
      <c r="A611" s="205"/>
      <c r="B611" s="121" t="s">
        <v>442</v>
      </c>
      <c r="C611" s="207"/>
      <c r="D611" s="207"/>
      <c r="E611" s="207" t="s">
        <v>269</v>
      </c>
      <c r="F611" s="207" t="s">
        <v>180</v>
      </c>
      <c r="G611" s="207" t="s">
        <v>2</v>
      </c>
      <c r="H611" s="208">
        <f>H612</f>
        <v>1480</v>
      </c>
    </row>
    <row r="612" spans="1:8" x14ac:dyDescent="0.25">
      <c r="A612" s="205"/>
      <c r="B612" s="121" t="s">
        <v>455</v>
      </c>
      <c r="C612" s="207"/>
      <c r="D612" s="207"/>
      <c r="E612" s="207">
        <v>2</v>
      </c>
      <c r="F612" s="207">
        <v>740</v>
      </c>
      <c r="G612" s="207" t="s">
        <v>2</v>
      </c>
      <c r="H612" s="208">
        <f>F612*E612</f>
        <v>1480</v>
      </c>
    </row>
    <row r="613" spans="1:8" x14ac:dyDescent="0.25">
      <c r="A613" s="250" t="str">
        <f>ORÇAMENTO!A180</f>
        <v>11.18</v>
      </c>
      <c r="B613" s="738" t="str">
        <f>ORÇAMENTO!D180</f>
        <v>ELETRODUTO PVC FLEXÍVEL - MANGUEIRA CORRUGADA REFORÇADA - DIAM. 50MM</v>
      </c>
      <c r="C613" s="738"/>
      <c r="D613" s="738"/>
      <c r="E613" s="738"/>
      <c r="F613" s="738"/>
      <c r="G613" s="251" t="s">
        <v>179</v>
      </c>
      <c r="H613" s="252" t="s">
        <v>11</v>
      </c>
    </row>
    <row r="614" spans="1:8" x14ac:dyDescent="0.25">
      <c r="A614" s="205"/>
      <c r="B614" s="121" t="s">
        <v>442</v>
      </c>
      <c r="C614" s="207"/>
      <c r="D614" s="207"/>
      <c r="E614" s="207" t="s">
        <v>269</v>
      </c>
      <c r="F614" s="207" t="s">
        <v>180</v>
      </c>
      <c r="G614" s="207" t="s">
        <v>2</v>
      </c>
      <c r="H614" s="208">
        <v>1044</v>
      </c>
    </row>
    <row r="615" spans="1:8" x14ac:dyDescent="0.25">
      <c r="A615" s="205"/>
      <c r="B615" s="121" t="s">
        <v>456</v>
      </c>
      <c r="C615" s="207"/>
      <c r="D615" s="207"/>
      <c r="E615" s="207">
        <v>43</v>
      </c>
      <c r="F615" s="207">
        <v>16</v>
      </c>
      <c r="G615" s="207" t="s">
        <v>2</v>
      </c>
      <c r="H615" s="208">
        <v>688</v>
      </c>
    </row>
    <row r="616" spans="1:8" x14ac:dyDescent="0.25">
      <c r="A616" s="205"/>
      <c r="B616" s="121" t="s">
        <v>457</v>
      </c>
      <c r="C616" s="207"/>
      <c r="D616" s="207"/>
      <c r="E616" s="207">
        <v>15</v>
      </c>
      <c r="F616" s="207">
        <v>20</v>
      </c>
      <c r="G616" s="207" t="s">
        <v>2</v>
      </c>
      <c r="H616" s="208">
        <v>300</v>
      </c>
    </row>
    <row r="617" spans="1:8" x14ac:dyDescent="0.25">
      <c r="A617" s="205"/>
      <c r="B617" s="121" t="s">
        <v>458</v>
      </c>
      <c r="C617" s="207"/>
      <c r="D617" s="207"/>
      <c r="E617" s="207">
        <v>2</v>
      </c>
      <c r="F617" s="207">
        <v>28</v>
      </c>
      <c r="G617" s="207" t="s">
        <v>2</v>
      </c>
      <c r="H617" s="208">
        <v>56</v>
      </c>
    </row>
    <row r="618" spans="1:8" x14ac:dyDescent="0.25">
      <c r="A618" s="250" t="str">
        <f>ORÇAMENTO!A181</f>
        <v>11.19</v>
      </c>
      <c r="B618" s="738" t="str">
        <f>ORÇAMENTO!D181</f>
        <v>CORTADORA DE PISO COM MOTOR 4 TEMPOS A GASOLINA, POTÊNCIA DE 13 HP, COM DISCO DE CORTE DIAMANTADO SEGMENTADO PARA CONCRETO, DIÂMETRO DE 350MM, FURO DE 1"(14 X 1") - CHP DIURNO. AF_08/2015</v>
      </c>
      <c r="C618" s="738"/>
      <c r="D618" s="738"/>
      <c r="E618" s="738"/>
      <c r="F618" s="738"/>
      <c r="G618" s="251" t="s">
        <v>179</v>
      </c>
      <c r="H618" s="252" t="s">
        <v>11</v>
      </c>
    </row>
    <row r="619" spans="1:8" x14ac:dyDescent="0.25">
      <c r="A619" s="205"/>
      <c r="B619" s="121" t="s">
        <v>459</v>
      </c>
      <c r="C619" s="207"/>
      <c r="D619" s="207"/>
      <c r="E619" s="207" t="s">
        <v>181</v>
      </c>
      <c r="F619" s="207" t="s">
        <v>180</v>
      </c>
      <c r="G619" s="207" t="s">
        <v>70</v>
      </c>
      <c r="H619" s="208">
        <v>40</v>
      </c>
    </row>
    <row r="620" spans="1:8" ht="15.75" thickBot="1" x14ac:dyDescent="0.3">
      <c r="A620" s="209"/>
      <c r="B620" s="122" t="s">
        <v>460</v>
      </c>
      <c r="C620" s="210"/>
      <c r="D620" s="210"/>
      <c r="E620" s="210">
        <v>0.3</v>
      </c>
      <c r="F620" s="210">
        <v>15</v>
      </c>
      <c r="G620" s="210" t="s">
        <v>70</v>
      </c>
      <c r="H620" s="211">
        <v>40</v>
      </c>
    </row>
    <row r="621" spans="1:8" ht="15.75" thickBot="1" x14ac:dyDescent="0.3">
      <c r="A621" s="153">
        <v>12</v>
      </c>
      <c r="B621" s="579" t="str">
        <f>ORÇAMENTO!A183</f>
        <v>PROLONGAMENTO INTERCEPTOR MARGEM ESQUERDA</v>
      </c>
      <c r="C621" s="162"/>
      <c r="D621" s="162"/>
      <c r="E621" s="162"/>
      <c r="F621" s="162"/>
      <c r="G621" s="162"/>
      <c r="H621" s="260"/>
    </row>
    <row r="622" spans="1:8" x14ac:dyDescent="0.25">
      <c r="A622" s="295" t="str">
        <f>ORÇAMENTO!A185</f>
        <v>12.1</v>
      </c>
      <c r="B622" s="735" t="str">
        <f>ORÇAMENTO!D185</f>
        <v>DEMOLIÇÃO DE CONCRETO ARMADO</v>
      </c>
      <c r="C622" s="736"/>
      <c r="D622" s="736"/>
      <c r="E622" s="736"/>
      <c r="F622" s="737"/>
      <c r="G622" s="296" t="s">
        <v>106</v>
      </c>
      <c r="H622" s="297">
        <f>SUM(H623:H627)</f>
        <v>5.136000000000001</v>
      </c>
    </row>
    <row r="623" spans="1:8" x14ac:dyDescent="0.25">
      <c r="A623" s="205"/>
      <c r="B623" s="121" t="s">
        <v>859</v>
      </c>
      <c r="C623" s="207" t="s">
        <v>227</v>
      </c>
      <c r="D623" s="207" t="s">
        <v>861</v>
      </c>
      <c r="E623" s="207" t="s">
        <v>282</v>
      </c>
      <c r="F623" s="207" t="s">
        <v>181</v>
      </c>
      <c r="G623" s="207"/>
      <c r="H623" s="208"/>
    </row>
    <row r="624" spans="1:8" x14ac:dyDescent="0.25">
      <c r="A624" s="205"/>
      <c r="B624" s="121" t="s">
        <v>860</v>
      </c>
      <c r="C624" s="207">
        <v>3</v>
      </c>
      <c r="D624" s="207">
        <v>0.7</v>
      </c>
      <c r="E624" s="207">
        <v>0.2</v>
      </c>
      <c r="F624" s="207">
        <v>0.8</v>
      </c>
      <c r="G624" s="207" t="s">
        <v>106</v>
      </c>
      <c r="H624" s="208">
        <f>C624*D624*E624*F624</f>
        <v>0.33599999999999997</v>
      </c>
    </row>
    <row r="625" spans="1:8" x14ac:dyDescent="0.25">
      <c r="A625" s="205"/>
      <c r="B625" s="121" t="s">
        <v>860</v>
      </c>
      <c r="C625" s="207">
        <v>3</v>
      </c>
      <c r="D625" s="207">
        <v>1.5</v>
      </c>
      <c r="E625" s="207">
        <v>0.2</v>
      </c>
      <c r="F625" s="207">
        <v>0.8</v>
      </c>
      <c r="G625" s="207" t="s">
        <v>106</v>
      </c>
      <c r="H625" s="208">
        <f t="shared" ref="H625:H627" si="13">C625*D625*E625*F625</f>
        <v>0.72000000000000008</v>
      </c>
    </row>
    <row r="626" spans="1:8" x14ac:dyDescent="0.25">
      <c r="A626" s="205"/>
      <c r="B626" s="121" t="s">
        <v>860</v>
      </c>
      <c r="C626" s="207">
        <v>3</v>
      </c>
      <c r="D626" s="207">
        <v>3.5</v>
      </c>
      <c r="E626" s="207">
        <v>0.2</v>
      </c>
      <c r="F626" s="207">
        <v>0.8</v>
      </c>
      <c r="G626" s="207" t="s">
        <v>106</v>
      </c>
      <c r="H626" s="208">
        <f t="shared" si="13"/>
        <v>1.6800000000000002</v>
      </c>
    </row>
    <row r="627" spans="1:8" ht="15.75" thickBot="1" x14ac:dyDescent="0.3">
      <c r="A627" s="584"/>
      <c r="B627" s="121" t="s">
        <v>860</v>
      </c>
      <c r="C627" s="207">
        <v>3</v>
      </c>
      <c r="D627" s="207">
        <v>5</v>
      </c>
      <c r="E627" s="207">
        <v>0.2</v>
      </c>
      <c r="F627" s="207">
        <v>0.8</v>
      </c>
      <c r="G627" s="207" t="s">
        <v>106</v>
      </c>
      <c r="H627" s="208">
        <f t="shared" si="13"/>
        <v>2.4000000000000004</v>
      </c>
    </row>
    <row r="628" spans="1:8" x14ac:dyDescent="0.25">
      <c r="A628" s="295" t="str">
        <f>ORÇAMENTO!A186</f>
        <v>12.2</v>
      </c>
      <c r="B628" s="735" t="str">
        <f>ORÇAMENTO!D186</f>
        <v>LOCAÇÃO DE REDES DE ÁGUA OU DE ESGOTO</v>
      </c>
      <c r="C628" s="736"/>
      <c r="D628" s="736"/>
      <c r="E628" s="736"/>
      <c r="F628" s="737"/>
      <c r="G628" s="296" t="s">
        <v>2</v>
      </c>
      <c r="H628" s="297">
        <f>SUM(H629:H630)</f>
        <v>233</v>
      </c>
    </row>
    <row r="629" spans="1:8" x14ac:dyDescent="0.25">
      <c r="A629" s="205"/>
      <c r="B629" s="121" t="s">
        <v>862</v>
      </c>
      <c r="C629" s="207"/>
      <c r="D629" s="207"/>
      <c r="E629" s="207"/>
      <c r="F629" s="207" t="s">
        <v>180</v>
      </c>
      <c r="G629" s="207"/>
      <c r="H629" s="208"/>
    </row>
    <row r="630" spans="1:8" ht="15.75" thickBot="1" x14ac:dyDescent="0.3">
      <c r="A630" s="205"/>
      <c r="B630" s="121" t="s">
        <v>863</v>
      </c>
      <c r="C630" s="207"/>
      <c r="D630" s="207"/>
      <c r="E630" s="207"/>
      <c r="F630" s="207">
        <v>233</v>
      </c>
      <c r="G630" s="207" t="s">
        <v>2</v>
      </c>
      <c r="H630" s="208">
        <f>F630</f>
        <v>233</v>
      </c>
    </row>
    <row r="631" spans="1:8" x14ac:dyDescent="0.25">
      <c r="A631" s="295" t="str">
        <f>ORÇAMENTO!A187</f>
        <v>12.3</v>
      </c>
      <c r="B631" s="735" t="str">
        <f>ORÇAMENTO!D187</f>
        <v>ESCAVAÇÃO MEC. DE VALAS DE MAT. 1ª CAT. (INCL. TRANSPORTE)</v>
      </c>
      <c r="C631" s="736"/>
      <c r="D631" s="736"/>
      <c r="E631" s="736"/>
      <c r="F631" s="737"/>
      <c r="G631" s="296" t="s">
        <v>106</v>
      </c>
      <c r="H631" s="297">
        <f>SUM(H632:H634)</f>
        <v>539.5</v>
      </c>
    </row>
    <row r="632" spans="1:8" x14ac:dyDescent="0.25">
      <c r="A632" s="205"/>
      <c r="B632" s="121" t="str">
        <f>B629</f>
        <v>CONFORME PROJETO BÁSICO</v>
      </c>
      <c r="C632" s="207" t="s">
        <v>227</v>
      </c>
      <c r="D632" s="207" t="s">
        <v>180</v>
      </c>
      <c r="E632" s="207" t="s">
        <v>443</v>
      </c>
      <c r="F632" s="207" t="s">
        <v>181</v>
      </c>
      <c r="G632" s="207"/>
      <c r="H632" s="208"/>
    </row>
    <row r="633" spans="1:8" x14ac:dyDescent="0.25">
      <c r="A633" s="205"/>
      <c r="B633" s="121" t="str">
        <f>B630</f>
        <v xml:space="preserve">NOVA REDE INTERCEPTOR DE ESGOTO </v>
      </c>
      <c r="C633" s="207">
        <v>1</v>
      </c>
      <c r="D633" s="207">
        <v>233</v>
      </c>
      <c r="E633" s="207">
        <v>2</v>
      </c>
      <c r="F633" s="207">
        <v>1</v>
      </c>
      <c r="G633" s="207" t="s">
        <v>106</v>
      </c>
      <c r="H633" s="208">
        <f>F633*E633*D633</f>
        <v>466</v>
      </c>
    </row>
    <row r="634" spans="1:8" ht="15.75" thickBot="1" x14ac:dyDescent="0.3">
      <c r="A634" s="572"/>
      <c r="B634" s="585" t="s">
        <v>867</v>
      </c>
      <c r="C634" s="207">
        <v>3</v>
      </c>
      <c r="D634" s="207">
        <v>3.5</v>
      </c>
      <c r="E634" s="207">
        <v>2</v>
      </c>
      <c r="F634" s="207">
        <v>3.5</v>
      </c>
      <c r="G634" s="574" t="s">
        <v>106</v>
      </c>
      <c r="H634" s="575">
        <f>F634*E634*D634*C634</f>
        <v>73.5</v>
      </c>
    </row>
    <row r="635" spans="1:8" x14ac:dyDescent="0.25">
      <c r="A635" s="295" t="str">
        <f>ORÇAMENTO!A188</f>
        <v>12.4</v>
      </c>
      <c r="B635" s="735" t="str">
        <f>ORÇAMENTO!D188</f>
        <v>ESCORAMENTO DESCONTÍNUO EM VALAS(ESPAÇ.1,80 M)</v>
      </c>
      <c r="C635" s="736"/>
      <c r="D635" s="736"/>
      <c r="E635" s="736"/>
      <c r="F635" s="737"/>
      <c r="G635" s="296" t="s">
        <v>96</v>
      </c>
      <c r="H635" s="297">
        <f>SUM(H636:H637)</f>
        <v>932</v>
      </c>
    </row>
    <row r="636" spans="1:8" x14ac:dyDescent="0.25">
      <c r="A636" s="205"/>
      <c r="B636" s="121" t="str">
        <f>B632</f>
        <v>CONFORME PROJETO BÁSICO</v>
      </c>
      <c r="C636" s="207"/>
      <c r="D636" s="207" t="s">
        <v>180</v>
      </c>
      <c r="E636" s="207" t="s">
        <v>443</v>
      </c>
      <c r="F636" s="207" t="s">
        <v>198</v>
      </c>
      <c r="G636" s="207"/>
      <c r="H636" s="208"/>
    </row>
    <row r="637" spans="1:8" ht="15.75" thickBot="1" x14ac:dyDescent="0.3">
      <c r="A637" s="205"/>
      <c r="B637" s="121" t="str">
        <f>B633</f>
        <v xml:space="preserve">NOVA REDE INTERCEPTOR DE ESGOTO </v>
      </c>
      <c r="C637" s="207"/>
      <c r="D637" s="207">
        <v>233</v>
      </c>
      <c r="E637" s="207">
        <v>2</v>
      </c>
      <c r="F637" s="207">
        <v>2</v>
      </c>
      <c r="G637" s="207" t="s">
        <v>96</v>
      </c>
      <c r="H637" s="208">
        <f>F637*E637*D637</f>
        <v>932</v>
      </c>
    </row>
    <row r="638" spans="1:8" x14ac:dyDescent="0.25">
      <c r="A638" s="295" t="str">
        <f>ORÇAMENTO!A189</f>
        <v>12.5</v>
      </c>
      <c r="B638" s="735" t="str">
        <f>ORÇAMENTO!D189</f>
        <v>LASTRO DE BRITA(GAP) (BC)</v>
      </c>
      <c r="C638" s="736"/>
      <c r="D638" s="736"/>
      <c r="E638" s="736"/>
      <c r="F638" s="737"/>
      <c r="G638" s="296" t="s">
        <v>106</v>
      </c>
      <c r="H638" s="297">
        <f>SUM(H639:H640)</f>
        <v>46.6</v>
      </c>
    </row>
    <row r="639" spans="1:8" x14ac:dyDescent="0.25">
      <c r="A639" s="205"/>
      <c r="B639" s="121" t="str">
        <f>B636</f>
        <v>CONFORME PROJETO BÁSICO</v>
      </c>
      <c r="C639" s="207"/>
      <c r="D639" s="207" t="s">
        <v>180</v>
      </c>
      <c r="E639" s="207" t="s">
        <v>282</v>
      </c>
      <c r="F639" s="207" t="s">
        <v>181</v>
      </c>
      <c r="G639" s="207"/>
      <c r="H639" s="208"/>
    </row>
    <row r="640" spans="1:8" ht="15.75" thickBot="1" x14ac:dyDescent="0.3">
      <c r="A640" s="205"/>
      <c r="B640" s="121" t="str">
        <f>B637</f>
        <v xml:space="preserve">NOVA REDE INTERCEPTOR DE ESGOTO </v>
      </c>
      <c r="C640" s="207"/>
      <c r="D640" s="207">
        <v>233</v>
      </c>
      <c r="E640" s="207">
        <v>0.2</v>
      </c>
      <c r="F640" s="207">
        <v>1</v>
      </c>
      <c r="G640" s="207" t="s">
        <v>106</v>
      </c>
      <c r="H640" s="208">
        <f>F640*E640*D640</f>
        <v>46.6</v>
      </c>
    </row>
    <row r="641" spans="1:8" x14ac:dyDescent="0.25">
      <c r="A641" s="295" t="str">
        <f>ORÇAMENTO!A190</f>
        <v>12.6</v>
      </c>
      <c r="B641" s="735" t="str">
        <f>ORÇAMENTO!D190</f>
        <v>TUBO DE PEAD CORRUGADO DE DUPLA PAREDE PARA REDE COLETORA DE ESGOTO, DN 600 MM, JUNTA ELÁSTICA INTEGRADA, INSTALADO EM LOCAL COM NÍVEL BAIXO DE INTERFERÊNCIAS - FORNECIMENTO E ASSENTAMENTO. AF_06/2015</v>
      </c>
      <c r="C641" s="736"/>
      <c r="D641" s="736"/>
      <c r="E641" s="736"/>
      <c r="F641" s="737"/>
      <c r="G641" s="296" t="s">
        <v>2</v>
      </c>
      <c r="H641" s="297">
        <f>H643+H644</f>
        <v>324</v>
      </c>
    </row>
    <row r="642" spans="1:8" x14ac:dyDescent="0.25">
      <c r="A642" s="205"/>
      <c r="B642" s="121" t="str">
        <f>B639</f>
        <v>CONFORME PROJETO BÁSICO</v>
      </c>
      <c r="C642" s="207"/>
      <c r="D642" s="207"/>
      <c r="E642" s="207"/>
      <c r="F642" s="207" t="s">
        <v>180</v>
      </c>
      <c r="G642" s="207"/>
      <c r="H642" s="208"/>
    </row>
    <row r="643" spans="1:8" x14ac:dyDescent="0.25">
      <c r="A643" s="205"/>
      <c r="B643" s="121" t="str">
        <f>B640</f>
        <v xml:space="preserve">NOVA REDE INTERCEPTOR DE ESGOTO </v>
      </c>
      <c r="C643" s="207"/>
      <c r="D643" s="207"/>
      <c r="E643" s="207"/>
      <c r="F643" s="207">
        <v>233</v>
      </c>
      <c r="G643" s="207" t="s">
        <v>2</v>
      </c>
      <c r="H643" s="208">
        <f>F643</f>
        <v>233</v>
      </c>
    </row>
    <row r="644" spans="1:8" ht="15.75" thickBot="1" x14ac:dyDescent="0.3">
      <c r="A644" s="584"/>
      <c r="B644" s="121" t="s">
        <v>955</v>
      </c>
      <c r="C644" s="207"/>
      <c r="D644" s="207"/>
      <c r="E644" s="207"/>
      <c r="F644" s="207">
        <f>112-21</f>
        <v>91</v>
      </c>
      <c r="G644" s="207" t="s">
        <v>2</v>
      </c>
      <c r="H644" s="208">
        <f>F644</f>
        <v>91</v>
      </c>
    </row>
    <row r="645" spans="1:8" x14ac:dyDescent="0.25">
      <c r="A645" s="295" t="str">
        <f>ORÇAMENTO!A191</f>
        <v>12.7</v>
      </c>
      <c r="B645" s="735" t="str">
        <f>ORÇAMENTO!D191</f>
        <v>TUBO COM PONTA E BOLSA EM Fº DÚCTIL/ESGOTO, CLASSE K-7, JGS, DN 600, L=5,90 M</v>
      </c>
      <c r="C645" s="736"/>
      <c r="D645" s="736"/>
      <c r="E645" s="736"/>
      <c r="F645" s="737"/>
      <c r="G645" s="296" t="s">
        <v>179</v>
      </c>
      <c r="H645" s="297">
        <v>6</v>
      </c>
    </row>
    <row r="646" spans="1:8" ht="15.75" thickBot="1" x14ac:dyDescent="0.3">
      <c r="A646" s="584"/>
      <c r="B646" s="121" t="s">
        <v>864</v>
      </c>
      <c r="C646" s="207"/>
      <c r="D646" s="207"/>
      <c r="E646" s="207"/>
      <c r="F646" s="207"/>
      <c r="G646" s="207" t="s">
        <v>179</v>
      </c>
      <c r="H646" s="208">
        <v>6</v>
      </c>
    </row>
    <row r="647" spans="1:8" x14ac:dyDescent="0.25">
      <c r="A647" s="295" t="str">
        <f>ORÇAMENTO!A192</f>
        <v>12.8</v>
      </c>
      <c r="B647" s="735" t="str">
        <f>ORÇAMENTO!D192</f>
        <v>ATERRO COM AREIA COM ADENSAMENTO HIDRAULICO</v>
      </c>
      <c r="C647" s="736"/>
      <c r="D647" s="736"/>
      <c r="E647" s="736"/>
      <c r="F647" s="737"/>
      <c r="G647" s="296" t="s">
        <v>106</v>
      </c>
      <c r="H647" s="297">
        <f>H652</f>
        <v>260.35419999999999</v>
      </c>
    </row>
    <row r="648" spans="1:8" x14ac:dyDescent="0.25">
      <c r="A648" s="205"/>
      <c r="B648" s="121" t="str">
        <f>B642</f>
        <v>CONFORME PROJETO BÁSICO</v>
      </c>
      <c r="C648" s="207"/>
      <c r="D648" s="207" t="s">
        <v>180</v>
      </c>
      <c r="E648" s="207" t="s">
        <v>443</v>
      </c>
      <c r="F648" s="207" t="s">
        <v>181</v>
      </c>
      <c r="G648" s="207"/>
      <c r="H648" s="208"/>
    </row>
    <row r="649" spans="1:8" x14ac:dyDescent="0.25">
      <c r="A649" s="205" t="s">
        <v>642</v>
      </c>
      <c r="B649" s="121" t="str">
        <f>B643</f>
        <v xml:space="preserve">NOVA REDE INTERCEPTOR DE ESGOTO </v>
      </c>
      <c r="C649" s="207"/>
      <c r="D649" s="207">
        <v>233</v>
      </c>
      <c r="E649" s="207">
        <v>1.6</v>
      </c>
      <c r="F649" s="207">
        <v>1</v>
      </c>
      <c r="G649" s="207" t="s">
        <v>106</v>
      </c>
      <c r="H649" s="208">
        <f>F649*E649*D649</f>
        <v>372.8</v>
      </c>
    </row>
    <row r="650" spans="1:8" x14ac:dyDescent="0.25">
      <c r="A650" s="572" t="s">
        <v>643</v>
      </c>
      <c r="B650" s="585" t="s">
        <v>869</v>
      </c>
      <c r="C650" s="207"/>
      <c r="D650" s="207">
        <v>233</v>
      </c>
      <c r="E650" s="207"/>
      <c r="F650" s="207" t="s">
        <v>872</v>
      </c>
      <c r="G650" s="574" t="s">
        <v>106</v>
      </c>
      <c r="H650" s="208">
        <f>0.2826*233</f>
        <v>65.845800000000011</v>
      </c>
    </row>
    <row r="651" spans="1:8" x14ac:dyDescent="0.25">
      <c r="A651" s="572" t="s">
        <v>644</v>
      </c>
      <c r="B651" s="585" t="s">
        <v>870</v>
      </c>
      <c r="C651" s="207"/>
      <c r="D651" s="207"/>
      <c r="E651" s="207"/>
      <c r="F651" s="207"/>
      <c r="G651" s="574" t="s">
        <v>106</v>
      </c>
      <c r="H651" s="208">
        <f>H638</f>
        <v>46.6</v>
      </c>
    </row>
    <row r="652" spans="1:8" ht="15.75" thickBot="1" x14ac:dyDescent="0.3">
      <c r="A652" s="572"/>
      <c r="B652" s="585" t="s">
        <v>871</v>
      </c>
      <c r="C652" s="207"/>
      <c r="D652" s="207"/>
      <c r="E652" s="207"/>
      <c r="F652" s="207"/>
      <c r="G652" s="574" t="s">
        <v>106</v>
      </c>
      <c r="H652" s="208">
        <f>H649-H650-H651</f>
        <v>260.35419999999999</v>
      </c>
    </row>
    <row r="653" spans="1:8" x14ac:dyDescent="0.25">
      <c r="A653" s="295" t="str">
        <f>ORÇAMENTO!A193</f>
        <v>12.9</v>
      </c>
      <c r="B653" s="735" t="str">
        <f>ORÇAMENTO!D193</f>
        <v>TRANSPORTE COMERCIAL DE AGREGADOS - OAE</v>
      </c>
      <c r="C653" s="736"/>
      <c r="D653" s="736"/>
      <c r="E653" s="736"/>
      <c r="F653" s="737"/>
      <c r="G653" s="296" t="s">
        <v>751</v>
      </c>
      <c r="H653" s="297">
        <f>H659</f>
        <v>10018.429615999999</v>
      </c>
    </row>
    <row r="654" spans="1:8" x14ac:dyDescent="0.25">
      <c r="A654" s="205"/>
      <c r="B654" s="121"/>
      <c r="C654" s="207"/>
      <c r="D654" s="207"/>
      <c r="E654" s="207"/>
      <c r="F654" s="207"/>
      <c r="G654" s="207"/>
      <c r="H654" s="208"/>
    </row>
    <row r="655" spans="1:8" x14ac:dyDescent="0.25">
      <c r="A655" s="205"/>
      <c r="B655" s="121" t="s">
        <v>956</v>
      </c>
      <c r="C655" s="207"/>
      <c r="D655" s="207"/>
      <c r="E655" s="207"/>
      <c r="F655" s="207"/>
      <c r="G655" s="207" t="s">
        <v>106</v>
      </c>
      <c r="H655" s="208">
        <f>H647</f>
        <v>260.35419999999999</v>
      </c>
    </row>
    <row r="656" spans="1:8" x14ac:dyDescent="0.25">
      <c r="A656" s="198"/>
      <c r="B656" s="121" t="s">
        <v>761</v>
      </c>
      <c r="C656" s="207"/>
      <c r="D656" s="207"/>
      <c r="E656" s="207"/>
      <c r="F656" s="207"/>
      <c r="G656" s="207" t="s">
        <v>228</v>
      </c>
      <c r="H656" s="208">
        <v>1480</v>
      </c>
    </row>
    <row r="657" spans="1:8" x14ac:dyDescent="0.25">
      <c r="A657" s="205"/>
      <c r="B657" s="121" t="s">
        <v>194</v>
      </c>
      <c r="C657" s="207"/>
      <c r="D657" s="207"/>
      <c r="E657" s="207"/>
      <c r="F657" s="207"/>
      <c r="G657" s="207" t="s">
        <v>195</v>
      </c>
      <c r="H657" s="208">
        <v>30</v>
      </c>
    </row>
    <row r="658" spans="1:8" x14ac:dyDescent="0.25">
      <c r="A658" s="545"/>
      <c r="B658" s="121" t="s">
        <v>873</v>
      </c>
      <c r="C658" s="207"/>
      <c r="D658" s="207"/>
      <c r="E658" s="207"/>
      <c r="F658" s="207"/>
      <c r="G658" s="207" t="s">
        <v>197</v>
      </c>
      <c r="H658" s="208">
        <v>20</v>
      </c>
    </row>
    <row r="659" spans="1:8" ht="15.75" thickBot="1" x14ac:dyDescent="0.3">
      <c r="A659" s="209"/>
      <c r="B659" s="121" t="s">
        <v>11</v>
      </c>
      <c r="C659" s="207"/>
      <c r="D659" s="207"/>
      <c r="E659" s="207"/>
      <c r="F659" s="207"/>
      <c r="G659" s="207" t="s">
        <v>751</v>
      </c>
      <c r="H659" s="208">
        <f>H655*1.48*1.3*H658</f>
        <v>10018.429615999999</v>
      </c>
    </row>
    <row r="660" spans="1:8" x14ac:dyDescent="0.25">
      <c r="A660" s="295" t="str">
        <f>ORÇAMENTO!A194</f>
        <v>12.10</v>
      </c>
      <c r="B660" s="735" t="str">
        <f>ORÇAMENTO!D194</f>
        <v>REATERRO DE VALAS C/ COMPACTAÇÃO VIBRATÓRIA</v>
      </c>
      <c r="C660" s="736"/>
      <c r="D660" s="736"/>
      <c r="E660" s="736"/>
      <c r="F660" s="737"/>
      <c r="G660" s="296" t="s">
        <v>106</v>
      </c>
      <c r="H660" s="297">
        <f>SUM(H661:H662)</f>
        <v>93.2</v>
      </c>
    </row>
    <row r="661" spans="1:8" x14ac:dyDescent="0.25">
      <c r="A661" s="205"/>
      <c r="B661" s="121"/>
      <c r="C661" s="207"/>
      <c r="D661" s="207" t="s">
        <v>180</v>
      </c>
      <c r="E661" s="207" t="s">
        <v>443</v>
      </c>
      <c r="F661" s="207" t="s">
        <v>181</v>
      </c>
      <c r="G661" s="207"/>
      <c r="H661" s="208"/>
    </row>
    <row r="662" spans="1:8" ht="15.75" thickBot="1" x14ac:dyDescent="0.3">
      <c r="A662" s="205"/>
      <c r="B662" s="121" t="s">
        <v>874</v>
      </c>
      <c r="C662" s="207"/>
      <c r="D662" s="207">
        <v>233</v>
      </c>
      <c r="E662" s="207">
        <v>0.4</v>
      </c>
      <c r="F662" s="207">
        <v>1</v>
      </c>
      <c r="G662" s="207" t="s">
        <v>106</v>
      </c>
      <c r="H662" s="208">
        <f>F662*E662*D662</f>
        <v>93.2</v>
      </c>
    </row>
    <row r="663" spans="1:8" x14ac:dyDescent="0.25">
      <c r="A663" s="295" t="str">
        <f>ORÇAMENTO!A195</f>
        <v>12.11</v>
      </c>
      <c r="B663" s="735" t="str">
        <f>ORÇAMENTO!D195</f>
        <v>JUNTA ARGAMASSADA ENTRE TUBO DN 600 MM E O POÇO DE VISITA/ CAIXA DE CONCRETO OU ALVENARIA EM REDES DE ESGOTO. AF_06/2015</v>
      </c>
      <c r="C663" s="736"/>
      <c r="D663" s="736"/>
      <c r="E663" s="736"/>
      <c r="F663" s="737"/>
      <c r="G663" s="296" t="s">
        <v>179</v>
      </c>
      <c r="H663" s="297">
        <f>SUM(H664:H665)</f>
        <v>9</v>
      </c>
    </row>
    <row r="664" spans="1:8" x14ac:dyDescent="0.25">
      <c r="A664" s="205"/>
      <c r="B664" s="121"/>
      <c r="C664" s="207"/>
      <c r="D664" s="207"/>
      <c r="E664" s="207" t="s">
        <v>875</v>
      </c>
      <c r="F664" s="207" t="s">
        <v>876</v>
      </c>
      <c r="G664" s="207"/>
      <c r="H664" s="208"/>
    </row>
    <row r="665" spans="1:8" ht="15.75" thickBot="1" x14ac:dyDescent="0.3">
      <c r="A665" s="205"/>
      <c r="B665" s="121" t="s">
        <v>865</v>
      </c>
      <c r="C665" s="207"/>
      <c r="D665" s="207"/>
      <c r="E665" s="207">
        <v>6</v>
      </c>
      <c r="F665" s="207">
        <v>3</v>
      </c>
      <c r="G665" s="207" t="s">
        <v>179</v>
      </c>
      <c r="H665" s="208">
        <f>F665+E665</f>
        <v>9</v>
      </c>
    </row>
    <row r="666" spans="1:8" x14ac:dyDescent="0.25">
      <c r="A666" s="295" t="str">
        <f>ORÇAMENTO!A196</f>
        <v>12.12</v>
      </c>
      <c r="B666" s="735" t="str">
        <f>ORÇAMENTO!D196</f>
        <v>ESTRUTURA METÁLICA CONVENCIONAL EM AÇO TIPO MR-250 / ASTM A36 COM FUNDO ANTICORROSIVO</v>
      </c>
      <c r="C666" s="736"/>
      <c r="D666" s="736"/>
      <c r="E666" s="736"/>
      <c r="F666" s="737"/>
      <c r="G666" s="296" t="s">
        <v>68</v>
      </c>
      <c r="H666" s="297">
        <f>SUM(H667:H668)</f>
        <v>3014</v>
      </c>
    </row>
    <row r="667" spans="1:8" x14ac:dyDescent="0.25">
      <c r="A667" s="205"/>
      <c r="B667" s="121" t="s">
        <v>866</v>
      </c>
      <c r="C667" s="207"/>
      <c r="D667" s="207"/>
      <c r="E667" s="207"/>
      <c r="F667" s="207"/>
      <c r="G667" s="207"/>
      <c r="H667" s="208"/>
    </row>
    <row r="668" spans="1:8" ht="15.75" thickBot="1" x14ac:dyDescent="0.3">
      <c r="A668" s="205"/>
      <c r="B668" s="121" t="s">
        <v>1028</v>
      </c>
      <c r="C668" s="207"/>
      <c r="D668" s="207"/>
      <c r="E668" s="616"/>
      <c r="F668" s="207"/>
      <c r="G668" s="207" t="s">
        <v>68</v>
      </c>
      <c r="H668" s="208">
        <v>3014</v>
      </c>
    </row>
    <row r="669" spans="1:8" x14ac:dyDescent="0.25">
      <c r="A669" s="295" t="str">
        <f>ORÇAMENTO!A197</f>
        <v>12.13</v>
      </c>
      <c r="B669" s="735" t="str">
        <f>ORÇAMENTO!D197</f>
        <v>PINTURA ALQUÍDICA BRILHANTE DUPLA FUNÇÃO 2 DEMÃOS = 50 MÍCRONS</v>
      </c>
      <c r="C669" s="736"/>
      <c r="D669" s="736"/>
      <c r="E669" s="736"/>
      <c r="F669" s="737"/>
      <c r="G669" s="296" t="s">
        <v>96</v>
      </c>
      <c r="H669" s="297">
        <f>SUM(H670:H671)</f>
        <v>142.79999999999998</v>
      </c>
    </row>
    <row r="670" spans="1:8" x14ac:dyDescent="0.25">
      <c r="A670" s="205"/>
      <c r="B670" s="121" t="s">
        <v>866</v>
      </c>
      <c r="C670" s="207"/>
      <c r="D670" s="207"/>
      <c r="E670" s="207"/>
      <c r="F670" s="207" t="s">
        <v>198</v>
      </c>
      <c r="G670" s="207"/>
      <c r="H670" s="208"/>
    </row>
    <row r="671" spans="1:8" ht="15.75" thickBot="1" x14ac:dyDescent="0.3">
      <c r="A671" s="205"/>
      <c r="B671" s="121" t="s">
        <v>930</v>
      </c>
      <c r="C671" s="207"/>
      <c r="D671" s="207"/>
      <c r="E671" s="616"/>
      <c r="F671" s="207">
        <v>4</v>
      </c>
      <c r="G671" s="207" t="s">
        <v>96</v>
      </c>
      <c r="H671" s="208">
        <f>4*21*1.7</f>
        <v>142.79999999999998</v>
      </c>
    </row>
    <row r="672" spans="1:8" x14ac:dyDescent="0.25">
      <c r="A672" s="295" t="str">
        <f>ORÇAMENTO!A198</f>
        <v>12.14</v>
      </c>
      <c r="B672" s="735" t="str">
        <f>ORÇAMENTO!D198</f>
        <v>BASE PARA POÇO DE VISITA RETANGULAR PARA ESGOTO, EM ALVENARIA COM BLOCOS DE CONCRETO, DIMENSÕES INTERNAS = 3,5X3,5 M, PROFUNDIDADE = 1,45 M, EXCLUINDO TAMPÃO. AF_05/2018</v>
      </c>
      <c r="C672" s="736"/>
      <c r="D672" s="736"/>
      <c r="E672" s="736"/>
      <c r="F672" s="737"/>
      <c r="G672" s="296" t="s">
        <v>179</v>
      </c>
      <c r="H672" s="297">
        <f>SUM(H673:H674)</f>
        <v>3</v>
      </c>
    </row>
    <row r="673" spans="1:8" x14ac:dyDescent="0.25">
      <c r="A673" s="205"/>
      <c r="B673" s="121"/>
      <c r="C673" s="207"/>
      <c r="D673" s="207"/>
      <c r="E673" s="207"/>
      <c r="F673" s="207" t="s">
        <v>269</v>
      </c>
      <c r="G673" s="207"/>
      <c r="H673" s="208"/>
    </row>
    <row r="674" spans="1:8" ht="15.75" thickBot="1" x14ac:dyDescent="0.3">
      <c r="A674" s="205"/>
      <c r="B674" s="121" t="s">
        <v>867</v>
      </c>
      <c r="C674" s="207"/>
      <c r="D674" s="207"/>
      <c r="E674" s="207"/>
      <c r="F674" s="207">
        <v>3</v>
      </c>
      <c r="G674" s="207" t="s">
        <v>179</v>
      </c>
      <c r="H674" s="208">
        <f>F674</f>
        <v>3</v>
      </c>
    </row>
    <row r="675" spans="1:8" x14ac:dyDescent="0.25">
      <c r="A675" s="295" t="str">
        <f>ORÇAMENTO!A199</f>
        <v>12.15</v>
      </c>
      <c r="B675" s="735" t="str">
        <f>ORÇAMENTO!D199</f>
        <v>ACRÉSCIMO PARA POÇO DE VISITA RETANGULAR PARA ESGOTO, EM ALVENARIA COM BLOCOS DE CONCRETO, DIMENSÕES INTERNAS = 3,5X3,5 M. AF_05/2018</v>
      </c>
      <c r="C675" s="736"/>
      <c r="D675" s="736"/>
      <c r="E675" s="736"/>
      <c r="F675" s="737"/>
      <c r="G675" s="296" t="s">
        <v>2</v>
      </c>
      <c r="H675" s="297">
        <f>SUM(H676:H677)</f>
        <v>5</v>
      </c>
    </row>
    <row r="676" spans="1:8" x14ac:dyDescent="0.25">
      <c r="A676" s="205"/>
      <c r="B676" s="121"/>
      <c r="C676" s="207"/>
      <c r="D676" s="207"/>
      <c r="E676" s="207" t="s">
        <v>868</v>
      </c>
      <c r="F676" s="207" t="s">
        <v>269</v>
      </c>
      <c r="G676" s="207"/>
      <c r="H676" s="208"/>
    </row>
    <row r="677" spans="1:8" ht="15.75" thickBot="1" x14ac:dyDescent="0.3">
      <c r="A677" s="205"/>
      <c r="B677" s="121" t="s">
        <v>867</v>
      </c>
      <c r="C677" s="207"/>
      <c r="D677" s="207"/>
      <c r="E677" s="207">
        <v>1</v>
      </c>
      <c r="F677" s="207">
        <v>5</v>
      </c>
      <c r="G677" s="207" t="s">
        <v>2</v>
      </c>
      <c r="H677" s="208">
        <f>F677*E677</f>
        <v>5</v>
      </c>
    </row>
    <row r="678" spans="1:8" x14ac:dyDescent="0.25">
      <c r="A678" s="295" t="str">
        <f>ORÇAMENTO!A200</f>
        <v>12.16</v>
      </c>
      <c r="B678" s="735" t="str">
        <f>ORÇAMENTO!D200</f>
        <v>CHAMINÉ CIRCULAR PARA POÇO DE VISITA PARA ESGOTO, EM CONCRETO PRÉ-MOLDADO, DIÂMETRO INTERNO = 0,6 M. AF_05/2018</v>
      </c>
      <c r="C678" s="736"/>
      <c r="D678" s="736"/>
      <c r="E678" s="736"/>
      <c r="F678" s="737"/>
      <c r="G678" s="296" t="s">
        <v>179</v>
      </c>
      <c r="H678" s="297">
        <f>SUM(H679:H680)</f>
        <v>5</v>
      </c>
    </row>
    <row r="679" spans="1:8" x14ac:dyDescent="0.25">
      <c r="A679" s="205"/>
      <c r="B679" s="121"/>
      <c r="C679" s="207"/>
      <c r="D679" s="207"/>
      <c r="E679" s="207"/>
      <c r="F679" s="207" t="s">
        <v>269</v>
      </c>
      <c r="G679" s="207"/>
      <c r="H679" s="208"/>
    </row>
    <row r="680" spans="1:8" ht="15.75" thickBot="1" x14ac:dyDescent="0.3">
      <c r="A680" s="205"/>
      <c r="B680" s="121" t="s">
        <v>865</v>
      </c>
      <c r="C680" s="207"/>
      <c r="D680" s="207"/>
      <c r="E680" s="207"/>
      <c r="F680" s="207">
        <v>5</v>
      </c>
      <c r="G680" s="207" t="s">
        <v>179</v>
      </c>
      <c r="H680" s="208">
        <f>F680</f>
        <v>5</v>
      </c>
    </row>
    <row r="681" spans="1:8" x14ac:dyDescent="0.25">
      <c r="A681" s="295" t="str">
        <f>ORÇAMENTO!A201</f>
        <v>12.17</v>
      </c>
      <c r="B681" s="735" t="str">
        <f>ORÇAMENTO!D201</f>
        <v>TAMPA CIRCULAR PARA ESGOTO E DRENAGEM, EM FERRO FUNDIDO, DIÂMETRO INTERNO = 0,6 M. AF_05/2018</v>
      </c>
      <c r="C681" s="736"/>
      <c r="D681" s="736"/>
      <c r="E681" s="736"/>
      <c r="F681" s="737"/>
      <c r="G681" s="296" t="s">
        <v>179</v>
      </c>
      <c r="H681" s="297">
        <f>SUM(H682:H683)</f>
        <v>5</v>
      </c>
    </row>
    <row r="682" spans="1:8" x14ac:dyDescent="0.25">
      <c r="A682" s="205"/>
      <c r="B682" s="121"/>
      <c r="C682" s="207"/>
      <c r="D682" s="207"/>
      <c r="E682" s="207"/>
      <c r="F682" s="207" t="s">
        <v>269</v>
      </c>
      <c r="G682" s="207"/>
      <c r="H682" s="208"/>
    </row>
    <row r="683" spans="1:8" ht="15.75" thickBot="1" x14ac:dyDescent="0.3">
      <c r="A683" s="205"/>
      <c r="B683" s="121" t="s">
        <v>865</v>
      </c>
      <c r="C683" s="207"/>
      <c r="D683" s="207"/>
      <c r="E683" s="207"/>
      <c r="F683" s="207">
        <v>5</v>
      </c>
      <c r="G683" s="207" t="s">
        <v>179</v>
      </c>
      <c r="H683" s="208">
        <f>F683</f>
        <v>5</v>
      </c>
    </row>
    <row r="684" spans="1:8" x14ac:dyDescent="0.25">
      <c r="A684" s="295" t="str">
        <f>ORÇAMENTO!A202</f>
        <v>12.18</v>
      </c>
      <c r="B684" s="735" t="str">
        <f>ORÇAMENTO!D202</f>
        <v>FORMA CHAPA COMPENSADA RESINADA 12 MM (INCLUSO DESFORMA)</v>
      </c>
      <c r="C684" s="736"/>
      <c r="D684" s="736"/>
      <c r="E684" s="736"/>
      <c r="F684" s="737"/>
      <c r="G684" s="296" t="s">
        <v>179</v>
      </c>
      <c r="H684" s="297">
        <f>SUM(H685:H686)</f>
        <v>6.8</v>
      </c>
    </row>
    <row r="685" spans="1:8" x14ac:dyDescent="0.25">
      <c r="A685" s="205"/>
      <c r="C685" s="207" t="s">
        <v>227</v>
      </c>
      <c r="D685" s="207" t="s">
        <v>231</v>
      </c>
      <c r="E685" s="207" t="s">
        <v>181</v>
      </c>
      <c r="F685" s="207" t="s">
        <v>180</v>
      </c>
      <c r="G685" s="207"/>
      <c r="H685" s="208"/>
    </row>
    <row r="686" spans="1:8" ht="15.75" thickBot="1" x14ac:dyDescent="0.3">
      <c r="A686" s="205"/>
      <c r="B686" s="121" t="s">
        <v>1000</v>
      </c>
      <c r="C686" s="207">
        <v>2</v>
      </c>
      <c r="D686" s="616">
        <v>1</v>
      </c>
      <c r="E686" s="616">
        <v>0.4</v>
      </c>
      <c r="F686" s="616">
        <v>1.5</v>
      </c>
      <c r="G686" s="207" t="s">
        <v>96</v>
      </c>
      <c r="H686" s="208">
        <f>(D686*E686*2)+(D686*F686*2)*C686</f>
        <v>6.8</v>
      </c>
    </row>
    <row r="687" spans="1:8" x14ac:dyDescent="0.25">
      <c r="A687" s="295" t="str">
        <f>ORÇAMENTO!A203</f>
        <v>12.19</v>
      </c>
      <c r="B687" s="735" t="str">
        <f>ORÇAMENTO!D203</f>
        <v>AÇO CA50/60 AQUISIÇÃO, ARMAÇÃO E COLOCAÇÃO (INCLUSO PERDAS) - INFRAESTRUTURA</v>
      </c>
      <c r="C687" s="736"/>
      <c r="D687" s="736"/>
      <c r="E687" s="736"/>
      <c r="F687" s="737"/>
      <c r="G687" s="296" t="s">
        <v>179</v>
      </c>
      <c r="H687" s="297">
        <f>SUM(H688:H690)</f>
        <v>56.664439999999999</v>
      </c>
    </row>
    <row r="688" spans="1:8" x14ac:dyDescent="0.25">
      <c r="A688" s="205"/>
      <c r="B688" s="121"/>
      <c r="C688" s="207"/>
      <c r="D688" s="207" t="s">
        <v>1003</v>
      </c>
      <c r="E688" s="207" t="s">
        <v>1002</v>
      </c>
      <c r="F688" s="207" t="s">
        <v>180</v>
      </c>
      <c r="G688" s="207"/>
      <c r="H688" s="208"/>
    </row>
    <row r="689" spans="1:8" x14ac:dyDescent="0.25">
      <c r="A689" s="205"/>
      <c r="B689" s="121" t="s">
        <v>1001</v>
      </c>
      <c r="C689" s="207"/>
      <c r="D689" s="207">
        <v>0.245</v>
      </c>
      <c r="E689" s="207">
        <v>2</v>
      </c>
      <c r="F689" s="207">
        <v>22.22</v>
      </c>
      <c r="G689" s="207" t="s">
        <v>68</v>
      </c>
      <c r="H689" s="208">
        <f>F689*E689*D689</f>
        <v>10.887799999999999</v>
      </c>
    </row>
    <row r="690" spans="1:8" x14ac:dyDescent="0.25">
      <c r="A690" s="205"/>
      <c r="B690" s="121" t="s">
        <v>1004</v>
      </c>
      <c r="C690" s="207"/>
      <c r="D690" s="207">
        <v>0.624</v>
      </c>
      <c r="E690" s="207">
        <v>2</v>
      </c>
      <c r="F690" s="207">
        <v>36.68</v>
      </c>
      <c r="G690" s="207" t="s">
        <v>68</v>
      </c>
      <c r="H690" s="208">
        <f>F690*E690*D690</f>
        <v>45.77664</v>
      </c>
    </row>
    <row r="691" spans="1:8" ht="15.75" thickBot="1" x14ac:dyDescent="0.3">
      <c r="A691" s="572"/>
      <c r="B691" s="585" t="s">
        <v>11</v>
      </c>
      <c r="C691" s="649"/>
      <c r="D691" s="649"/>
      <c r="E691" s="649"/>
      <c r="F691" s="650"/>
      <c r="G691" s="574" t="s">
        <v>68</v>
      </c>
      <c r="H691" s="575">
        <f>H690+H689</f>
        <v>56.664439999999999</v>
      </c>
    </row>
    <row r="692" spans="1:8" x14ac:dyDescent="0.25">
      <c r="A692" s="295" t="str">
        <f>ORÇAMENTO!A204</f>
        <v>12.20</v>
      </c>
      <c r="B692" s="735" t="str">
        <f>ORÇAMENTO!D204</f>
        <v>CONCRETO FCK=20 MPA (AC/BC)</v>
      </c>
      <c r="C692" s="736"/>
      <c r="D692" s="736"/>
      <c r="E692" s="736"/>
      <c r="F692" s="737"/>
      <c r="G692" s="296" t="s">
        <v>106</v>
      </c>
      <c r="H692" s="297">
        <f>SUM(H693:H694)</f>
        <v>1.2480000000000002</v>
      </c>
    </row>
    <row r="693" spans="1:8" x14ac:dyDescent="0.25">
      <c r="A693" s="205"/>
      <c r="B693" s="121"/>
      <c r="C693" s="207"/>
      <c r="D693" s="207" t="s">
        <v>193</v>
      </c>
      <c r="E693" s="207" t="s">
        <v>181</v>
      </c>
      <c r="F693" s="207" t="s">
        <v>269</v>
      </c>
      <c r="G693" s="207"/>
      <c r="H693" s="208"/>
    </row>
    <row r="694" spans="1:8" ht="15.75" thickBot="1" x14ac:dyDescent="0.3">
      <c r="A694" s="205"/>
      <c r="B694" s="121" t="s">
        <v>1005</v>
      </c>
      <c r="C694" s="207"/>
      <c r="D694" s="207">
        <v>1.56</v>
      </c>
      <c r="E694" s="207">
        <v>0.4</v>
      </c>
      <c r="F694" s="207">
        <v>2</v>
      </c>
      <c r="G694" s="207" t="s">
        <v>106</v>
      </c>
      <c r="H694" s="208">
        <f>F694*E694*D694</f>
        <v>1.2480000000000002</v>
      </c>
    </row>
    <row r="695" spans="1:8" x14ac:dyDescent="0.25">
      <c r="A695" s="295" t="str">
        <f>ORÇAMENTO!A205</f>
        <v>12.21</v>
      </c>
      <c r="B695" s="735" t="str">
        <f>ORÇAMENTO!D205</f>
        <v>ASSENTAMENTO DE TUBO DE PVC DEFOFO OU PRFV OU RPVC PARA REDE DE ÁGUA, DN 150 MM, JUNTA ELÁSTICA INTEGRADA, INSTALADO EM LOCAL COM NÍVEL ALTO DE INTERFERÊNCIAS (NÃO INCLUI FORNECIMENTO). AF_11/2017</v>
      </c>
      <c r="C695" s="736"/>
      <c r="D695" s="736"/>
      <c r="E695" s="736"/>
      <c r="F695" s="737"/>
      <c r="G695" s="296" t="s">
        <v>2</v>
      </c>
      <c r="H695" s="297">
        <f>SUM(H696:H697)</f>
        <v>360</v>
      </c>
    </row>
    <row r="696" spans="1:8" x14ac:dyDescent="0.25">
      <c r="A696" s="205"/>
      <c r="B696" s="121"/>
      <c r="C696" s="207"/>
      <c r="D696" s="207"/>
      <c r="E696" s="207"/>
      <c r="F696" s="207" t="s">
        <v>180</v>
      </c>
      <c r="G696" s="207"/>
      <c r="H696" s="208"/>
    </row>
    <row r="697" spans="1:8" ht="15.75" thickBot="1" x14ac:dyDescent="0.3">
      <c r="A697" s="205"/>
      <c r="B697" s="121" t="s">
        <v>1006</v>
      </c>
      <c r="C697" s="207"/>
      <c r="D697" s="207"/>
      <c r="E697" s="207"/>
      <c r="F697" s="207">
        <f>H641+(6*6)</f>
        <v>360</v>
      </c>
      <c r="G697" s="207" t="s">
        <v>2</v>
      </c>
      <c r="H697" s="208">
        <f>F697</f>
        <v>360</v>
      </c>
    </row>
    <row r="698" spans="1:8" x14ac:dyDescent="0.25">
      <c r="A698" s="295" t="str">
        <f>ORÇAMENTO!A206</f>
        <v>12.22</v>
      </c>
      <c r="B698" s="735" t="str">
        <f>ORÇAMENTO!D206</f>
        <v>TUBO PVC DEFOFO, JEI, 1 MPA, DN 150 MM, PARA REDE DE AGUA (NBR 7665)</v>
      </c>
      <c r="C698" s="736"/>
      <c r="D698" s="736"/>
      <c r="E698" s="736"/>
      <c r="F698" s="737"/>
      <c r="G698" s="296" t="s">
        <v>2</v>
      </c>
      <c r="H698" s="297">
        <f>SUM(H699:H700)</f>
        <v>360</v>
      </c>
    </row>
    <row r="699" spans="1:8" x14ac:dyDescent="0.25">
      <c r="A699" s="205"/>
      <c r="B699" s="121"/>
      <c r="C699" s="207"/>
      <c r="D699" s="207"/>
      <c r="E699" s="207"/>
      <c r="F699" s="207">
        <f>F697</f>
        <v>360</v>
      </c>
      <c r="G699" s="207"/>
      <c r="H699" s="208"/>
    </row>
    <row r="700" spans="1:8" ht="15.75" thickBot="1" x14ac:dyDescent="0.3">
      <c r="A700" s="205"/>
      <c r="B700" s="121" t="s">
        <v>1007</v>
      </c>
      <c r="C700" s="207"/>
      <c r="D700" s="207"/>
      <c r="E700" s="207"/>
      <c r="F700" s="207">
        <f>F697</f>
        <v>360</v>
      </c>
      <c r="G700" s="207" t="s">
        <v>2</v>
      </c>
      <c r="H700" s="208">
        <f>F700</f>
        <v>360</v>
      </c>
    </row>
    <row r="701" spans="1:8" ht="15.75" thickBot="1" x14ac:dyDescent="0.3">
      <c r="A701" s="153">
        <v>12</v>
      </c>
      <c r="B701" s="116" t="s">
        <v>258</v>
      </c>
      <c r="C701" s="162"/>
      <c r="D701" s="162"/>
      <c r="E701" s="162"/>
      <c r="F701" s="162"/>
      <c r="G701" s="162"/>
      <c r="H701" s="260"/>
    </row>
    <row r="702" spans="1:8" x14ac:dyDescent="0.25">
      <c r="A702" s="295" t="str">
        <f>ORÇAMENTO!A210</f>
        <v>13.1</v>
      </c>
      <c r="B702" s="735" t="str">
        <f>ORÇAMENTO!D210</f>
        <v>REVESTIMENTO VEGETAL EM PLACAS (GRAMA)</v>
      </c>
      <c r="C702" s="736"/>
      <c r="D702" s="736"/>
      <c r="E702" s="736"/>
      <c r="F702" s="737"/>
      <c r="G702" s="296" t="str">
        <f>ORÇAMENTO!E210</f>
        <v>M2</v>
      </c>
      <c r="H702" s="297">
        <f>SUM(H703:H709)</f>
        <v>48095.96</v>
      </c>
    </row>
    <row r="703" spans="1:8" x14ac:dyDescent="0.25">
      <c r="A703" s="205"/>
      <c r="B703" s="130" t="s">
        <v>434</v>
      </c>
      <c r="C703" s="261"/>
      <c r="D703" s="261"/>
      <c r="E703" s="261"/>
      <c r="F703" s="322"/>
      <c r="G703" s="207" t="s">
        <v>96</v>
      </c>
      <c r="H703" s="208">
        <f>1163+1175.46</f>
        <v>2338.46</v>
      </c>
    </row>
    <row r="704" spans="1:8" x14ac:dyDescent="0.25">
      <c r="A704" s="205"/>
      <c r="B704" s="130" t="s">
        <v>435</v>
      </c>
      <c r="C704" s="261"/>
      <c r="D704" s="261"/>
      <c r="E704" s="261"/>
      <c r="F704" s="322"/>
      <c r="G704" s="207" t="s">
        <v>96</v>
      </c>
      <c r="H704" s="208">
        <v>300</v>
      </c>
    </row>
    <row r="705" spans="1:8" x14ac:dyDescent="0.25">
      <c r="A705" s="205"/>
      <c r="B705" s="130" t="s">
        <v>317</v>
      </c>
      <c r="C705" s="261"/>
      <c r="D705" s="261"/>
      <c r="E705" s="261"/>
      <c r="F705" s="322"/>
      <c r="G705" s="207" t="s">
        <v>96</v>
      </c>
      <c r="H705" s="208">
        <v>1281</v>
      </c>
    </row>
    <row r="706" spans="1:8" x14ac:dyDescent="0.25">
      <c r="A706" s="572"/>
      <c r="B706" s="571" t="s">
        <v>800</v>
      </c>
      <c r="C706" s="556"/>
      <c r="D706" s="556"/>
      <c r="E706" s="556"/>
      <c r="F706" s="573"/>
      <c r="G706" s="574" t="s">
        <v>96</v>
      </c>
      <c r="H706" s="575">
        <v>7718.4</v>
      </c>
    </row>
    <row r="707" spans="1:8" x14ac:dyDescent="0.25">
      <c r="A707" s="572"/>
      <c r="B707" s="571" t="s">
        <v>801</v>
      </c>
      <c r="C707" s="556"/>
      <c r="D707" s="556"/>
      <c r="E707" s="556"/>
      <c r="F707" s="573"/>
      <c r="G707" s="574" t="s">
        <v>96</v>
      </c>
      <c r="H707" s="575">
        <v>9467</v>
      </c>
    </row>
    <row r="708" spans="1:8" x14ac:dyDescent="0.25">
      <c r="A708" s="572"/>
      <c r="B708" s="571" t="s">
        <v>802</v>
      </c>
      <c r="C708" s="556"/>
      <c r="D708" s="556"/>
      <c r="E708" s="556"/>
      <c r="F708" s="573"/>
      <c r="G708" s="574" t="s">
        <v>96</v>
      </c>
      <c r="H708" s="575">
        <v>6496.8</v>
      </c>
    </row>
    <row r="709" spans="1:8" ht="15.75" thickBot="1" x14ac:dyDescent="0.3">
      <c r="A709" s="572"/>
      <c r="B709" s="571" t="s">
        <v>803</v>
      </c>
      <c r="C709" s="556"/>
      <c r="D709" s="556"/>
      <c r="E709" s="556"/>
      <c r="F709" s="573"/>
      <c r="G709" s="574" t="s">
        <v>96</v>
      </c>
      <c r="H709" s="575">
        <v>20494.3</v>
      </c>
    </row>
    <row r="710" spans="1:8" x14ac:dyDescent="0.25">
      <c r="A710" s="295" t="str">
        <f>ORÇAMENTO!A211</f>
        <v>13.2</v>
      </c>
      <c r="B710" s="735" t="str">
        <f>ORÇAMENTO!D211</f>
        <v>CONFORMAÇÃO DE TALUDE</v>
      </c>
      <c r="C710" s="736"/>
      <c r="D710" s="736"/>
      <c r="E710" s="736"/>
      <c r="F710" s="737"/>
      <c r="G710" s="296" t="str">
        <f>G711</f>
        <v>M2</v>
      </c>
      <c r="H710" s="297">
        <f>H711+H712</f>
        <v>4129.1900000000005</v>
      </c>
    </row>
    <row r="711" spans="1:8" x14ac:dyDescent="0.25">
      <c r="A711" s="205"/>
      <c r="B711" s="130" t="s">
        <v>434</v>
      </c>
      <c r="C711" s="261"/>
      <c r="D711" s="261"/>
      <c r="E711" s="261"/>
      <c r="F711" s="322"/>
      <c r="G711" s="207" t="s">
        <v>96</v>
      </c>
      <c r="H711" s="208">
        <f>1163+1175.46</f>
        <v>2338.46</v>
      </c>
    </row>
    <row r="712" spans="1:8" ht="15.75" thickBot="1" x14ac:dyDescent="0.3">
      <c r="A712" s="205"/>
      <c r="B712" s="130" t="s">
        <v>796</v>
      </c>
      <c r="C712" s="261"/>
      <c r="D712" s="261"/>
      <c r="E712" s="261"/>
      <c r="F712" s="322"/>
      <c r="G712" s="207" t="s">
        <v>96</v>
      </c>
      <c r="H712" s="208">
        <f>H562</f>
        <v>1790.73</v>
      </c>
    </row>
    <row r="713" spans="1:8" x14ac:dyDescent="0.25">
      <c r="A713" s="295" t="str">
        <f>ORÇAMENTO!A212</f>
        <v>13.3</v>
      </c>
      <c r="B713" s="735" t="str">
        <f>ORÇAMENTO!D212</f>
        <v>FLORESTAMENTO</v>
      </c>
      <c r="C713" s="736"/>
      <c r="D713" s="736"/>
      <c r="E713" s="736"/>
      <c r="F713" s="737"/>
      <c r="G713" s="296" t="str">
        <f>G714</f>
        <v>M2</v>
      </c>
      <c r="H713" s="297">
        <f>SUM(H714:H717)</f>
        <v>44176.5</v>
      </c>
    </row>
    <row r="714" spans="1:8" x14ac:dyDescent="0.25">
      <c r="A714" s="205"/>
      <c r="B714" s="571" t="s">
        <v>800</v>
      </c>
      <c r="C714" s="261"/>
      <c r="D714" s="261"/>
      <c r="E714" s="261"/>
      <c r="F714" s="322"/>
      <c r="G714" s="207" t="s">
        <v>96</v>
      </c>
      <c r="H714" s="208">
        <f>H706</f>
        <v>7718.4</v>
      </c>
    </row>
    <row r="715" spans="1:8" x14ac:dyDescent="0.25">
      <c r="A715" s="205"/>
      <c r="B715" s="571" t="s">
        <v>801</v>
      </c>
      <c r="C715" s="261"/>
      <c r="D715" s="261"/>
      <c r="E715" s="261"/>
      <c r="F715" s="322"/>
      <c r="G715" s="207" t="s">
        <v>96</v>
      </c>
      <c r="H715" s="208">
        <f>H707</f>
        <v>9467</v>
      </c>
    </row>
    <row r="716" spans="1:8" x14ac:dyDescent="0.25">
      <c r="A716" s="205"/>
      <c r="B716" s="571" t="s">
        <v>802</v>
      </c>
      <c r="C716" s="261"/>
      <c r="D716" s="261"/>
      <c r="E716" s="261"/>
      <c r="F716" s="322"/>
      <c r="G716" s="207" t="s">
        <v>96</v>
      </c>
      <c r="H716" s="208">
        <f>H708</f>
        <v>6496.8</v>
      </c>
    </row>
    <row r="717" spans="1:8" ht="15.75" thickBot="1" x14ac:dyDescent="0.3">
      <c r="A717" s="545"/>
      <c r="B717" s="126" t="s">
        <v>803</v>
      </c>
      <c r="C717" s="289"/>
      <c r="D717" s="289"/>
      <c r="E717" s="289"/>
      <c r="F717" s="292"/>
      <c r="G717" s="290" t="s">
        <v>96</v>
      </c>
      <c r="H717" s="291">
        <f>H709</f>
        <v>20494.3</v>
      </c>
    </row>
    <row r="718" spans="1:8" ht="15.75" thickBot="1" x14ac:dyDescent="0.3">
      <c r="A718" s="295" t="str">
        <f>ORÇAMENTO!A213</f>
        <v>13.4</v>
      </c>
      <c r="B718" s="735" t="str">
        <f>ORÇAMENTO!D213</f>
        <v>MONUMENTO O ESPANHOL</v>
      </c>
      <c r="C718" s="736"/>
      <c r="D718" s="736"/>
      <c r="E718" s="736"/>
      <c r="F718" s="737"/>
      <c r="G718" s="296" t="s">
        <v>179</v>
      </c>
      <c r="H718" s="297">
        <v>1</v>
      </c>
    </row>
    <row r="719" spans="1:8" x14ac:dyDescent="0.25">
      <c r="A719" s="207"/>
      <c r="B719" s="735" t="s">
        <v>989</v>
      </c>
      <c r="C719" s="736"/>
      <c r="D719" s="736"/>
      <c r="E719" s="736"/>
      <c r="F719" s="737"/>
      <c r="G719" s="634"/>
      <c r="H719" s="636"/>
    </row>
    <row r="720" spans="1:8" x14ac:dyDescent="0.25">
      <c r="A720" s="634"/>
      <c r="B720" s="635" t="s">
        <v>892</v>
      </c>
      <c r="C720" s="634" t="s">
        <v>2</v>
      </c>
      <c r="D720" s="634" t="s">
        <v>8</v>
      </c>
      <c r="E720" s="634" t="s">
        <v>975</v>
      </c>
      <c r="F720" s="634"/>
      <c r="G720" s="634"/>
      <c r="H720" s="636" t="s">
        <v>11</v>
      </c>
    </row>
    <row r="721" spans="1:8" x14ac:dyDescent="0.25">
      <c r="A721" s="637"/>
      <c r="B721" s="638"/>
      <c r="C721" s="637"/>
      <c r="D721" s="637">
        <v>5</v>
      </c>
      <c r="E721" s="637">
        <v>6</v>
      </c>
      <c r="F721" s="637"/>
      <c r="G721" s="637"/>
      <c r="H721" s="636">
        <v>30</v>
      </c>
    </row>
    <row r="722" spans="1:8" x14ac:dyDescent="0.25">
      <c r="A722" s="634"/>
      <c r="B722" s="635" t="s">
        <v>893</v>
      </c>
      <c r="C722" s="634" t="s">
        <v>106</v>
      </c>
      <c r="D722" s="634" t="s">
        <v>193</v>
      </c>
      <c r="E722" s="634"/>
      <c r="F722" s="634"/>
      <c r="G722" s="634"/>
      <c r="H722" s="636" t="s">
        <v>11</v>
      </c>
    </row>
    <row r="723" spans="1:8" x14ac:dyDescent="0.25">
      <c r="A723" s="637"/>
      <c r="B723" s="638" t="s">
        <v>990</v>
      </c>
      <c r="C723" s="637"/>
      <c r="D723" s="637" t="s">
        <v>976</v>
      </c>
      <c r="E723" s="637"/>
      <c r="F723" s="637"/>
      <c r="G723" s="637"/>
      <c r="H723" s="636">
        <v>3.79</v>
      </c>
    </row>
    <row r="724" spans="1:8" x14ac:dyDescent="0.25">
      <c r="A724" s="634"/>
      <c r="B724" s="635" t="s">
        <v>894</v>
      </c>
      <c r="C724" s="634" t="s">
        <v>106</v>
      </c>
      <c r="D724" s="634"/>
      <c r="E724" s="634"/>
      <c r="F724" s="634"/>
      <c r="G724" s="634"/>
      <c r="H724" s="636" t="s">
        <v>11</v>
      </c>
    </row>
    <row r="725" spans="1:8" x14ac:dyDescent="0.25">
      <c r="A725" s="637"/>
      <c r="B725" s="638" t="s">
        <v>977</v>
      </c>
      <c r="C725" s="637"/>
      <c r="D725" s="637"/>
      <c r="E725" s="637"/>
      <c r="F725" s="637"/>
      <c r="G725" s="637"/>
      <c r="H725" s="636">
        <v>3.79</v>
      </c>
    </row>
    <row r="726" spans="1:8" x14ac:dyDescent="0.25">
      <c r="A726" s="634"/>
      <c r="B726" s="635" t="s">
        <v>895</v>
      </c>
      <c r="C726" s="634" t="s">
        <v>68</v>
      </c>
      <c r="D726" s="634" t="s">
        <v>180</v>
      </c>
      <c r="E726" s="634" t="s">
        <v>11</v>
      </c>
      <c r="F726" s="634" t="s">
        <v>978</v>
      </c>
      <c r="G726" s="634"/>
      <c r="H726" s="636" t="s">
        <v>11</v>
      </c>
    </row>
    <row r="727" spans="1:8" x14ac:dyDescent="0.25">
      <c r="A727" s="637"/>
      <c r="B727" s="635" t="s">
        <v>979</v>
      </c>
      <c r="C727" s="637"/>
      <c r="D727" s="637" t="s">
        <v>988</v>
      </c>
      <c r="E727" s="637">
        <f>39.3+35.2</f>
        <v>74.5</v>
      </c>
      <c r="F727" s="639">
        <f>0.385*E727</f>
        <v>28.682500000000001</v>
      </c>
      <c r="G727" s="637"/>
      <c r="H727" s="640">
        <f>F727</f>
        <v>28.682500000000001</v>
      </c>
    </row>
    <row r="728" spans="1:8" x14ac:dyDescent="0.25">
      <c r="A728" s="637"/>
      <c r="B728" s="638" t="s">
        <v>980</v>
      </c>
      <c r="C728" s="637"/>
      <c r="D728" s="637">
        <v>30</v>
      </c>
      <c r="E728" s="637">
        <v>30</v>
      </c>
      <c r="F728" s="639">
        <f>0.385*E728</f>
        <v>11.55</v>
      </c>
      <c r="G728" s="637"/>
      <c r="H728" s="640">
        <f>F728</f>
        <v>11.55</v>
      </c>
    </row>
    <row r="729" spans="1:8" x14ac:dyDescent="0.25">
      <c r="A729" s="637"/>
      <c r="B729" s="638"/>
      <c r="C729" s="637"/>
      <c r="D729" s="637"/>
      <c r="E729" s="637"/>
      <c r="F729" s="637"/>
      <c r="G729" s="634" t="s">
        <v>11</v>
      </c>
      <c r="H729" s="636">
        <f>SUM(H727:H728)</f>
        <v>40.232500000000002</v>
      </c>
    </row>
    <row r="730" spans="1:8" x14ac:dyDescent="0.25">
      <c r="A730" s="634"/>
      <c r="B730" s="635" t="s">
        <v>896</v>
      </c>
      <c r="C730" s="634" t="s">
        <v>7</v>
      </c>
      <c r="D730" s="634"/>
      <c r="E730" s="634"/>
      <c r="F730" s="634"/>
      <c r="G730" s="634"/>
      <c r="H730" s="636" t="s">
        <v>11</v>
      </c>
    </row>
    <row r="731" spans="1:8" x14ac:dyDescent="0.25">
      <c r="A731" s="637"/>
      <c r="B731" s="638"/>
      <c r="C731" s="637"/>
      <c r="D731" s="637"/>
      <c r="E731" s="637"/>
      <c r="F731" s="637"/>
      <c r="G731" s="637"/>
      <c r="H731" s="636">
        <v>2</v>
      </c>
    </row>
    <row r="732" spans="1:8" x14ac:dyDescent="0.25">
      <c r="A732" s="634"/>
      <c r="B732" s="635" t="s">
        <v>897</v>
      </c>
      <c r="C732" s="634" t="s">
        <v>2</v>
      </c>
      <c r="D732" s="634" t="s">
        <v>8</v>
      </c>
      <c r="E732" s="634" t="s">
        <v>975</v>
      </c>
      <c r="F732" s="634"/>
      <c r="G732" s="634"/>
      <c r="H732" s="636" t="s">
        <v>11</v>
      </c>
    </row>
    <row r="733" spans="1:8" x14ac:dyDescent="0.25">
      <c r="A733" s="637"/>
      <c r="B733" s="638"/>
      <c r="C733" s="637"/>
      <c r="D733" s="637">
        <v>65</v>
      </c>
      <c r="E733" s="637">
        <v>2</v>
      </c>
      <c r="F733" s="637"/>
      <c r="G733" s="637"/>
      <c r="H733" s="636">
        <v>130</v>
      </c>
    </row>
    <row r="734" spans="1:8" x14ac:dyDescent="0.25">
      <c r="A734" s="634"/>
      <c r="B734" s="635" t="s">
        <v>898</v>
      </c>
      <c r="C734" s="634" t="s">
        <v>2</v>
      </c>
      <c r="D734" s="634"/>
      <c r="E734" s="634"/>
      <c r="F734" s="634"/>
      <c r="G734" s="634"/>
      <c r="H734" s="636" t="s">
        <v>11</v>
      </c>
    </row>
    <row r="735" spans="1:8" x14ac:dyDescent="0.25">
      <c r="A735" s="637"/>
      <c r="B735" s="638"/>
      <c r="C735" s="637"/>
      <c r="D735" s="637"/>
      <c r="E735" s="637"/>
      <c r="F735" s="637"/>
      <c r="G735" s="637"/>
      <c r="H735" s="636">
        <v>10</v>
      </c>
    </row>
    <row r="736" spans="1:8" ht="30" x14ac:dyDescent="0.25">
      <c r="A736" s="634"/>
      <c r="B736" s="641" t="s">
        <v>899</v>
      </c>
      <c r="C736" s="634" t="s">
        <v>7</v>
      </c>
      <c r="D736" s="634"/>
      <c r="E736" s="634"/>
      <c r="F736" s="634"/>
      <c r="G736" s="634"/>
      <c r="H736" s="636" t="s">
        <v>11</v>
      </c>
    </row>
    <row r="737" spans="1:8" x14ac:dyDescent="0.25">
      <c r="A737" s="637"/>
      <c r="B737" s="638"/>
      <c r="C737" s="637"/>
      <c r="D737" s="637"/>
      <c r="E737" s="637"/>
      <c r="F737" s="637"/>
      <c r="G737" s="637"/>
      <c r="H737" s="636">
        <v>2</v>
      </c>
    </row>
    <row r="738" spans="1:8" x14ac:dyDescent="0.25">
      <c r="A738" s="634"/>
      <c r="B738" s="635" t="s">
        <v>900</v>
      </c>
      <c r="C738" s="634" t="s">
        <v>7</v>
      </c>
      <c r="D738" s="634"/>
      <c r="E738" s="634"/>
      <c r="F738" s="634"/>
      <c r="G738" s="634"/>
      <c r="H738" s="636" t="s">
        <v>11</v>
      </c>
    </row>
    <row r="739" spans="1:8" x14ac:dyDescent="0.25">
      <c r="A739" s="637"/>
      <c r="B739" s="638"/>
      <c r="C739" s="637"/>
      <c r="D739" s="637"/>
      <c r="E739" s="637"/>
      <c r="F739" s="637"/>
      <c r="G739" s="637"/>
      <c r="H739" s="636">
        <v>2</v>
      </c>
    </row>
    <row r="740" spans="1:8" x14ac:dyDescent="0.25">
      <c r="A740" s="634"/>
      <c r="B740" s="635" t="s">
        <v>901</v>
      </c>
      <c r="C740" s="634" t="s">
        <v>7</v>
      </c>
      <c r="D740" s="634"/>
      <c r="E740" s="634"/>
      <c r="F740" s="634"/>
      <c r="G740" s="634"/>
      <c r="H740" s="636" t="s">
        <v>11</v>
      </c>
    </row>
    <row r="741" spans="1:8" x14ac:dyDescent="0.25">
      <c r="A741" s="637"/>
      <c r="B741" s="638"/>
      <c r="C741" s="637"/>
      <c r="D741" s="637"/>
      <c r="E741" s="637"/>
      <c r="F741" s="637"/>
      <c r="G741" s="637"/>
      <c r="H741" s="636">
        <v>1</v>
      </c>
    </row>
    <row r="742" spans="1:8" x14ac:dyDescent="0.25">
      <c r="A742" s="634"/>
      <c r="B742" s="635" t="s">
        <v>902</v>
      </c>
      <c r="C742" s="634" t="s">
        <v>2</v>
      </c>
      <c r="D742" s="634"/>
      <c r="E742" s="634"/>
      <c r="F742" s="634"/>
      <c r="G742" s="634"/>
      <c r="H742" s="636" t="s">
        <v>11</v>
      </c>
    </row>
    <row r="743" spans="1:8" x14ac:dyDescent="0.25">
      <c r="A743" s="637"/>
      <c r="B743" s="638"/>
      <c r="C743" s="637"/>
      <c r="D743" s="637"/>
      <c r="E743" s="637"/>
      <c r="F743" s="637"/>
      <c r="G743" s="637"/>
      <c r="H743" s="636">
        <v>2</v>
      </c>
    </row>
    <row r="744" spans="1:8" x14ac:dyDescent="0.25">
      <c r="A744" s="634"/>
      <c r="B744" s="635" t="s">
        <v>903</v>
      </c>
      <c r="C744" s="634" t="s">
        <v>7</v>
      </c>
      <c r="D744" s="634"/>
      <c r="E744" s="634"/>
      <c r="F744" s="634"/>
      <c r="G744" s="634"/>
      <c r="H744" s="636" t="s">
        <v>11</v>
      </c>
    </row>
    <row r="745" spans="1:8" x14ac:dyDescent="0.25">
      <c r="A745" s="637"/>
      <c r="B745" s="638"/>
      <c r="C745" s="637"/>
      <c r="D745" s="637"/>
      <c r="E745" s="637"/>
      <c r="F745" s="637"/>
      <c r="G745" s="637"/>
      <c r="H745" s="636">
        <v>2</v>
      </c>
    </row>
    <row r="746" spans="1:8" x14ac:dyDescent="0.25">
      <c r="A746" s="634"/>
      <c r="B746" s="635" t="s">
        <v>516</v>
      </c>
      <c r="C746" s="634" t="s">
        <v>7</v>
      </c>
      <c r="D746" s="634"/>
      <c r="E746" s="634"/>
      <c r="F746" s="634"/>
      <c r="G746" s="634"/>
      <c r="H746" s="636" t="s">
        <v>11</v>
      </c>
    </row>
    <row r="747" spans="1:8" x14ac:dyDescent="0.25">
      <c r="A747" s="637"/>
      <c r="B747" s="638"/>
      <c r="C747" s="637"/>
      <c r="D747" s="637"/>
      <c r="E747" s="637"/>
      <c r="F747" s="637"/>
      <c r="G747" s="637"/>
      <c r="H747" s="636">
        <v>2</v>
      </c>
    </row>
    <row r="748" spans="1:8" x14ac:dyDescent="0.25">
      <c r="A748" s="634"/>
      <c r="B748" s="635" t="s">
        <v>904</v>
      </c>
      <c r="C748" s="634" t="s">
        <v>2</v>
      </c>
      <c r="D748" s="634"/>
      <c r="E748" s="634"/>
      <c r="F748" s="634"/>
      <c r="G748" s="634"/>
      <c r="H748" s="636" t="s">
        <v>11</v>
      </c>
    </row>
    <row r="749" spans="1:8" x14ac:dyDescent="0.25">
      <c r="A749" s="637"/>
      <c r="B749" s="638"/>
      <c r="C749" s="637"/>
      <c r="D749" s="637"/>
      <c r="E749" s="637"/>
      <c r="F749" s="637"/>
      <c r="G749" s="637"/>
      <c r="H749" s="636">
        <v>65</v>
      </c>
    </row>
    <row r="750" spans="1:8" x14ac:dyDescent="0.25">
      <c r="A750" s="634"/>
      <c r="B750" s="635" t="s">
        <v>905</v>
      </c>
      <c r="C750" s="634" t="s">
        <v>7</v>
      </c>
      <c r="D750" s="634"/>
      <c r="E750" s="634"/>
      <c r="F750" s="634"/>
      <c r="G750" s="634"/>
      <c r="H750" s="636" t="s">
        <v>11</v>
      </c>
    </row>
    <row r="751" spans="1:8" x14ac:dyDescent="0.25">
      <c r="A751" s="637"/>
      <c r="B751" s="638"/>
      <c r="C751" s="637"/>
      <c r="D751" s="637"/>
      <c r="E751" s="637"/>
      <c r="F751" s="637"/>
      <c r="G751" s="637"/>
      <c r="H751" s="636">
        <v>1</v>
      </c>
    </row>
    <row r="752" spans="1:8" x14ac:dyDescent="0.25">
      <c r="A752" s="634"/>
      <c r="B752" s="635" t="s">
        <v>906</v>
      </c>
      <c r="C752" s="634" t="s">
        <v>7</v>
      </c>
      <c r="D752" s="634"/>
      <c r="E752" s="634"/>
      <c r="F752" s="634"/>
      <c r="G752" s="634"/>
      <c r="H752" s="636" t="s">
        <v>11</v>
      </c>
    </row>
    <row r="753" spans="1:8" x14ac:dyDescent="0.25">
      <c r="A753" s="637"/>
      <c r="B753" s="638"/>
      <c r="C753" s="637"/>
      <c r="D753" s="637"/>
      <c r="E753" s="637"/>
      <c r="F753" s="637"/>
      <c r="G753" s="637"/>
      <c r="H753" s="636">
        <v>4</v>
      </c>
    </row>
    <row r="754" spans="1:8" ht="30" x14ac:dyDescent="0.25">
      <c r="A754" s="634"/>
      <c r="B754" s="641" t="s">
        <v>907</v>
      </c>
      <c r="C754" s="634" t="s">
        <v>7</v>
      </c>
      <c r="D754" s="634"/>
      <c r="E754" s="634"/>
      <c r="F754" s="634"/>
      <c r="G754" s="634"/>
      <c r="H754" s="636" t="s">
        <v>11</v>
      </c>
    </row>
    <row r="755" spans="1:8" x14ac:dyDescent="0.25">
      <c r="A755" s="637"/>
      <c r="B755" s="638"/>
      <c r="C755" s="637"/>
      <c r="D755" s="637"/>
      <c r="E755" s="637"/>
      <c r="F755" s="637"/>
      <c r="G755" s="637"/>
      <c r="H755" s="636">
        <v>5</v>
      </c>
    </row>
    <row r="756" spans="1:8" x14ac:dyDescent="0.25">
      <c r="A756" s="634"/>
      <c r="B756" s="635" t="s">
        <v>908</v>
      </c>
      <c r="C756" s="634" t="s">
        <v>7</v>
      </c>
      <c r="D756" s="634" t="s">
        <v>8</v>
      </c>
      <c r="E756" s="634" t="s">
        <v>981</v>
      </c>
      <c r="F756" s="634"/>
      <c r="G756" s="634"/>
      <c r="H756" s="636" t="s">
        <v>11</v>
      </c>
    </row>
    <row r="757" spans="1:8" x14ac:dyDescent="0.25">
      <c r="A757" s="637"/>
      <c r="B757" s="638"/>
      <c r="C757" s="637"/>
      <c r="D757" s="637">
        <v>2</v>
      </c>
      <c r="E757" s="637">
        <v>5</v>
      </c>
      <c r="F757" s="637"/>
      <c r="G757" s="637"/>
      <c r="H757" s="636">
        <v>10</v>
      </c>
    </row>
    <row r="758" spans="1:8" x14ac:dyDescent="0.25">
      <c r="A758" s="634"/>
      <c r="B758" s="635" t="s">
        <v>909</v>
      </c>
      <c r="C758" s="634" t="s">
        <v>7</v>
      </c>
      <c r="D758" s="634"/>
      <c r="E758" s="634"/>
      <c r="F758" s="634"/>
      <c r="G758" s="634"/>
      <c r="H758" s="636" t="s">
        <v>11</v>
      </c>
    </row>
    <row r="759" spans="1:8" x14ac:dyDescent="0.25">
      <c r="A759" s="637"/>
      <c r="B759" s="638"/>
      <c r="C759" s="637"/>
      <c r="D759" s="637"/>
      <c r="E759" s="637"/>
      <c r="F759" s="637"/>
      <c r="G759" s="637"/>
      <c r="H759" s="636">
        <v>1</v>
      </c>
    </row>
    <row r="760" spans="1:8" x14ac:dyDescent="0.25">
      <c r="A760" s="634"/>
      <c r="B760" s="635" t="s">
        <v>910</v>
      </c>
      <c r="C760" s="634" t="s">
        <v>7</v>
      </c>
      <c r="D760" s="634"/>
      <c r="E760" s="634"/>
      <c r="F760" s="634"/>
      <c r="G760" s="634"/>
      <c r="H760" s="636" t="s">
        <v>11</v>
      </c>
    </row>
    <row r="761" spans="1:8" x14ac:dyDescent="0.25">
      <c r="A761" s="637"/>
      <c r="B761" s="638"/>
      <c r="C761" s="637"/>
      <c r="D761" s="637"/>
      <c r="E761" s="637"/>
      <c r="F761" s="637"/>
      <c r="G761" s="637"/>
      <c r="H761" s="636">
        <v>1</v>
      </c>
    </row>
    <row r="762" spans="1:8" x14ac:dyDescent="0.25">
      <c r="A762" s="634"/>
      <c r="B762" s="635" t="s">
        <v>911</v>
      </c>
      <c r="C762" s="634" t="s">
        <v>96</v>
      </c>
      <c r="D762" s="634" t="s">
        <v>975</v>
      </c>
      <c r="E762" s="634" t="s">
        <v>982</v>
      </c>
      <c r="F762" s="634"/>
      <c r="G762" s="634"/>
      <c r="H762" s="636" t="s">
        <v>11</v>
      </c>
    </row>
    <row r="763" spans="1:8" x14ac:dyDescent="0.25">
      <c r="A763" s="637"/>
      <c r="B763" s="638" t="s">
        <v>983</v>
      </c>
      <c r="C763" s="637"/>
      <c r="D763" s="637">
        <v>2.5</v>
      </c>
      <c r="E763" s="637">
        <v>2.5</v>
      </c>
      <c r="F763" s="637"/>
      <c r="G763" s="637"/>
      <c r="H763" s="636">
        <v>6.25</v>
      </c>
    </row>
    <row r="764" spans="1:8" x14ac:dyDescent="0.25">
      <c r="A764" s="634"/>
      <c r="B764" s="635" t="s">
        <v>912</v>
      </c>
      <c r="C764" s="634" t="s">
        <v>96</v>
      </c>
      <c r="D764" s="634" t="s">
        <v>193</v>
      </c>
      <c r="E764" s="634" t="s">
        <v>8</v>
      </c>
      <c r="F764" s="634"/>
      <c r="G764" s="634"/>
      <c r="H764" s="636" t="s">
        <v>11</v>
      </c>
    </row>
    <row r="765" spans="1:8" x14ac:dyDescent="0.25">
      <c r="A765" s="637"/>
      <c r="B765" s="638" t="s">
        <v>984</v>
      </c>
      <c r="C765" s="637"/>
      <c r="D765" s="637">
        <v>3.3</v>
      </c>
      <c r="E765" s="637">
        <v>4</v>
      </c>
      <c r="F765" s="637"/>
      <c r="G765" s="637"/>
      <c r="H765" s="636">
        <v>13.2</v>
      </c>
    </row>
    <row r="766" spans="1:8" x14ac:dyDescent="0.25">
      <c r="A766" s="634"/>
      <c r="B766" s="635" t="s">
        <v>913</v>
      </c>
      <c r="C766" s="634" t="s">
        <v>96</v>
      </c>
      <c r="D766" s="634" t="s">
        <v>975</v>
      </c>
      <c r="E766" s="634" t="s">
        <v>184</v>
      </c>
      <c r="F766" s="634"/>
      <c r="G766" s="634"/>
      <c r="H766" s="636" t="s">
        <v>11</v>
      </c>
    </row>
    <row r="767" spans="1:8" x14ac:dyDescent="0.25">
      <c r="A767" s="637"/>
      <c r="B767" s="638" t="s">
        <v>985</v>
      </c>
      <c r="C767" s="637"/>
      <c r="D767" s="637">
        <v>0.4</v>
      </c>
      <c r="E767" s="637">
        <v>0.4</v>
      </c>
      <c r="F767" s="637"/>
      <c r="G767" s="637"/>
      <c r="H767" s="636">
        <v>0.16000000000000003</v>
      </c>
    </row>
    <row r="768" spans="1:8" x14ac:dyDescent="0.25">
      <c r="A768" s="634"/>
      <c r="B768" s="635" t="s">
        <v>914</v>
      </c>
      <c r="C768" s="634" t="s">
        <v>7</v>
      </c>
      <c r="D768" s="634"/>
      <c r="E768" s="634"/>
      <c r="F768" s="634"/>
      <c r="G768" s="634"/>
      <c r="H768" s="636" t="s">
        <v>11</v>
      </c>
    </row>
    <row r="769" spans="1:8" x14ac:dyDescent="0.25">
      <c r="A769" s="637"/>
      <c r="B769" s="638"/>
      <c r="C769" s="637"/>
      <c r="D769" s="637"/>
      <c r="E769" s="637"/>
      <c r="F769" s="637"/>
      <c r="G769" s="637"/>
      <c r="H769" s="636">
        <v>1</v>
      </c>
    </row>
    <row r="770" spans="1:8" x14ac:dyDescent="0.25">
      <c r="A770" s="634"/>
      <c r="B770" s="635" t="s">
        <v>915</v>
      </c>
      <c r="C770" s="634" t="s">
        <v>96</v>
      </c>
      <c r="D770" s="634"/>
      <c r="E770" s="634"/>
      <c r="F770" s="634"/>
      <c r="G770" s="634"/>
      <c r="H770" s="636" t="s">
        <v>11</v>
      </c>
    </row>
    <row r="771" spans="1:8" x14ac:dyDescent="0.25">
      <c r="A771" s="637"/>
      <c r="B771" s="638" t="s">
        <v>986</v>
      </c>
      <c r="C771" s="637"/>
      <c r="D771" s="637"/>
      <c r="E771" s="637"/>
      <c r="F771" s="637"/>
      <c r="G771" s="637"/>
      <c r="H771" s="636">
        <v>13.2</v>
      </c>
    </row>
    <row r="772" spans="1:8" x14ac:dyDescent="0.25">
      <c r="A772" s="634"/>
      <c r="B772" s="635" t="s">
        <v>916</v>
      </c>
      <c r="C772" s="634" t="s">
        <v>96</v>
      </c>
      <c r="D772" s="634" t="s">
        <v>975</v>
      </c>
      <c r="E772" s="634" t="s">
        <v>982</v>
      </c>
      <c r="F772" s="634"/>
      <c r="G772" s="634"/>
      <c r="H772" s="636" t="s">
        <v>11</v>
      </c>
    </row>
    <row r="773" spans="1:8" x14ac:dyDescent="0.25">
      <c r="A773" s="637"/>
      <c r="B773" s="638" t="s">
        <v>987</v>
      </c>
      <c r="C773" s="637"/>
      <c r="D773" s="637">
        <v>2.5</v>
      </c>
      <c r="E773" s="637">
        <v>2.5</v>
      </c>
      <c r="F773" s="637"/>
      <c r="G773" s="637"/>
      <c r="H773" s="636">
        <v>6.25</v>
      </c>
    </row>
    <row r="774" spans="1:8" x14ac:dyDescent="0.25">
      <c r="A774" s="634"/>
      <c r="B774" s="635" t="s">
        <v>917</v>
      </c>
      <c r="C774" s="634" t="s">
        <v>96</v>
      </c>
      <c r="D774" s="634" t="s">
        <v>975</v>
      </c>
      <c r="E774" s="634" t="s">
        <v>982</v>
      </c>
      <c r="F774" s="634"/>
      <c r="G774" s="634"/>
      <c r="H774" s="636" t="s">
        <v>11</v>
      </c>
    </row>
    <row r="775" spans="1:8" x14ac:dyDescent="0.25">
      <c r="A775" s="637"/>
      <c r="B775" s="638" t="s">
        <v>987</v>
      </c>
      <c r="C775" s="637"/>
      <c r="D775" s="637">
        <v>2.5</v>
      </c>
      <c r="E775" s="637">
        <v>2.5</v>
      </c>
      <c r="F775" s="637"/>
      <c r="G775" s="637"/>
      <c r="H775" s="636">
        <v>6.25</v>
      </c>
    </row>
    <row r="776" spans="1:8" x14ac:dyDescent="0.25">
      <c r="A776" s="634"/>
      <c r="B776" s="635" t="s">
        <v>918</v>
      </c>
      <c r="C776" s="634" t="s">
        <v>7</v>
      </c>
      <c r="D776" s="634"/>
      <c r="E776" s="634"/>
      <c r="F776" s="634"/>
      <c r="G776" s="634"/>
      <c r="H776" s="636" t="s">
        <v>11</v>
      </c>
    </row>
    <row r="777" spans="1:8" x14ac:dyDescent="0.25">
      <c r="A777" s="637"/>
      <c r="B777" s="638"/>
      <c r="C777" s="637"/>
      <c r="D777" s="637"/>
      <c r="E777" s="637"/>
      <c r="F777" s="637"/>
      <c r="G777" s="637"/>
      <c r="H777" s="636">
        <v>1</v>
      </c>
    </row>
    <row r="778" spans="1:8" x14ac:dyDescent="0.25">
      <c r="A778" s="634"/>
      <c r="B778" s="635" t="s">
        <v>919</v>
      </c>
      <c r="C778" s="634" t="s">
        <v>7</v>
      </c>
      <c r="D778" s="634"/>
      <c r="E778" s="634"/>
      <c r="F778" s="634"/>
      <c r="G778" s="634"/>
      <c r="H778" s="636" t="s">
        <v>11</v>
      </c>
    </row>
    <row r="779" spans="1:8" x14ac:dyDescent="0.25">
      <c r="A779" s="637"/>
      <c r="B779" s="638"/>
      <c r="C779" s="637"/>
      <c r="D779" s="637"/>
      <c r="E779" s="637"/>
      <c r="F779" s="637"/>
      <c r="G779" s="637"/>
      <c r="H779" s="636">
        <v>1</v>
      </c>
    </row>
    <row r="780" spans="1:8" x14ac:dyDescent="0.25">
      <c r="A780" s="634"/>
      <c r="B780" s="635" t="s">
        <v>920</v>
      </c>
      <c r="C780" s="634" t="s">
        <v>96</v>
      </c>
      <c r="D780" s="634" t="s">
        <v>193</v>
      </c>
      <c r="E780" s="634"/>
      <c r="F780" s="634"/>
      <c r="G780" s="634"/>
      <c r="H780" s="636" t="s">
        <v>11</v>
      </c>
    </row>
    <row r="781" spans="1:8" x14ac:dyDescent="0.25">
      <c r="A781" s="207"/>
      <c r="B781" s="121"/>
      <c r="C781" s="207"/>
      <c r="D781" s="207">
        <v>124.11</v>
      </c>
      <c r="E781" s="207"/>
      <c r="F781" s="207"/>
      <c r="G781" s="207"/>
      <c r="H781" s="633">
        <v>124.11</v>
      </c>
    </row>
    <row r="782" spans="1:8" ht="35.25" customHeight="1" x14ac:dyDescent="0.25">
      <c r="A782" s="545"/>
      <c r="B782" s="641" t="str">
        <f>COMPOSIÇÃO!C245</f>
        <v>BANCO CONCRETO POLIDO BASE EM ALVENARIA TIJOLO APARENTE PINTADA - PADRÃO AGETOP 2015</v>
      </c>
      <c r="C782" s="634" t="s">
        <v>2</v>
      </c>
      <c r="D782" s="634" t="s">
        <v>180</v>
      </c>
      <c r="E782" s="634" t="s">
        <v>269</v>
      </c>
      <c r="F782" s="634"/>
      <c r="G782" s="634"/>
      <c r="H782" s="636" t="s">
        <v>11</v>
      </c>
    </row>
    <row r="783" spans="1:8" x14ac:dyDescent="0.25">
      <c r="A783" s="545"/>
      <c r="B783" s="121"/>
      <c r="C783" s="207"/>
      <c r="D783" s="207">
        <v>1.5</v>
      </c>
      <c r="E783" s="207">
        <v>8</v>
      </c>
      <c r="F783" s="207"/>
      <c r="G783" s="207"/>
      <c r="H783" s="633">
        <f>E783*D783</f>
        <v>12</v>
      </c>
    </row>
    <row r="784" spans="1:8" x14ac:dyDescent="0.25">
      <c r="A784" s="250" t="str">
        <f>ORÇAMENTO!A214</f>
        <v>13.5</v>
      </c>
      <c r="B784" s="732" t="str">
        <f>ORÇAMENTO!D214</f>
        <v>LIMPEZA EM SUPERFÍCIE DE CONCRETO COM JATEAMENTO D'ÁGUA SOB PRESSÃO</v>
      </c>
      <c r="C784" s="733"/>
      <c r="D784" s="733"/>
      <c r="E784" s="733"/>
      <c r="F784" s="734"/>
      <c r="G784" s="251" t="str">
        <f>ORÇAMENTO!E214</f>
        <v>M2</v>
      </c>
      <c r="H784" s="252">
        <f>H786</f>
        <v>3612</v>
      </c>
    </row>
    <row r="785" spans="1:10" x14ac:dyDescent="0.25">
      <c r="A785" s="250"/>
      <c r="B785" s="138"/>
      <c r="C785" s="139"/>
      <c r="D785" s="206" t="s">
        <v>433</v>
      </c>
      <c r="E785" s="206" t="s">
        <v>223</v>
      </c>
      <c r="F785" s="206" t="s">
        <v>198</v>
      </c>
      <c r="G785" s="251"/>
      <c r="H785" s="252"/>
    </row>
    <row r="786" spans="1:10" ht="15.75" thickBot="1" x14ac:dyDescent="0.3">
      <c r="A786" s="209"/>
      <c r="B786" s="154" t="s">
        <v>432</v>
      </c>
      <c r="C786" s="323"/>
      <c r="D786" s="323">
        <v>516</v>
      </c>
      <c r="E786" s="323">
        <v>3.5</v>
      </c>
      <c r="F786" s="324">
        <v>2</v>
      </c>
      <c r="G786" s="210" t="s">
        <v>96</v>
      </c>
      <c r="H786" s="211">
        <f>D786*E786*F786</f>
        <v>3612</v>
      </c>
    </row>
    <row r="787" spans="1:10" x14ac:dyDescent="0.25">
      <c r="A787" s="250" t="str">
        <f>ORÇAMENTO!A215</f>
        <v>13.6</v>
      </c>
      <c r="B787" s="732" t="str">
        <f>ORÇAMENTO!D215</f>
        <v>PLACA DE INAUGURACAO ACO ESCOVADO 80 X 60 CM</v>
      </c>
      <c r="C787" s="733"/>
      <c r="D787" s="733"/>
      <c r="E787" s="733"/>
      <c r="F787" s="734"/>
      <c r="G787" s="251" t="s">
        <v>179</v>
      </c>
      <c r="H787" s="252">
        <f>H788+H789</f>
        <v>5</v>
      </c>
    </row>
    <row r="788" spans="1:10" x14ac:dyDescent="0.25">
      <c r="A788" s="250"/>
      <c r="B788" s="130" t="s">
        <v>970</v>
      </c>
      <c r="C788" s="624"/>
      <c r="D788" s="261"/>
      <c r="E788" s="261"/>
      <c r="F788" s="261"/>
      <c r="G788" s="207" t="s">
        <v>179</v>
      </c>
      <c r="H788" s="208">
        <v>1</v>
      </c>
    </row>
    <row r="789" spans="1:10" ht="15.75" thickBot="1" x14ac:dyDescent="0.3">
      <c r="A789" s="209"/>
      <c r="B789" s="154" t="s">
        <v>971</v>
      </c>
      <c r="C789" s="323"/>
      <c r="D789" s="323"/>
      <c r="E789" s="323"/>
      <c r="F789" s="324"/>
      <c r="G789" s="210" t="s">
        <v>179</v>
      </c>
      <c r="H789" s="211">
        <v>4</v>
      </c>
    </row>
    <row r="790" spans="1:10" x14ac:dyDescent="0.25">
      <c r="A790" s="32"/>
      <c r="B790" s="33"/>
      <c r="C790" s="33"/>
      <c r="D790" s="17"/>
      <c r="E790" s="43"/>
      <c r="F790" s="425"/>
      <c r="G790" s="104"/>
      <c r="H790" s="360"/>
      <c r="I790" s="644"/>
      <c r="J790" s="112"/>
    </row>
    <row r="791" spans="1:10" x14ac:dyDescent="0.25">
      <c r="A791" s="34"/>
      <c r="B791" s="15"/>
      <c r="C791" s="15"/>
      <c r="D791" s="10"/>
      <c r="E791" s="37"/>
      <c r="F791" s="424"/>
      <c r="G791" s="103"/>
      <c r="H791" s="361"/>
      <c r="I791" s="644"/>
      <c r="J791" s="112"/>
    </row>
    <row r="792" spans="1:10" x14ac:dyDescent="0.25">
      <c r="A792" s="34"/>
      <c r="B792" s="37" t="s">
        <v>72</v>
      </c>
      <c r="C792" s="10"/>
      <c r="D792" s="37"/>
      <c r="E792" s="424" t="s">
        <v>72</v>
      </c>
      <c r="F792" s="10"/>
      <c r="G792" s="37"/>
      <c r="H792" s="361"/>
      <c r="I792" s="644"/>
      <c r="J792" s="112"/>
    </row>
    <row r="793" spans="1:10" x14ac:dyDescent="0.25">
      <c r="A793" s="34"/>
      <c r="B793" s="631" t="s">
        <v>23</v>
      </c>
      <c r="C793" s="10"/>
      <c r="D793" s="37"/>
      <c r="E793" s="426" t="s">
        <v>464</v>
      </c>
      <c r="F793" s="10"/>
      <c r="G793" s="631"/>
      <c r="H793" s="361"/>
      <c r="I793" s="644"/>
      <c r="J793" s="112"/>
    </row>
    <row r="794" spans="1:10" x14ac:dyDescent="0.25">
      <c r="A794" s="40"/>
      <c r="B794" s="631" t="s">
        <v>24</v>
      </c>
      <c r="C794" s="10"/>
      <c r="D794" s="37"/>
      <c r="E794" s="426" t="s">
        <v>25</v>
      </c>
      <c r="F794" s="10"/>
      <c r="G794" s="631"/>
      <c r="H794" s="642"/>
      <c r="I794" s="645"/>
      <c r="J794" s="111"/>
    </row>
    <row r="795" spans="1:10" x14ac:dyDescent="0.25">
      <c r="A795" s="34"/>
      <c r="B795" s="631" t="s">
        <v>469</v>
      </c>
      <c r="C795" s="10"/>
      <c r="D795" s="37"/>
      <c r="E795" s="426" t="s">
        <v>465</v>
      </c>
      <c r="F795" s="10"/>
      <c r="G795" s="631"/>
      <c r="H795" s="642"/>
      <c r="I795" s="645"/>
      <c r="J795" s="111"/>
    </row>
    <row r="796" spans="1:10" x14ac:dyDescent="0.25">
      <c r="A796" s="34"/>
      <c r="B796" s="15"/>
      <c r="C796" s="10"/>
      <c r="D796" s="37"/>
      <c r="E796" s="427"/>
      <c r="F796" s="10"/>
      <c r="G796" s="38"/>
      <c r="H796" s="642"/>
      <c r="I796" s="645"/>
      <c r="J796" s="111"/>
    </row>
    <row r="797" spans="1:10" x14ac:dyDescent="0.25">
      <c r="A797" s="34"/>
      <c r="B797" s="37" t="s">
        <v>72</v>
      </c>
      <c r="C797" s="10"/>
      <c r="D797" s="37"/>
      <c r="E797" s="424" t="s">
        <v>72</v>
      </c>
      <c r="F797" s="10"/>
      <c r="G797" s="37"/>
      <c r="H797" s="642"/>
      <c r="I797" s="645"/>
      <c r="J797" s="111"/>
    </row>
    <row r="798" spans="1:10" x14ac:dyDescent="0.25">
      <c r="A798" s="40" t="s">
        <v>47</v>
      </c>
      <c r="B798" s="631" t="s">
        <v>466</v>
      </c>
      <c r="C798" s="10"/>
      <c r="D798" s="37"/>
      <c r="E798" s="428" t="s">
        <v>502</v>
      </c>
      <c r="F798" s="10"/>
      <c r="G798" s="629"/>
      <c r="H798" s="642"/>
      <c r="I798" s="645"/>
      <c r="J798" s="111"/>
    </row>
    <row r="799" spans="1:10" x14ac:dyDescent="0.25">
      <c r="A799" s="630"/>
      <c r="B799" s="631" t="s">
        <v>25</v>
      </c>
      <c r="C799" s="10"/>
      <c r="D799" s="37"/>
      <c r="E799" s="426" t="s">
        <v>504</v>
      </c>
      <c r="F799" s="10"/>
      <c r="G799" s="631"/>
      <c r="H799" s="632"/>
      <c r="I799" s="646"/>
      <c r="J799" s="111"/>
    </row>
    <row r="800" spans="1:10" ht="15.75" thickBot="1" x14ac:dyDescent="0.3">
      <c r="A800" s="67"/>
      <c r="B800" s="68" t="s">
        <v>468</v>
      </c>
      <c r="C800" s="42"/>
      <c r="D800" s="68"/>
      <c r="E800" s="429" t="s">
        <v>467</v>
      </c>
      <c r="F800" s="46"/>
      <c r="G800" s="68"/>
      <c r="H800" s="643"/>
      <c r="I800" s="646"/>
      <c r="J800" s="111"/>
    </row>
    <row r="801" spans="1:8" x14ac:dyDescent="0.25">
      <c r="A801" s="198"/>
      <c r="B801" s="155"/>
      <c r="C801" s="199"/>
      <c r="D801" s="199"/>
      <c r="E801" s="199"/>
      <c r="F801" s="199"/>
      <c r="G801" s="199"/>
      <c r="H801" s="647"/>
    </row>
    <row r="802" spans="1:8" x14ac:dyDescent="0.25">
      <c r="A802" s="198"/>
      <c r="B802" s="155"/>
      <c r="C802" s="199"/>
      <c r="D802" s="199"/>
      <c r="E802" s="199"/>
      <c r="F802" s="199"/>
      <c r="G802" s="199"/>
      <c r="H802" s="648"/>
    </row>
    <row r="803" spans="1:8" x14ac:dyDescent="0.25">
      <c r="A803" s="198"/>
      <c r="B803" s="155"/>
      <c r="C803" s="199"/>
      <c r="D803" s="199"/>
      <c r="E803" s="199"/>
      <c r="F803" s="199"/>
      <c r="G803" s="199"/>
      <c r="H803" s="648"/>
    </row>
    <row r="804" spans="1:8" x14ac:dyDescent="0.25">
      <c r="A804" s="198"/>
      <c r="B804" s="155"/>
      <c r="C804" s="199"/>
      <c r="D804" s="199"/>
      <c r="E804" s="199"/>
      <c r="F804" s="199"/>
      <c r="G804" s="199"/>
      <c r="H804" s="648"/>
    </row>
    <row r="805" spans="1:8" x14ac:dyDescent="0.25">
      <c r="A805" s="198"/>
      <c r="B805" s="155"/>
      <c r="C805" s="199"/>
      <c r="D805" s="199"/>
      <c r="E805" s="199"/>
      <c r="F805" s="199"/>
      <c r="G805" s="199"/>
      <c r="H805" s="648"/>
    </row>
    <row r="806" spans="1:8" x14ac:dyDescent="0.25">
      <c r="A806" s="198"/>
      <c r="B806" s="155"/>
      <c r="C806" s="199"/>
      <c r="D806" s="199"/>
      <c r="E806" s="199"/>
      <c r="F806" s="199"/>
      <c r="G806" s="199"/>
      <c r="H806" s="648"/>
    </row>
    <row r="807" spans="1:8" x14ac:dyDescent="0.25">
      <c r="A807" s="198"/>
      <c r="B807" s="155"/>
      <c r="C807" s="199"/>
      <c r="D807" s="199"/>
      <c r="E807" s="199"/>
      <c r="F807" s="199"/>
      <c r="G807" s="199"/>
      <c r="H807" s="648"/>
    </row>
    <row r="808" spans="1:8" x14ac:dyDescent="0.25">
      <c r="A808" s="198"/>
      <c r="B808" s="155"/>
      <c r="C808" s="199"/>
      <c r="D808" s="199"/>
      <c r="E808" s="199"/>
      <c r="F808" s="199"/>
      <c r="G808" s="199"/>
      <c r="H808" s="648"/>
    </row>
    <row r="809" spans="1:8" x14ac:dyDescent="0.25">
      <c r="A809" s="198"/>
      <c r="B809" s="155"/>
      <c r="C809" s="199"/>
      <c r="D809" s="199"/>
      <c r="E809" s="199"/>
      <c r="F809" s="199"/>
      <c r="G809" s="199"/>
      <c r="H809" s="648"/>
    </row>
    <row r="810" spans="1:8" x14ac:dyDescent="0.25">
      <c r="A810" s="198"/>
      <c r="B810" s="155"/>
      <c r="C810" s="199"/>
      <c r="D810" s="199"/>
      <c r="E810" s="199"/>
      <c r="F810" s="199"/>
      <c r="G810" s="199"/>
      <c r="H810" s="648"/>
    </row>
    <row r="811" spans="1:8" x14ac:dyDescent="0.25">
      <c r="A811" s="198"/>
      <c r="B811" s="155"/>
      <c r="C811" s="199"/>
      <c r="D811" s="199"/>
      <c r="E811" s="199"/>
      <c r="F811" s="199"/>
      <c r="G811" s="199"/>
      <c r="H811" s="648"/>
    </row>
    <row r="812" spans="1:8" x14ac:dyDescent="0.25">
      <c r="A812" s="198"/>
      <c r="B812" s="155"/>
      <c r="C812" s="199"/>
      <c r="D812" s="199"/>
      <c r="E812" s="199"/>
      <c r="F812" s="199"/>
      <c r="G812" s="199"/>
      <c r="H812" s="648"/>
    </row>
    <row r="813" spans="1:8" x14ac:dyDescent="0.25">
      <c r="A813" s="198"/>
      <c r="B813" s="155"/>
      <c r="C813" s="199"/>
      <c r="D813" s="199"/>
      <c r="E813" s="199"/>
      <c r="F813" s="199"/>
      <c r="G813" s="199"/>
      <c r="H813" s="648"/>
    </row>
    <row r="814" spans="1:8" x14ac:dyDescent="0.25">
      <c r="A814" s="198"/>
      <c r="B814" s="155"/>
      <c r="C814" s="199"/>
      <c r="D814" s="199"/>
      <c r="E814" s="199"/>
      <c r="F814" s="199"/>
      <c r="G814" s="199"/>
      <c r="H814" s="648"/>
    </row>
    <row r="815" spans="1:8" x14ac:dyDescent="0.25">
      <c r="A815" s="198"/>
      <c r="B815" s="155"/>
      <c r="C815" s="199"/>
      <c r="D815" s="199"/>
      <c r="E815" s="199"/>
      <c r="F815" s="199"/>
      <c r="G815" s="199"/>
      <c r="H815" s="648"/>
    </row>
    <row r="816" spans="1:8" x14ac:dyDescent="0.25">
      <c r="A816" s="198"/>
      <c r="B816" s="155"/>
      <c r="C816" s="199"/>
      <c r="D816" s="199"/>
      <c r="E816" s="199"/>
      <c r="F816" s="199"/>
      <c r="G816" s="199"/>
      <c r="H816" s="648"/>
    </row>
    <row r="817" spans="1:8" x14ac:dyDescent="0.25">
      <c r="A817" s="198"/>
      <c r="B817" s="155"/>
      <c r="C817" s="199"/>
      <c r="D817" s="199"/>
      <c r="E817" s="199"/>
      <c r="F817" s="199"/>
      <c r="G817" s="199"/>
      <c r="H817" s="648"/>
    </row>
    <row r="818" spans="1:8" x14ac:dyDescent="0.25">
      <c r="A818" s="198"/>
      <c r="B818" s="155"/>
      <c r="C818" s="199"/>
      <c r="D818" s="199"/>
      <c r="E818" s="199"/>
      <c r="F818" s="199"/>
      <c r="G818" s="199"/>
      <c r="H818" s="648"/>
    </row>
    <row r="819" spans="1:8" x14ac:dyDescent="0.25">
      <c r="A819" s="198"/>
      <c r="B819" s="155"/>
      <c r="C819" s="199"/>
      <c r="D819" s="199"/>
      <c r="E819" s="199"/>
      <c r="F819" s="199"/>
      <c r="G819" s="199"/>
      <c r="H819" s="648"/>
    </row>
    <row r="820" spans="1:8" x14ac:dyDescent="0.25">
      <c r="A820" s="198"/>
      <c r="B820" s="155"/>
      <c r="C820" s="199"/>
      <c r="D820" s="199"/>
      <c r="E820" s="199"/>
      <c r="F820" s="199"/>
      <c r="G820" s="199"/>
      <c r="H820" s="648"/>
    </row>
    <row r="821" spans="1:8" x14ac:dyDescent="0.25">
      <c r="A821" s="198"/>
      <c r="B821" s="155"/>
      <c r="C821" s="199"/>
      <c r="D821" s="199"/>
      <c r="E821" s="199"/>
      <c r="F821" s="199"/>
      <c r="G821" s="199"/>
      <c r="H821" s="648"/>
    </row>
    <row r="822" spans="1:8" x14ac:dyDescent="0.25">
      <c r="A822" s="198"/>
      <c r="B822" s="155"/>
      <c r="C822" s="199"/>
      <c r="D822" s="199"/>
      <c r="E822" s="199"/>
      <c r="F822" s="199"/>
      <c r="G822" s="199"/>
      <c r="H822" s="648"/>
    </row>
    <row r="823" spans="1:8" x14ac:dyDescent="0.25">
      <c r="A823" s="198"/>
      <c r="B823" s="155"/>
      <c r="C823" s="199"/>
      <c r="D823" s="199"/>
      <c r="E823" s="199"/>
      <c r="F823" s="199"/>
      <c r="G823" s="199"/>
      <c r="H823" s="648"/>
    </row>
    <row r="824" spans="1:8" x14ac:dyDescent="0.25">
      <c r="A824" s="198"/>
      <c r="B824" s="155"/>
      <c r="C824" s="199"/>
      <c r="D824" s="199"/>
      <c r="E824" s="199"/>
      <c r="F824" s="199"/>
      <c r="G824" s="199"/>
      <c r="H824" s="648"/>
    </row>
    <row r="825" spans="1:8" x14ac:dyDescent="0.25">
      <c r="A825" s="198"/>
      <c r="B825" s="155"/>
      <c r="C825" s="199"/>
      <c r="D825" s="199"/>
      <c r="E825" s="199"/>
      <c r="F825" s="199"/>
      <c r="G825" s="199"/>
      <c r="H825" s="648"/>
    </row>
    <row r="826" spans="1:8" x14ac:dyDescent="0.25">
      <c r="A826" s="198"/>
      <c r="B826" s="155"/>
      <c r="C826" s="199"/>
      <c r="D826" s="199"/>
      <c r="E826" s="199"/>
      <c r="F826" s="199"/>
      <c r="G826" s="199"/>
      <c r="H826" s="648"/>
    </row>
    <row r="827" spans="1:8" x14ac:dyDescent="0.25">
      <c r="A827" s="198"/>
      <c r="B827" s="155"/>
      <c r="C827" s="199"/>
      <c r="D827" s="199"/>
      <c r="E827" s="199"/>
      <c r="F827" s="199"/>
      <c r="G827" s="199"/>
      <c r="H827" s="648"/>
    </row>
    <row r="828" spans="1:8" x14ac:dyDescent="0.25">
      <c r="A828" s="198"/>
      <c r="B828" s="155"/>
      <c r="C828" s="199"/>
      <c r="D828" s="199"/>
      <c r="E828" s="199"/>
      <c r="F828" s="199"/>
      <c r="G828" s="199"/>
      <c r="H828" s="648"/>
    </row>
    <row r="829" spans="1:8" x14ac:dyDescent="0.25">
      <c r="A829" s="198"/>
      <c r="B829" s="155"/>
      <c r="C829" s="199"/>
      <c r="D829" s="199"/>
      <c r="E829" s="199"/>
      <c r="F829" s="199"/>
      <c r="G829" s="199"/>
      <c r="H829" s="648"/>
    </row>
    <row r="830" spans="1:8" x14ac:dyDescent="0.25">
      <c r="A830" s="198"/>
      <c r="B830" s="155"/>
      <c r="C830" s="199"/>
      <c r="D830" s="199"/>
      <c r="E830" s="199"/>
      <c r="F830" s="199"/>
      <c r="G830" s="199"/>
      <c r="H830" s="648"/>
    </row>
    <row r="831" spans="1:8" x14ac:dyDescent="0.25">
      <c r="A831" s="198"/>
      <c r="B831" s="155"/>
      <c r="C831" s="199"/>
      <c r="D831" s="199"/>
      <c r="E831" s="199"/>
      <c r="F831" s="199"/>
      <c r="G831" s="199"/>
      <c r="H831" s="648"/>
    </row>
    <row r="832" spans="1:8" x14ac:dyDescent="0.25">
      <c r="A832" s="198"/>
      <c r="B832" s="155"/>
      <c r="C832" s="199"/>
      <c r="D832" s="199"/>
      <c r="E832" s="199"/>
      <c r="F832" s="199"/>
      <c r="G832" s="199"/>
      <c r="H832" s="648"/>
    </row>
    <row r="833" spans="1:8" x14ac:dyDescent="0.25">
      <c r="A833" s="198"/>
      <c r="B833" s="155"/>
      <c r="C833" s="199"/>
      <c r="D833" s="199"/>
      <c r="E833" s="199"/>
      <c r="F833" s="199"/>
      <c r="G833" s="199"/>
      <c r="H833" s="648"/>
    </row>
    <row r="834" spans="1:8" x14ac:dyDescent="0.25">
      <c r="A834" s="198"/>
      <c r="B834" s="155"/>
      <c r="C834" s="199"/>
      <c r="D834" s="199"/>
      <c r="E834" s="199"/>
      <c r="F834" s="199"/>
      <c r="G834" s="199"/>
      <c r="H834" s="648"/>
    </row>
    <row r="835" spans="1:8" x14ac:dyDescent="0.25">
      <c r="A835" s="198"/>
      <c r="B835" s="155"/>
      <c r="C835" s="199"/>
      <c r="D835" s="199"/>
      <c r="E835" s="199"/>
      <c r="F835" s="199"/>
      <c r="G835" s="199"/>
      <c r="H835" s="648"/>
    </row>
    <row r="836" spans="1:8" x14ac:dyDescent="0.25">
      <c r="A836" s="198"/>
      <c r="B836" s="155"/>
      <c r="C836" s="199"/>
      <c r="D836" s="199"/>
      <c r="E836" s="199"/>
      <c r="F836" s="199"/>
      <c r="G836" s="199"/>
      <c r="H836" s="648"/>
    </row>
    <row r="837" spans="1:8" x14ac:dyDescent="0.25">
      <c r="A837" s="198"/>
      <c r="B837" s="155"/>
      <c r="C837" s="199"/>
      <c r="D837" s="199"/>
      <c r="E837" s="199"/>
      <c r="F837" s="199"/>
      <c r="G837" s="199"/>
      <c r="H837" s="648"/>
    </row>
    <row r="838" spans="1:8" x14ac:dyDescent="0.25">
      <c r="A838" s="198"/>
      <c r="B838" s="155"/>
      <c r="C838" s="199"/>
      <c r="D838" s="199"/>
      <c r="E838" s="199"/>
      <c r="F838" s="199"/>
      <c r="G838" s="199"/>
      <c r="H838" s="648"/>
    </row>
    <row r="839" spans="1:8" x14ac:dyDescent="0.25">
      <c r="A839" s="198"/>
      <c r="B839" s="155"/>
      <c r="C839" s="199"/>
      <c r="D839" s="199"/>
      <c r="E839" s="199"/>
      <c r="F839" s="199"/>
      <c r="G839" s="199"/>
      <c r="H839" s="648"/>
    </row>
    <row r="840" spans="1:8" x14ac:dyDescent="0.25">
      <c r="A840" s="198"/>
      <c r="B840" s="155"/>
      <c r="C840" s="199"/>
      <c r="D840" s="199"/>
      <c r="E840" s="199"/>
      <c r="F840" s="199"/>
      <c r="G840" s="199"/>
      <c r="H840" s="648"/>
    </row>
    <row r="841" spans="1:8" x14ac:dyDescent="0.25">
      <c r="A841" s="198"/>
      <c r="B841" s="155"/>
      <c r="C841" s="199"/>
      <c r="D841" s="199"/>
      <c r="E841" s="199"/>
      <c r="F841" s="199"/>
      <c r="G841" s="199"/>
      <c r="H841" s="648"/>
    </row>
    <row r="842" spans="1:8" x14ac:dyDescent="0.25">
      <c r="A842" s="198"/>
      <c r="B842" s="155"/>
      <c r="C842" s="199"/>
      <c r="D842" s="199"/>
      <c r="E842" s="199"/>
      <c r="F842" s="199"/>
      <c r="G842" s="199"/>
      <c r="H842" s="648"/>
    </row>
    <row r="843" spans="1:8" x14ac:dyDescent="0.25">
      <c r="A843" s="198"/>
      <c r="B843" s="155"/>
      <c r="C843" s="199"/>
      <c r="D843" s="199"/>
      <c r="E843" s="199"/>
      <c r="F843" s="199"/>
      <c r="G843" s="199"/>
      <c r="H843" s="648"/>
    </row>
    <row r="844" spans="1:8" x14ac:dyDescent="0.25">
      <c r="A844" s="198"/>
      <c r="B844" s="155"/>
      <c r="C844" s="199"/>
      <c r="D844" s="199"/>
      <c r="E844" s="199"/>
      <c r="F844" s="199"/>
      <c r="G844" s="199"/>
      <c r="H844" s="648"/>
    </row>
    <row r="845" spans="1:8" x14ac:dyDescent="0.25">
      <c r="A845" s="198"/>
      <c r="B845" s="155"/>
      <c r="C845" s="199"/>
      <c r="D845" s="199"/>
      <c r="E845" s="199"/>
      <c r="F845" s="199"/>
      <c r="G845" s="199"/>
      <c r="H845" s="648"/>
    </row>
    <row r="846" spans="1:8" x14ac:dyDescent="0.25">
      <c r="A846" s="198"/>
      <c r="B846" s="155"/>
      <c r="C846" s="199"/>
      <c r="D846" s="199"/>
      <c r="E846" s="199"/>
      <c r="F846" s="199"/>
      <c r="G846" s="199"/>
      <c r="H846" s="648"/>
    </row>
    <row r="847" spans="1:8" x14ac:dyDescent="0.25">
      <c r="A847" s="198"/>
      <c r="B847" s="155"/>
      <c r="C847" s="199"/>
      <c r="D847" s="199"/>
      <c r="E847" s="199"/>
      <c r="F847" s="199"/>
      <c r="G847" s="199"/>
      <c r="H847" s="648"/>
    </row>
    <row r="848" spans="1:8" x14ac:dyDescent="0.25">
      <c r="A848" s="198"/>
      <c r="B848" s="155"/>
      <c r="C848" s="199"/>
      <c r="D848" s="199"/>
      <c r="E848" s="199"/>
      <c r="F848" s="199"/>
      <c r="G848" s="199"/>
      <c r="H848" s="648"/>
    </row>
    <row r="849" spans="1:8" x14ac:dyDescent="0.25">
      <c r="A849" s="198"/>
      <c r="B849" s="155"/>
      <c r="C849" s="199"/>
      <c r="D849" s="199"/>
      <c r="E849" s="199"/>
      <c r="F849" s="199"/>
      <c r="G849" s="199"/>
      <c r="H849" s="648"/>
    </row>
    <row r="850" spans="1:8" x14ac:dyDescent="0.25">
      <c r="A850" s="198"/>
      <c r="B850" s="155"/>
      <c r="C850" s="199"/>
      <c r="D850" s="199"/>
      <c r="E850" s="199"/>
      <c r="F850" s="199"/>
      <c r="G850" s="199"/>
      <c r="H850" s="648"/>
    </row>
    <row r="851" spans="1:8" x14ac:dyDescent="0.25">
      <c r="A851" s="198"/>
      <c r="B851" s="155"/>
      <c r="C851" s="199"/>
      <c r="D851" s="199"/>
      <c r="E851" s="199"/>
      <c r="F851" s="199"/>
      <c r="G851" s="199"/>
      <c r="H851" s="648"/>
    </row>
    <row r="852" spans="1:8" x14ac:dyDescent="0.25">
      <c r="A852" s="198"/>
      <c r="B852" s="155"/>
      <c r="C852" s="199"/>
      <c r="D852" s="199"/>
      <c r="E852" s="199"/>
      <c r="F852" s="199"/>
      <c r="G852" s="199"/>
      <c r="H852" s="648"/>
    </row>
    <row r="853" spans="1:8" x14ac:dyDescent="0.25">
      <c r="A853" s="198"/>
      <c r="B853" s="155"/>
      <c r="C853" s="199"/>
      <c r="D853" s="199"/>
      <c r="E853" s="199"/>
      <c r="F853" s="199"/>
      <c r="G853" s="199"/>
      <c r="H853" s="648"/>
    </row>
    <row r="854" spans="1:8" x14ac:dyDescent="0.25">
      <c r="A854" s="198"/>
      <c r="B854" s="155"/>
      <c r="C854" s="199"/>
      <c r="D854" s="199"/>
      <c r="E854" s="199"/>
      <c r="F854" s="199"/>
      <c r="G854" s="199"/>
      <c r="H854" s="648"/>
    </row>
    <row r="855" spans="1:8" x14ac:dyDescent="0.25">
      <c r="A855" s="198"/>
      <c r="B855" s="155"/>
      <c r="C855" s="199"/>
      <c r="D855" s="199"/>
      <c r="E855" s="199"/>
      <c r="F855" s="199"/>
      <c r="G855" s="199"/>
      <c r="H855" s="648"/>
    </row>
    <row r="856" spans="1:8" x14ac:dyDescent="0.25">
      <c r="A856" s="198"/>
      <c r="B856" s="155"/>
      <c r="C856" s="199"/>
      <c r="D856" s="199"/>
      <c r="E856" s="199"/>
      <c r="F856" s="199"/>
      <c r="G856" s="199"/>
      <c r="H856" s="648"/>
    </row>
    <row r="857" spans="1:8" x14ac:dyDescent="0.25">
      <c r="A857" s="198"/>
      <c r="B857" s="155"/>
      <c r="C857" s="199"/>
      <c r="D857" s="199"/>
      <c r="E857" s="199"/>
      <c r="F857" s="199"/>
      <c r="G857" s="199"/>
      <c r="H857" s="648"/>
    </row>
    <row r="858" spans="1:8" x14ac:dyDescent="0.25">
      <c r="A858" s="198"/>
      <c r="B858" s="155"/>
      <c r="C858" s="199"/>
      <c r="D858" s="199"/>
      <c r="E858" s="199"/>
      <c r="F858" s="199"/>
      <c r="G858" s="199"/>
      <c r="H858" s="648"/>
    </row>
    <row r="859" spans="1:8" x14ac:dyDescent="0.25">
      <c r="A859" s="198"/>
      <c r="B859" s="155"/>
      <c r="C859" s="199"/>
      <c r="D859" s="199"/>
      <c r="E859" s="199"/>
      <c r="F859" s="199"/>
      <c r="G859" s="199"/>
      <c r="H859" s="648"/>
    </row>
    <row r="860" spans="1:8" x14ac:dyDescent="0.25">
      <c r="A860" s="198"/>
      <c r="B860" s="155"/>
      <c r="C860" s="199"/>
      <c r="D860" s="199"/>
      <c r="E860" s="199"/>
      <c r="F860" s="199"/>
      <c r="G860" s="199"/>
      <c r="H860" s="648"/>
    </row>
    <row r="861" spans="1:8" x14ac:dyDescent="0.25">
      <c r="A861" s="198"/>
      <c r="B861" s="155"/>
      <c r="C861" s="199"/>
      <c r="D861" s="199"/>
      <c r="E861" s="199"/>
      <c r="F861" s="199"/>
      <c r="G861" s="199"/>
      <c r="H861" s="648"/>
    </row>
    <row r="862" spans="1:8" x14ac:dyDescent="0.25">
      <c r="A862" s="198"/>
      <c r="B862" s="155"/>
      <c r="C862" s="199"/>
      <c r="D862" s="199"/>
      <c r="E862" s="199"/>
      <c r="F862" s="199"/>
      <c r="G862" s="199"/>
      <c r="H862" s="648"/>
    </row>
    <row r="863" spans="1:8" x14ac:dyDescent="0.25">
      <c r="A863" s="198"/>
      <c r="B863" s="155"/>
      <c r="C863" s="199"/>
      <c r="D863" s="199"/>
      <c r="E863" s="199"/>
      <c r="F863" s="199"/>
      <c r="G863" s="199"/>
      <c r="H863" s="648"/>
    </row>
    <row r="864" spans="1:8" x14ac:dyDescent="0.25">
      <c r="A864" s="198"/>
      <c r="B864" s="155"/>
      <c r="C864" s="199"/>
      <c r="D864" s="199"/>
      <c r="E864" s="199"/>
      <c r="F864" s="199"/>
      <c r="G864" s="199"/>
      <c r="H864" s="648"/>
    </row>
    <row r="865" spans="1:8" x14ac:dyDescent="0.25">
      <c r="A865" s="198"/>
      <c r="B865" s="155"/>
      <c r="C865" s="199"/>
      <c r="D865" s="199"/>
      <c r="E865" s="199"/>
      <c r="F865" s="199"/>
      <c r="G865" s="199"/>
      <c r="H865" s="648"/>
    </row>
    <row r="866" spans="1:8" x14ac:dyDescent="0.25">
      <c r="A866" s="198"/>
      <c r="B866" s="155"/>
      <c r="C866" s="199"/>
      <c r="D866" s="199"/>
      <c r="E866" s="199"/>
      <c r="F866" s="199"/>
      <c r="G866" s="199"/>
      <c r="H866" s="648"/>
    </row>
    <row r="867" spans="1:8" x14ac:dyDescent="0.25">
      <c r="A867" s="198"/>
      <c r="B867" s="155"/>
      <c r="C867" s="199"/>
      <c r="D867" s="199"/>
      <c r="E867" s="199"/>
      <c r="F867" s="199"/>
      <c r="G867" s="199"/>
      <c r="H867" s="648"/>
    </row>
    <row r="868" spans="1:8" x14ac:dyDescent="0.25">
      <c r="A868" s="198"/>
      <c r="B868" s="155"/>
      <c r="C868" s="199"/>
      <c r="D868" s="199"/>
      <c r="E868" s="199"/>
      <c r="F868" s="199"/>
      <c r="G868" s="199"/>
      <c r="H868" s="648"/>
    </row>
    <row r="869" spans="1:8" x14ac:dyDescent="0.25">
      <c r="A869" s="198"/>
      <c r="B869" s="155"/>
      <c r="C869" s="199"/>
      <c r="D869" s="199"/>
      <c r="E869" s="199"/>
      <c r="F869" s="199"/>
      <c r="G869" s="199"/>
      <c r="H869" s="648"/>
    </row>
    <row r="870" spans="1:8" x14ac:dyDescent="0.25">
      <c r="A870" s="198"/>
      <c r="B870" s="155"/>
      <c r="C870" s="199"/>
      <c r="D870" s="199"/>
      <c r="E870" s="199"/>
      <c r="F870" s="199"/>
      <c r="G870" s="199"/>
      <c r="H870" s="648"/>
    </row>
    <row r="871" spans="1:8" x14ac:dyDescent="0.25">
      <c r="A871" s="198"/>
      <c r="B871" s="155"/>
      <c r="C871" s="199"/>
      <c r="D871" s="199"/>
      <c r="E871" s="199"/>
      <c r="F871" s="199"/>
      <c r="G871" s="199"/>
      <c r="H871" s="648"/>
    </row>
    <row r="872" spans="1:8" x14ac:dyDescent="0.25">
      <c r="A872" s="198"/>
      <c r="B872" s="155"/>
      <c r="C872" s="199"/>
      <c r="D872" s="199"/>
      <c r="E872" s="199"/>
      <c r="F872" s="199"/>
      <c r="G872" s="199"/>
      <c r="H872" s="648"/>
    </row>
    <row r="873" spans="1:8" x14ac:dyDescent="0.25">
      <c r="A873" s="198"/>
      <c r="B873" s="155"/>
      <c r="C873" s="199"/>
      <c r="D873" s="199"/>
      <c r="E873" s="199"/>
      <c r="F873" s="199"/>
      <c r="G873" s="199"/>
      <c r="H873" s="648"/>
    </row>
    <row r="874" spans="1:8" x14ac:dyDescent="0.25">
      <c r="A874" s="198"/>
      <c r="B874" s="155"/>
      <c r="C874" s="199"/>
      <c r="D874" s="199"/>
      <c r="E874" s="199"/>
      <c r="F874" s="199"/>
      <c r="G874" s="199"/>
      <c r="H874" s="648"/>
    </row>
    <row r="875" spans="1:8" x14ac:dyDescent="0.25">
      <c r="A875" s="198"/>
      <c r="B875" s="155"/>
      <c r="C875" s="199"/>
      <c r="D875" s="199"/>
      <c r="E875" s="199"/>
      <c r="F875" s="199"/>
      <c r="G875" s="199"/>
      <c r="H875" s="648"/>
    </row>
    <row r="876" spans="1:8" x14ac:dyDescent="0.25">
      <c r="A876" s="198"/>
      <c r="B876" s="155"/>
      <c r="C876" s="199"/>
      <c r="D876" s="199"/>
      <c r="E876" s="199"/>
      <c r="F876" s="199"/>
      <c r="G876" s="199"/>
      <c r="H876" s="648"/>
    </row>
    <row r="877" spans="1:8" x14ac:dyDescent="0.25">
      <c r="A877" s="198"/>
      <c r="B877" s="155"/>
      <c r="C877" s="199"/>
      <c r="D877" s="199"/>
      <c r="E877" s="199"/>
      <c r="F877" s="199"/>
      <c r="G877" s="199"/>
      <c r="H877" s="648"/>
    </row>
    <row r="878" spans="1:8" x14ac:dyDescent="0.25">
      <c r="A878" s="198"/>
      <c r="B878" s="155"/>
      <c r="C878" s="199"/>
      <c r="D878" s="199"/>
      <c r="E878" s="199"/>
      <c r="F878" s="199"/>
      <c r="G878" s="199"/>
      <c r="H878" s="648"/>
    </row>
    <row r="879" spans="1:8" x14ac:dyDescent="0.25">
      <c r="A879" s="198"/>
      <c r="B879" s="155"/>
      <c r="C879" s="199"/>
      <c r="D879" s="199"/>
      <c r="E879" s="199"/>
      <c r="F879" s="199"/>
      <c r="G879" s="199"/>
      <c r="H879" s="648"/>
    </row>
    <row r="880" spans="1:8" x14ac:dyDescent="0.25">
      <c r="A880" s="198"/>
      <c r="B880" s="155"/>
      <c r="C880" s="199"/>
      <c r="D880" s="199"/>
      <c r="E880" s="199"/>
      <c r="F880" s="199"/>
      <c r="G880" s="199"/>
      <c r="H880" s="648"/>
    </row>
    <row r="881" spans="1:8" x14ac:dyDescent="0.25">
      <c r="A881" s="198"/>
      <c r="B881" s="155"/>
      <c r="C881" s="199"/>
      <c r="D881" s="199"/>
      <c r="E881" s="199"/>
      <c r="F881" s="199"/>
      <c r="G881" s="199"/>
      <c r="H881" s="648"/>
    </row>
    <row r="882" spans="1:8" x14ac:dyDescent="0.25">
      <c r="A882" s="198"/>
      <c r="B882" s="155"/>
      <c r="C882" s="199"/>
      <c r="D882" s="199"/>
      <c r="E882" s="199"/>
      <c r="F882" s="199"/>
      <c r="G882" s="199"/>
      <c r="H882" s="648"/>
    </row>
    <row r="883" spans="1:8" x14ac:dyDescent="0.25">
      <c r="A883" s="198"/>
      <c r="B883" s="155"/>
      <c r="C883" s="199"/>
      <c r="D883" s="199"/>
      <c r="E883" s="199"/>
      <c r="F883" s="199"/>
      <c r="G883" s="199"/>
      <c r="H883" s="648"/>
    </row>
    <row r="884" spans="1:8" x14ac:dyDescent="0.25">
      <c r="A884" s="198"/>
      <c r="B884" s="155"/>
      <c r="C884" s="199"/>
      <c r="D884" s="199"/>
      <c r="E884" s="199"/>
      <c r="F884" s="199"/>
      <c r="G884" s="199"/>
      <c r="H884" s="648"/>
    </row>
    <row r="885" spans="1:8" x14ac:dyDescent="0.25">
      <c r="A885" s="198"/>
      <c r="B885" s="155"/>
      <c r="C885" s="199"/>
      <c r="D885" s="199"/>
      <c r="E885" s="199"/>
      <c r="F885" s="199"/>
      <c r="G885" s="199"/>
      <c r="H885" s="648"/>
    </row>
    <row r="886" spans="1:8" x14ac:dyDescent="0.25">
      <c r="A886" s="198"/>
      <c r="B886" s="155"/>
      <c r="C886" s="199"/>
      <c r="D886" s="199"/>
      <c r="E886" s="199"/>
      <c r="F886" s="199"/>
      <c r="G886" s="199"/>
      <c r="H886" s="648"/>
    </row>
    <row r="887" spans="1:8" x14ac:dyDescent="0.25">
      <c r="A887" s="198"/>
      <c r="B887" s="155"/>
      <c r="C887" s="199"/>
      <c r="D887" s="199"/>
      <c r="E887" s="199"/>
      <c r="F887" s="199"/>
      <c r="G887" s="199"/>
      <c r="H887" s="648"/>
    </row>
    <row r="888" spans="1:8" x14ac:dyDescent="0.25">
      <c r="A888" s="198"/>
      <c r="B888" s="155"/>
      <c r="C888" s="199"/>
      <c r="D888" s="199"/>
      <c r="E888" s="199"/>
      <c r="F888" s="199"/>
      <c r="G888" s="199"/>
      <c r="H888" s="648"/>
    </row>
    <row r="889" spans="1:8" x14ac:dyDescent="0.25">
      <c r="A889" s="198"/>
      <c r="B889" s="155"/>
      <c r="C889" s="199"/>
      <c r="D889" s="199"/>
      <c r="E889" s="199"/>
      <c r="F889" s="199"/>
      <c r="G889" s="199"/>
      <c r="H889" s="648"/>
    </row>
    <row r="890" spans="1:8" x14ac:dyDescent="0.25">
      <c r="A890" s="198"/>
      <c r="B890" s="155"/>
      <c r="C890" s="199"/>
      <c r="D890" s="199"/>
      <c r="E890" s="199"/>
      <c r="F890" s="199"/>
      <c r="G890" s="199"/>
      <c r="H890" s="648"/>
    </row>
    <row r="891" spans="1:8" x14ac:dyDescent="0.25">
      <c r="A891" s="198"/>
      <c r="B891" s="155"/>
      <c r="C891" s="199"/>
      <c r="D891" s="199"/>
      <c r="E891" s="199"/>
      <c r="F891" s="199"/>
      <c r="G891" s="199"/>
      <c r="H891" s="648"/>
    </row>
    <row r="892" spans="1:8" x14ac:dyDescent="0.25">
      <c r="A892" s="198"/>
      <c r="B892" s="155"/>
      <c r="C892" s="199"/>
      <c r="D892" s="199"/>
      <c r="E892" s="199"/>
      <c r="F892" s="199"/>
      <c r="G892" s="199"/>
      <c r="H892" s="648"/>
    </row>
    <row r="893" spans="1:8" x14ac:dyDescent="0.25">
      <c r="A893" s="198"/>
      <c r="B893" s="155"/>
      <c r="C893" s="199"/>
      <c r="D893" s="199"/>
      <c r="E893" s="199"/>
      <c r="F893" s="199"/>
      <c r="G893" s="199"/>
      <c r="H893" s="648"/>
    </row>
    <row r="894" spans="1:8" x14ac:dyDescent="0.25">
      <c r="A894" s="198"/>
      <c r="B894" s="155"/>
      <c r="C894" s="199"/>
      <c r="D894" s="199"/>
      <c r="E894" s="199"/>
      <c r="F894" s="199"/>
      <c r="G894" s="199"/>
      <c r="H894" s="648"/>
    </row>
    <row r="895" spans="1:8" x14ac:dyDescent="0.25">
      <c r="A895" s="198"/>
      <c r="B895" s="155"/>
      <c r="C895" s="199"/>
      <c r="D895" s="199"/>
      <c r="E895" s="199"/>
      <c r="F895" s="199"/>
      <c r="G895" s="199"/>
      <c r="H895" s="648"/>
    </row>
    <row r="896" spans="1:8" x14ac:dyDescent="0.25">
      <c r="A896" s="198"/>
      <c r="B896" s="155"/>
      <c r="C896" s="199"/>
      <c r="D896" s="199"/>
      <c r="E896" s="199"/>
      <c r="F896" s="199"/>
      <c r="G896" s="199"/>
      <c r="H896" s="648"/>
    </row>
    <row r="897" spans="1:8" x14ac:dyDescent="0.25">
      <c r="A897" s="198"/>
      <c r="B897" s="155"/>
      <c r="C897" s="199"/>
      <c r="D897" s="199"/>
      <c r="E897" s="199"/>
      <c r="F897" s="199"/>
      <c r="G897" s="199"/>
      <c r="H897" s="648"/>
    </row>
    <row r="898" spans="1:8" x14ac:dyDescent="0.25">
      <c r="A898" s="198"/>
      <c r="B898" s="155"/>
      <c r="C898" s="199"/>
      <c r="D898" s="199"/>
      <c r="E898" s="199"/>
      <c r="F898" s="199"/>
      <c r="G898" s="199"/>
      <c r="H898" s="648"/>
    </row>
    <row r="899" spans="1:8" x14ac:dyDescent="0.25">
      <c r="A899" s="198"/>
      <c r="B899" s="155"/>
      <c r="C899" s="199"/>
      <c r="D899" s="199"/>
      <c r="E899" s="199"/>
      <c r="F899" s="199"/>
      <c r="G899" s="199"/>
      <c r="H899" s="648"/>
    </row>
    <row r="900" spans="1:8" x14ac:dyDescent="0.25">
      <c r="A900" s="198"/>
      <c r="B900" s="155"/>
      <c r="C900" s="199"/>
      <c r="D900" s="199"/>
      <c r="E900" s="199"/>
      <c r="F900" s="199"/>
      <c r="G900" s="199"/>
      <c r="H900" s="648"/>
    </row>
    <row r="901" spans="1:8" x14ac:dyDescent="0.25">
      <c r="A901" s="198"/>
      <c r="B901" s="155"/>
      <c r="C901" s="199"/>
      <c r="D901" s="199"/>
      <c r="E901" s="199"/>
      <c r="F901" s="199"/>
      <c r="G901" s="199"/>
      <c r="H901" s="648"/>
    </row>
    <row r="902" spans="1:8" x14ac:dyDescent="0.25">
      <c r="A902" s="198"/>
      <c r="B902" s="155"/>
      <c r="C902" s="199"/>
      <c r="D902" s="199"/>
      <c r="E902" s="199"/>
      <c r="F902" s="199"/>
      <c r="G902" s="199"/>
      <c r="H902" s="648"/>
    </row>
    <row r="903" spans="1:8" x14ac:dyDescent="0.25">
      <c r="A903" s="198"/>
      <c r="B903" s="155"/>
      <c r="C903" s="199"/>
      <c r="D903" s="199"/>
      <c r="E903" s="199"/>
      <c r="F903" s="199"/>
      <c r="G903" s="199"/>
      <c r="H903" s="648"/>
    </row>
    <row r="904" spans="1:8" x14ac:dyDescent="0.25">
      <c r="A904" s="198"/>
      <c r="B904" s="155"/>
      <c r="C904" s="199"/>
      <c r="D904" s="199"/>
      <c r="E904" s="199"/>
      <c r="F904" s="199"/>
      <c r="G904" s="199"/>
      <c r="H904" s="648"/>
    </row>
    <row r="905" spans="1:8" x14ac:dyDescent="0.25">
      <c r="A905" s="198"/>
      <c r="B905" s="155"/>
      <c r="C905" s="199"/>
      <c r="D905" s="199"/>
      <c r="E905" s="199"/>
      <c r="F905" s="199"/>
      <c r="G905" s="199"/>
      <c r="H905" s="648"/>
    </row>
    <row r="906" spans="1:8" x14ac:dyDescent="0.25">
      <c r="A906" s="198"/>
      <c r="B906" s="155"/>
      <c r="C906" s="199"/>
      <c r="D906" s="199"/>
      <c r="E906" s="199"/>
      <c r="F906" s="199"/>
      <c r="G906" s="199"/>
      <c r="H906" s="648"/>
    </row>
    <row r="907" spans="1:8" x14ac:dyDescent="0.25">
      <c r="A907" s="198"/>
      <c r="B907" s="155"/>
      <c r="C907" s="199"/>
      <c r="D907" s="199"/>
      <c r="E907" s="199"/>
      <c r="F907" s="199"/>
      <c r="G907" s="199"/>
      <c r="H907" s="648"/>
    </row>
    <row r="908" spans="1:8" x14ac:dyDescent="0.25">
      <c r="A908" s="198"/>
      <c r="B908" s="155"/>
      <c r="C908" s="199"/>
      <c r="D908" s="199"/>
      <c r="E908" s="199"/>
      <c r="F908" s="199"/>
      <c r="G908" s="199"/>
      <c r="H908" s="648"/>
    </row>
    <row r="909" spans="1:8" x14ac:dyDescent="0.25">
      <c r="A909" s="198"/>
      <c r="B909" s="155"/>
      <c r="C909" s="199"/>
      <c r="D909" s="199"/>
      <c r="E909" s="199"/>
      <c r="F909" s="199"/>
      <c r="G909" s="199"/>
      <c r="H909" s="648"/>
    </row>
    <row r="910" spans="1:8" x14ac:dyDescent="0.25">
      <c r="A910" s="198"/>
      <c r="B910" s="155"/>
      <c r="C910" s="199"/>
      <c r="D910" s="199"/>
      <c r="E910" s="199"/>
      <c r="F910" s="199"/>
      <c r="G910" s="199"/>
      <c r="H910" s="648"/>
    </row>
    <row r="911" spans="1:8" x14ac:dyDescent="0.25">
      <c r="A911" s="198"/>
      <c r="B911" s="155"/>
      <c r="C911" s="199"/>
      <c r="D911" s="199"/>
      <c r="E911" s="199"/>
      <c r="F911" s="199"/>
      <c r="G911" s="199"/>
      <c r="H911" s="648"/>
    </row>
    <row r="912" spans="1:8" x14ac:dyDescent="0.25">
      <c r="A912" s="198"/>
      <c r="B912" s="155"/>
      <c r="C912" s="199"/>
      <c r="D912" s="199"/>
      <c r="E912" s="199"/>
      <c r="F912" s="199"/>
      <c r="G912" s="199"/>
      <c r="H912" s="648"/>
    </row>
    <row r="913" spans="1:8" x14ac:dyDescent="0.25">
      <c r="A913" s="198"/>
      <c r="B913" s="155"/>
      <c r="C913" s="199"/>
      <c r="D913" s="199"/>
      <c r="E913" s="199"/>
      <c r="F913" s="199"/>
      <c r="G913" s="199"/>
      <c r="H913" s="648"/>
    </row>
    <row r="914" spans="1:8" x14ac:dyDescent="0.25">
      <c r="A914" s="198"/>
      <c r="B914" s="155"/>
      <c r="C914" s="199"/>
      <c r="D914" s="199"/>
      <c r="E914" s="199"/>
      <c r="F914" s="199"/>
      <c r="G914" s="199"/>
      <c r="H914" s="648"/>
    </row>
    <row r="915" spans="1:8" x14ac:dyDescent="0.25">
      <c r="A915" s="198"/>
      <c r="B915" s="155"/>
      <c r="C915" s="199"/>
      <c r="D915" s="199"/>
      <c r="E915" s="199"/>
      <c r="F915" s="199"/>
      <c r="G915" s="199"/>
      <c r="H915" s="648"/>
    </row>
    <row r="916" spans="1:8" x14ac:dyDescent="0.25">
      <c r="A916" s="198"/>
      <c r="B916" s="155"/>
      <c r="C916" s="199"/>
      <c r="D916" s="199"/>
      <c r="E916" s="199"/>
      <c r="F916" s="199"/>
      <c r="G916" s="199"/>
      <c r="H916" s="648"/>
    </row>
    <row r="917" spans="1:8" x14ac:dyDescent="0.25">
      <c r="A917" s="198"/>
      <c r="B917" s="155"/>
      <c r="C917" s="199"/>
      <c r="D917" s="199"/>
      <c r="E917" s="199"/>
      <c r="F917" s="199"/>
      <c r="G917" s="199"/>
      <c r="H917" s="648"/>
    </row>
    <row r="918" spans="1:8" x14ac:dyDescent="0.25">
      <c r="A918" s="198"/>
      <c r="B918" s="155"/>
      <c r="C918" s="199"/>
      <c r="D918" s="199"/>
      <c r="E918" s="199"/>
      <c r="F918" s="199"/>
      <c r="G918" s="199"/>
      <c r="H918" s="648"/>
    </row>
    <row r="919" spans="1:8" x14ac:dyDescent="0.25">
      <c r="A919" s="198"/>
      <c r="B919" s="155"/>
      <c r="C919" s="199"/>
      <c r="D919" s="199"/>
      <c r="E919" s="199"/>
      <c r="F919" s="199"/>
      <c r="G919" s="199"/>
      <c r="H919" s="648"/>
    </row>
    <row r="920" spans="1:8" x14ac:dyDescent="0.25">
      <c r="A920" s="198"/>
      <c r="B920" s="155"/>
      <c r="C920" s="199"/>
      <c r="D920" s="199"/>
      <c r="E920" s="199"/>
      <c r="F920" s="199"/>
      <c r="G920" s="199"/>
      <c r="H920" s="648"/>
    </row>
    <row r="921" spans="1:8" x14ac:dyDescent="0.25">
      <c r="A921" s="198"/>
      <c r="B921" s="155"/>
      <c r="C921" s="199"/>
      <c r="D921" s="199"/>
      <c r="E921" s="199"/>
      <c r="F921" s="199"/>
      <c r="G921" s="199"/>
      <c r="H921" s="648"/>
    </row>
    <row r="922" spans="1:8" x14ac:dyDescent="0.25">
      <c r="A922" s="198"/>
      <c r="B922" s="155"/>
      <c r="C922" s="199"/>
      <c r="D922" s="199"/>
      <c r="E922" s="199"/>
      <c r="F922" s="199"/>
      <c r="G922" s="199"/>
      <c r="H922" s="648"/>
    </row>
    <row r="923" spans="1:8" x14ac:dyDescent="0.25">
      <c r="A923" s="198"/>
      <c r="B923" s="155"/>
      <c r="C923" s="199"/>
      <c r="D923" s="199"/>
      <c r="E923" s="199"/>
      <c r="F923" s="199"/>
      <c r="G923" s="199"/>
      <c r="H923" s="648"/>
    </row>
    <row r="924" spans="1:8" x14ac:dyDescent="0.25">
      <c r="A924" s="198"/>
      <c r="B924" s="155"/>
      <c r="C924" s="199"/>
      <c r="D924" s="199"/>
      <c r="E924" s="199"/>
      <c r="F924" s="199"/>
      <c r="G924" s="199"/>
      <c r="H924" s="648"/>
    </row>
    <row r="925" spans="1:8" x14ac:dyDescent="0.25">
      <c r="A925" s="198"/>
      <c r="B925" s="155"/>
      <c r="C925" s="199"/>
      <c r="D925" s="199"/>
      <c r="E925" s="199"/>
      <c r="F925" s="199"/>
      <c r="G925" s="199"/>
      <c r="H925" s="648"/>
    </row>
    <row r="926" spans="1:8" x14ac:dyDescent="0.25">
      <c r="A926" s="198"/>
      <c r="B926" s="155"/>
      <c r="C926" s="199"/>
      <c r="D926" s="199"/>
      <c r="E926" s="199"/>
      <c r="F926" s="199"/>
      <c r="G926" s="199"/>
      <c r="H926" s="648"/>
    </row>
    <row r="927" spans="1:8" x14ac:dyDescent="0.25">
      <c r="A927" s="198"/>
      <c r="B927" s="155"/>
      <c r="C927" s="199"/>
      <c r="D927" s="199"/>
      <c r="E927" s="199"/>
      <c r="F927" s="199"/>
      <c r="G927" s="199"/>
      <c r="H927" s="648"/>
    </row>
    <row r="928" spans="1:8" x14ac:dyDescent="0.25">
      <c r="A928" s="198"/>
      <c r="B928" s="155"/>
      <c r="C928" s="199"/>
      <c r="D928" s="199"/>
      <c r="E928" s="199"/>
      <c r="F928" s="199"/>
      <c r="G928" s="199"/>
      <c r="H928" s="648"/>
    </row>
    <row r="929" spans="1:8" x14ac:dyDescent="0.25">
      <c r="A929" s="198"/>
      <c r="B929" s="155"/>
      <c r="C929" s="199"/>
      <c r="D929" s="199"/>
      <c r="E929" s="199"/>
      <c r="F929" s="199"/>
      <c r="G929" s="199"/>
      <c r="H929" s="648"/>
    </row>
    <row r="930" spans="1:8" x14ac:dyDescent="0.25">
      <c r="A930" s="198"/>
      <c r="B930" s="155"/>
      <c r="C930" s="199"/>
      <c r="D930" s="199"/>
      <c r="E930" s="199"/>
      <c r="F930" s="199"/>
      <c r="G930" s="199"/>
      <c r="H930" s="648"/>
    </row>
    <row r="931" spans="1:8" x14ac:dyDescent="0.25">
      <c r="A931" s="198"/>
      <c r="B931" s="155"/>
      <c r="C931" s="199"/>
      <c r="D931" s="199"/>
      <c r="E931" s="199"/>
      <c r="F931" s="199"/>
      <c r="G931" s="199"/>
      <c r="H931" s="648"/>
    </row>
    <row r="932" spans="1:8" x14ac:dyDescent="0.25">
      <c r="A932" s="198"/>
      <c r="B932" s="155"/>
      <c r="C932" s="199"/>
      <c r="D932" s="199"/>
      <c r="E932" s="199"/>
      <c r="F932" s="199"/>
      <c r="G932" s="199"/>
      <c r="H932" s="648"/>
    </row>
    <row r="933" spans="1:8" x14ac:dyDescent="0.25">
      <c r="A933" s="198"/>
      <c r="B933" s="155"/>
      <c r="C933" s="199"/>
      <c r="D933" s="199"/>
      <c r="E933" s="199"/>
      <c r="F933" s="199"/>
      <c r="G933" s="199"/>
      <c r="H933" s="648"/>
    </row>
    <row r="934" spans="1:8" x14ac:dyDescent="0.25">
      <c r="A934" s="198"/>
      <c r="B934" s="155"/>
      <c r="C934" s="199"/>
      <c r="D934" s="199"/>
      <c r="E934" s="199"/>
      <c r="F934" s="199"/>
      <c r="G934" s="199"/>
      <c r="H934" s="648"/>
    </row>
    <row r="935" spans="1:8" x14ac:dyDescent="0.25">
      <c r="A935" s="198"/>
      <c r="B935" s="155"/>
      <c r="C935" s="199"/>
      <c r="D935" s="199"/>
      <c r="E935" s="199"/>
      <c r="F935" s="199"/>
      <c r="G935" s="199"/>
      <c r="H935" s="648"/>
    </row>
    <row r="936" spans="1:8" x14ac:dyDescent="0.25">
      <c r="A936" s="198"/>
      <c r="B936" s="155"/>
      <c r="C936" s="199"/>
      <c r="D936" s="199"/>
      <c r="E936" s="199"/>
      <c r="F936" s="199"/>
      <c r="G936" s="199"/>
      <c r="H936" s="648"/>
    </row>
    <row r="937" spans="1:8" x14ac:dyDescent="0.25">
      <c r="A937" s="198"/>
      <c r="B937" s="155"/>
      <c r="C937" s="199"/>
      <c r="D937" s="199"/>
      <c r="E937" s="199"/>
      <c r="F937" s="199"/>
      <c r="G937" s="199"/>
      <c r="H937" s="648"/>
    </row>
    <row r="938" spans="1:8" x14ac:dyDescent="0.25">
      <c r="A938" s="198"/>
      <c r="B938" s="155"/>
      <c r="C938" s="199"/>
      <c r="D938" s="199"/>
      <c r="E938" s="199"/>
      <c r="F938" s="199"/>
      <c r="G938" s="199"/>
      <c r="H938" s="648"/>
    </row>
    <row r="939" spans="1:8" x14ac:dyDescent="0.25">
      <c r="A939" s="198"/>
      <c r="B939" s="155"/>
      <c r="C939" s="199"/>
      <c r="D939" s="199"/>
      <c r="E939" s="199"/>
      <c r="F939" s="199"/>
      <c r="G939" s="199"/>
      <c r="H939" s="648"/>
    </row>
    <row r="940" spans="1:8" x14ac:dyDescent="0.25">
      <c r="A940" s="198"/>
      <c r="B940" s="155"/>
      <c r="C940" s="199"/>
      <c r="D940" s="199"/>
      <c r="E940" s="199"/>
      <c r="F940" s="199"/>
      <c r="G940" s="199"/>
      <c r="H940" s="648"/>
    </row>
    <row r="941" spans="1:8" x14ac:dyDescent="0.25">
      <c r="A941" s="198"/>
      <c r="B941" s="155"/>
      <c r="C941" s="199"/>
      <c r="D941" s="199"/>
      <c r="E941" s="199"/>
      <c r="F941" s="199"/>
      <c r="G941" s="199"/>
      <c r="H941" s="648"/>
    </row>
    <row r="942" spans="1:8" x14ac:dyDescent="0.25">
      <c r="A942" s="198"/>
      <c r="B942" s="155"/>
      <c r="C942" s="199"/>
      <c r="D942" s="199"/>
      <c r="E942" s="199"/>
      <c r="F942" s="199"/>
      <c r="G942" s="199"/>
      <c r="H942" s="648"/>
    </row>
    <row r="943" spans="1:8" x14ac:dyDescent="0.25">
      <c r="A943" s="198"/>
      <c r="B943" s="155"/>
      <c r="C943" s="199"/>
      <c r="D943" s="199"/>
      <c r="E943" s="199"/>
      <c r="F943" s="199"/>
      <c r="G943" s="199"/>
      <c r="H943" s="648"/>
    </row>
    <row r="944" spans="1:8" x14ac:dyDescent="0.25">
      <c r="A944" s="198"/>
      <c r="B944" s="155"/>
      <c r="C944" s="199"/>
      <c r="D944" s="199"/>
      <c r="E944" s="199"/>
      <c r="F944" s="199"/>
      <c r="G944" s="199"/>
      <c r="H944" s="648"/>
    </row>
    <row r="945" spans="1:8" x14ac:dyDescent="0.25">
      <c r="A945" s="198"/>
      <c r="B945" s="155"/>
      <c r="C945" s="199"/>
      <c r="D945" s="199"/>
      <c r="E945" s="199"/>
      <c r="F945" s="199"/>
      <c r="G945" s="199"/>
      <c r="H945" s="648"/>
    </row>
    <row r="946" spans="1:8" x14ac:dyDescent="0.25">
      <c r="A946" s="198"/>
      <c r="B946" s="155"/>
      <c r="C946" s="199"/>
      <c r="D946" s="199"/>
      <c r="E946" s="199"/>
      <c r="F946" s="199"/>
      <c r="G946" s="199"/>
      <c r="H946" s="648"/>
    </row>
    <row r="947" spans="1:8" x14ac:dyDescent="0.25">
      <c r="A947" s="198"/>
      <c r="B947" s="155"/>
      <c r="C947" s="199"/>
      <c r="D947" s="199"/>
      <c r="E947" s="199"/>
      <c r="F947" s="199"/>
      <c r="G947" s="199"/>
      <c r="H947" s="648"/>
    </row>
    <row r="948" spans="1:8" x14ac:dyDescent="0.25">
      <c r="A948" s="198"/>
      <c r="B948" s="155"/>
      <c r="C948" s="199"/>
      <c r="D948" s="199"/>
      <c r="E948" s="199"/>
      <c r="F948" s="199"/>
      <c r="G948" s="199"/>
      <c r="H948" s="648"/>
    </row>
    <row r="949" spans="1:8" x14ac:dyDescent="0.25">
      <c r="A949" s="198"/>
      <c r="B949" s="155"/>
      <c r="C949" s="199"/>
      <c r="D949" s="199"/>
      <c r="E949" s="199"/>
      <c r="F949" s="199"/>
      <c r="G949" s="199"/>
      <c r="H949" s="648"/>
    </row>
    <row r="950" spans="1:8" x14ac:dyDescent="0.25">
      <c r="A950" s="198"/>
      <c r="B950" s="155"/>
      <c r="C950" s="199"/>
      <c r="D950" s="199"/>
      <c r="E950" s="199"/>
      <c r="F950" s="199"/>
      <c r="G950" s="199"/>
      <c r="H950" s="648"/>
    </row>
    <row r="951" spans="1:8" x14ac:dyDescent="0.25">
      <c r="A951" s="198"/>
      <c r="B951" s="155"/>
      <c r="C951" s="199"/>
      <c r="D951" s="199"/>
      <c r="E951" s="199"/>
      <c r="F951" s="199"/>
      <c r="G951" s="199"/>
      <c r="H951" s="648"/>
    </row>
    <row r="952" spans="1:8" x14ac:dyDescent="0.25">
      <c r="A952" s="198"/>
      <c r="B952" s="155"/>
      <c r="C952" s="199"/>
      <c r="D952" s="199"/>
      <c r="E952" s="199"/>
      <c r="F952" s="199"/>
      <c r="G952" s="199"/>
      <c r="H952" s="648"/>
    </row>
    <row r="953" spans="1:8" x14ac:dyDescent="0.25">
      <c r="A953" s="198"/>
      <c r="B953" s="155"/>
      <c r="C953" s="199"/>
      <c r="D953" s="199"/>
      <c r="E953" s="199"/>
      <c r="F953" s="199"/>
      <c r="G953" s="199"/>
      <c r="H953" s="648"/>
    </row>
    <row r="954" spans="1:8" x14ac:dyDescent="0.25">
      <c r="A954" s="198"/>
      <c r="B954" s="155"/>
      <c r="C954" s="199"/>
      <c r="D954" s="199"/>
      <c r="E954" s="199"/>
      <c r="F954" s="199"/>
      <c r="G954" s="199"/>
      <c r="H954" s="648"/>
    </row>
    <row r="955" spans="1:8" x14ac:dyDescent="0.25">
      <c r="A955" s="198"/>
      <c r="B955" s="155"/>
      <c r="C955" s="199"/>
      <c r="D955" s="199"/>
      <c r="E955" s="199"/>
      <c r="F955" s="199"/>
      <c r="G955" s="199"/>
      <c r="H955" s="648"/>
    </row>
    <row r="956" spans="1:8" x14ac:dyDescent="0.25">
      <c r="A956" s="198"/>
      <c r="B956" s="155"/>
      <c r="C956" s="199"/>
      <c r="D956" s="199"/>
      <c r="E956" s="199"/>
      <c r="F956" s="199"/>
      <c r="G956" s="199"/>
      <c r="H956" s="648"/>
    </row>
    <row r="957" spans="1:8" x14ac:dyDescent="0.25">
      <c r="A957" s="198"/>
      <c r="B957" s="155"/>
      <c r="C957" s="199"/>
      <c r="D957" s="199"/>
      <c r="E957" s="199"/>
      <c r="F957" s="199"/>
      <c r="G957" s="199"/>
      <c r="H957" s="648"/>
    </row>
    <row r="958" spans="1:8" x14ac:dyDescent="0.25">
      <c r="A958" s="198"/>
      <c r="B958" s="155"/>
      <c r="C958" s="199"/>
      <c r="D958" s="199"/>
      <c r="E958" s="199"/>
      <c r="F958" s="199"/>
      <c r="G958" s="199"/>
      <c r="H958" s="648"/>
    </row>
    <row r="959" spans="1:8" x14ac:dyDescent="0.25">
      <c r="A959" s="198"/>
      <c r="B959" s="155"/>
      <c r="C959" s="199"/>
      <c r="D959" s="199"/>
      <c r="E959" s="199"/>
      <c r="F959" s="199"/>
      <c r="G959" s="199"/>
      <c r="H959" s="648"/>
    </row>
    <row r="960" spans="1:8" x14ac:dyDescent="0.25">
      <c r="A960" s="198"/>
      <c r="B960" s="155"/>
      <c r="C960" s="199"/>
      <c r="D960" s="199"/>
      <c r="E960" s="199"/>
      <c r="F960" s="199"/>
      <c r="G960" s="199"/>
      <c r="H960" s="648"/>
    </row>
    <row r="961" spans="1:8" x14ac:dyDescent="0.25">
      <c r="A961" s="198"/>
      <c r="B961" s="155"/>
      <c r="C961" s="199"/>
      <c r="D961" s="199"/>
      <c r="E961" s="199"/>
      <c r="F961" s="199"/>
      <c r="G961" s="199"/>
      <c r="H961" s="648"/>
    </row>
    <row r="962" spans="1:8" x14ac:dyDescent="0.25">
      <c r="A962" s="198"/>
      <c r="B962" s="155"/>
      <c r="C962" s="199"/>
      <c r="D962" s="199"/>
      <c r="E962" s="199"/>
      <c r="F962" s="199"/>
      <c r="G962" s="199"/>
      <c r="H962" s="648"/>
    </row>
    <row r="963" spans="1:8" x14ac:dyDescent="0.25">
      <c r="A963" s="198"/>
      <c r="B963" s="155"/>
      <c r="C963" s="199"/>
      <c r="D963" s="199"/>
      <c r="E963" s="199"/>
      <c r="F963" s="199"/>
      <c r="G963" s="199"/>
      <c r="H963" s="648"/>
    </row>
    <row r="964" spans="1:8" x14ac:dyDescent="0.25">
      <c r="A964" s="198"/>
      <c r="B964" s="155"/>
      <c r="C964" s="199"/>
      <c r="D964" s="199"/>
      <c r="E964" s="199"/>
      <c r="F964" s="199"/>
      <c r="G964" s="199"/>
      <c r="H964" s="648"/>
    </row>
    <row r="965" spans="1:8" x14ac:dyDescent="0.25">
      <c r="A965" s="198"/>
      <c r="B965" s="155"/>
      <c r="C965" s="199"/>
      <c r="D965" s="199"/>
      <c r="E965" s="199"/>
      <c r="F965" s="199"/>
      <c r="G965" s="199"/>
      <c r="H965" s="648"/>
    </row>
    <row r="966" spans="1:8" x14ac:dyDescent="0.25">
      <c r="A966" s="198"/>
      <c r="B966" s="155"/>
      <c r="C966" s="199"/>
      <c r="D966" s="199"/>
      <c r="E966" s="199"/>
      <c r="F966" s="199"/>
      <c r="G966" s="199"/>
      <c r="H966" s="648"/>
    </row>
    <row r="967" spans="1:8" x14ac:dyDescent="0.25">
      <c r="A967" s="198"/>
      <c r="B967" s="155"/>
      <c r="C967" s="199"/>
      <c r="D967" s="199"/>
      <c r="E967" s="199"/>
      <c r="F967" s="199"/>
      <c r="G967" s="199"/>
      <c r="H967" s="648"/>
    </row>
    <row r="968" spans="1:8" x14ac:dyDescent="0.25">
      <c r="A968" s="198"/>
      <c r="B968" s="155"/>
      <c r="C968" s="199"/>
      <c r="D968" s="199"/>
      <c r="E968" s="199"/>
      <c r="F968" s="199"/>
      <c r="G968" s="199"/>
      <c r="H968" s="648"/>
    </row>
    <row r="969" spans="1:8" x14ac:dyDescent="0.25">
      <c r="A969" s="198"/>
      <c r="B969" s="155"/>
      <c r="C969" s="199"/>
      <c r="D969" s="199"/>
      <c r="E969" s="199"/>
      <c r="F969" s="199"/>
      <c r="G969" s="199"/>
      <c r="H969" s="648"/>
    </row>
    <row r="970" spans="1:8" x14ac:dyDescent="0.25">
      <c r="A970" s="198"/>
      <c r="B970" s="155"/>
      <c r="C970" s="199"/>
      <c r="D970" s="199"/>
      <c r="E970" s="199"/>
      <c r="F970" s="199"/>
      <c r="G970" s="199"/>
      <c r="H970" s="648"/>
    </row>
    <row r="971" spans="1:8" x14ac:dyDescent="0.25">
      <c r="A971" s="198"/>
      <c r="B971" s="155"/>
      <c r="C971" s="199"/>
      <c r="D971" s="199"/>
      <c r="E971" s="199"/>
      <c r="F971" s="199"/>
      <c r="G971" s="199"/>
      <c r="H971" s="648"/>
    </row>
    <row r="972" spans="1:8" x14ac:dyDescent="0.25">
      <c r="A972" s="198"/>
      <c r="B972" s="155"/>
      <c r="C972" s="199"/>
      <c r="D972" s="199"/>
      <c r="E972" s="199"/>
      <c r="F972" s="199"/>
      <c r="G972" s="199"/>
      <c r="H972" s="648"/>
    </row>
    <row r="973" spans="1:8" x14ac:dyDescent="0.25">
      <c r="A973" s="198"/>
      <c r="B973" s="155"/>
      <c r="C973" s="199"/>
      <c r="D973" s="199"/>
      <c r="E973" s="199"/>
      <c r="F973" s="199"/>
      <c r="G973" s="199"/>
      <c r="H973" s="648"/>
    </row>
    <row r="974" spans="1:8" x14ac:dyDescent="0.25">
      <c r="A974" s="198"/>
      <c r="B974" s="155"/>
      <c r="C974" s="199"/>
      <c r="D974" s="199"/>
      <c r="E974" s="199"/>
      <c r="F974" s="199"/>
      <c r="G974" s="199"/>
      <c r="H974" s="648"/>
    </row>
    <row r="975" spans="1:8" x14ac:dyDescent="0.25">
      <c r="A975" s="198"/>
      <c r="B975" s="155"/>
      <c r="C975" s="199"/>
      <c r="D975" s="199"/>
      <c r="E975" s="199"/>
      <c r="F975" s="199"/>
      <c r="G975" s="199"/>
      <c r="H975" s="648"/>
    </row>
    <row r="976" spans="1:8" x14ac:dyDescent="0.25">
      <c r="A976" s="198"/>
      <c r="B976" s="155"/>
      <c r="C976" s="199"/>
      <c r="D976" s="199"/>
      <c r="E976" s="199"/>
      <c r="F976" s="199"/>
      <c r="G976" s="199"/>
      <c r="H976" s="648"/>
    </row>
    <row r="977" spans="1:8" x14ac:dyDescent="0.25">
      <c r="A977" s="198"/>
      <c r="B977" s="155"/>
      <c r="C977" s="199"/>
      <c r="D977" s="199"/>
      <c r="E977" s="199"/>
      <c r="F977" s="199"/>
      <c r="G977" s="199"/>
      <c r="H977" s="648"/>
    </row>
    <row r="978" spans="1:8" x14ac:dyDescent="0.25">
      <c r="A978" s="198"/>
      <c r="B978" s="155"/>
      <c r="C978" s="199"/>
      <c r="D978" s="199"/>
      <c r="E978" s="199"/>
      <c r="F978" s="199"/>
      <c r="G978" s="199"/>
      <c r="H978" s="648"/>
    </row>
    <row r="979" spans="1:8" x14ac:dyDescent="0.25">
      <c r="A979" s="198"/>
      <c r="B979" s="155"/>
      <c r="C979" s="199"/>
      <c r="D979" s="199"/>
      <c r="E979" s="199"/>
      <c r="F979" s="199"/>
      <c r="G979" s="199"/>
      <c r="H979" s="648"/>
    </row>
    <row r="980" spans="1:8" x14ac:dyDescent="0.25">
      <c r="A980" s="198"/>
      <c r="B980" s="155"/>
      <c r="C980" s="199"/>
      <c r="D980" s="199"/>
      <c r="E980" s="199"/>
      <c r="F980" s="199"/>
      <c r="G980" s="199"/>
      <c r="H980" s="648"/>
    </row>
    <row r="981" spans="1:8" x14ac:dyDescent="0.25">
      <c r="A981" s="198"/>
      <c r="B981" s="155"/>
      <c r="C981" s="199"/>
      <c r="D981" s="199"/>
      <c r="E981" s="199"/>
      <c r="F981" s="199"/>
      <c r="G981" s="199"/>
      <c r="H981" s="648"/>
    </row>
    <row r="982" spans="1:8" x14ac:dyDescent="0.25">
      <c r="A982" s="198"/>
      <c r="B982" s="155"/>
      <c r="C982" s="199"/>
      <c r="D982" s="199"/>
      <c r="E982" s="199"/>
      <c r="F982" s="199"/>
      <c r="G982" s="199"/>
      <c r="H982" s="648"/>
    </row>
    <row r="983" spans="1:8" x14ac:dyDescent="0.25">
      <c r="A983" s="198"/>
      <c r="B983" s="155"/>
      <c r="C983" s="199"/>
      <c r="D983" s="199"/>
      <c r="E983" s="199"/>
      <c r="F983" s="199"/>
      <c r="G983" s="199"/>
      <c r="H983" s="648"/>
    </row>
    <row r="984" spans="1:8" x14ac:dyDescent="0.25">
      <c r="A984" s="198"/>
      <c r="B984" s="155"/>
      <c r="C984" s="199"/>
      <c r="D984" s="199"/>
      <c r="E984" s="199"/>
      <c r="F984" s="199"/>
      <c r="G984" s="199"/>
      <c r="H984" s="648"/>
    </row>
    <row r="985" spans="1:8" x14ac:dyDescent="0.25">
      <c r="A985" s="198"/>
      <c r="B985" s="155"/>
      <c r="C985" s="199"/>
      <c r="D985" s="199"/>
      <c r="E985" s="199"/>
      <c r="F985" s="199"/>
      <c r="G985" s="199"/>
      <c r="H985" s="648"/>
    </row>
    <row r="986" spans="1:8" x14ac:dyDescent="0.25">
      <c r="A986" s="198"/>
      <c r="B986" s="155"/>
      <c r="C986" s="199"/>
      <c r="D986" s="199"/>
      <c r="E986" s="199"/>
      <c r="F986" s="199"/>
      <c r="G986" s="199"/>
      <c r="H986" s="648"/>
    </row>
    <row r="987" spans="1:8" x14ac:dyDescent="0.25">
      <c r="A987" s="198"/>
      <c r="B987" s="155"/>
      <c r="C987" s="199"/>
      <c r="D987" s="199"/>
      <c r="E987" s="199"/>
      <c r="F987" s="199"/>
      <c r="G987" s="199"/>
      <c r="H987" s="648"/>
    </row>
    <row r="988" spans="1:8" x14ac:dyDescent="0.25">
      <c r="A988" s="198"/>
      <c r="B988" s="155"/>
      <c r="C988" s="199"/>
      <c r="D988" s="199"/>
      <c r="E988" s="199"/>
      <c r="F988" s="199"/>
      <c r="G988" s="199"/>
      <c r="H988" s="648"/>
    </row>
    <row r="989" spans="1:8" x14ac:dyDescent="0.25">
      <c r="A989" s="198"/>
      <c r="B989" s="155"/>
      <c r="C989" s="199"/>
      <c r="D989" s="199"/>
      <c r="E989" s="199"/>
      <c r="F989" s="199"/>
      <c r="G989" s="199"/>
      <c r="H989" s="648"/>
    </row>
    <row r="990" spans="1:8" x14ac:dyDescent="0.25">
      <c r="A990" s="198"/>
      <c r="B990" s="155"/>
      <c r="C990" s="199"/>
      <c r="D990" s="199"/>
      <c r="E990" s="199"/>
      <c r="F990" s="199"/>
      <c r="G990" s="199"/>
      <c r="H990" s="648"/>
    </row>
    <row r="991" spans="1:8" x14ac:dyDescent="0.25">
      <c r="A991" s="198"/>
      <c r="B991" s="155"/>
      <c r="C991" s="199"/>
      <c r="D991" s="199"/>
      <c r="E991" s="199"/>
      <c r="F991" s="199"/>
      <c r="G991" s="199"/>
      <c r="H991" s="648"/>
    </row>
    <row r="992" spans="1:8" x14ac:dyDescent="0.25">
      <c r="A992" s="198"/>
      <c r="B992" s="155"/>
      <c r="C992" s="199"/>
      <c r="D992" s="199"/>
      <c r="E992" s="199"/>
      <c r="F992" s="199"/>
      <c r="G992" s="199"/>
      <c r="H992" s="648"/>
    </row>
    <row r="993" spans="1:8" x14ac:dyDescent="0.25">
      <c r="A993" s="198"/>
      <c r="B993" s="155"/>
      <c r="C993" s="199"/>
      <c r="D993" s="199"/>
      <c r="E993" s="199"/>
      <c r="F993" s="199"/>
      <c r="G993" s="199"/>
      <c r="H993" s="648"/>
    </row>
    <row r="994" spans="1:8" x14ac:dyDescent="0.25">
      <c r="A994" s="198"/>
      <c r="B994" s="155"/>
      <c r="C994" s="199"/>
      <c r="D994" s="199"/>
      <c r="E994" s="199"/>
      <c r="F994" s="199"/>
      <c r="G994" s="199"/>
      <c r="H994" s="648"/>
    </row>
    <row r="995" spans="1:8" x14ac:dyDescent="0.25">
      <c r="A995" s="198"/>
      <c r="B995" s="155"/>
      <c r="C995" s="199"/>
      <c r="D995" s="199"/>
      <c r="E995" s="199"/>
      <c r="F995" s="199"/>
      <c r="G995" s="199"/>
      <c r="H995" s="648"/>
    </row>
    <row r="996" spans="1:8" x14ac:dyDescent="0.25">
      <c r="A996" s="198"/>
      <c r="B996" s="155"/>
      <c r="C996" s="199"/>
      <c r="D996" s="199"/>
      <c r="E996" s="199"/>
      <c r="F996" s="199"/>
      <c r="G996" s="199"/>
      <c r="H996" s="648"/>
    </row>
    <row r="997" spans="1:8" x14ac:dyDescent="0.25">
      <c r="A997" s="198"/>
      <c r="B997" s="155"/>
      <c r="C997" s="199"/>
      <c r="D997" s="199"/>
      <c r="E997" s="199"/>
      <c r="F997" s="199"/>
      <c r="G997" s="199"/>
      <c r="H997" s="648"/>
    </row>
    <row r="998" spans="1:8" x14ac:dyDescent="0.25">
      <c r="A998" s="198"/>
      <c r="B998" s="155"/>
      <c r="C998" s="199"/>
      <c r="D998" s="199"/>
      <c r="E998" s="199"/>
      <c r="F998" s="199"/>
      <c r="G998" s="199"/>
      <c r="H998" s="648"/>
    </row>
    <row r="999" spans="1:8" x14ac:dyDescent="0.25">
      <c r="A999" s="198"/>
      <c r="B999" s="155"/>
      <c r="C999" s="199"/>
      <c r="D999" s="199"/>
      <c r="E999" s="199"/>
      <c r="F999" s="199"/>
      <c r="G999" s="199"/>
      <c r="H999" s="648"/>
    </row>
    <row r="1000" spans="1:8" x14ac:dyDescent="0.25">
      <c r="A1000" s="198"/>
      <c r="B1000" s="155"/>
      <c r="C1000" s="199"/>
      <c r="D1000" s="199"/>
      <c r="E1000" s="199"/>
      <c r="F1000" s="199"/>
      <c r="G1000" s="199"/>
      <c r="H1000" s="648"/>
    </row>
    <row r="1001" spans="1:8" x14ac:dyDescent="0.25">
      <c r="A1001" s="198"/>
      <c r="B1001" s="155"/>
      <c r="C1001" s="199"/>
      <c r="D1001" s="199"/>
      <c r="E1001" s="199"/>
      <c r="F1001" s="199"/>
      <c r="G1001" s="199"/>
      <c r="H1001" s="648"/>
    </row>
    <row r="1002" spans="1:8" x14ac:dyDescent="0.25">
      <c r="A1002" s="198"/>
      <c r="B1002" s="155"/>
      <c r="C1002" s="199"/>
      <c r="D1002" s="199"/>
      <c r="E1002" s="199"/>
      <c r="F1002" s="199"/>
      <c r="G1002" s="199"/>
      <c r="H1002" s="648"/>
    </row>
    <row r="1003" spans="1:8" x14ac:dyDescent="0.25">
      <c r="A1003" s="198"/>
      <c r="B1003" s="155"/>
      <c r="C1003" s="199"/>
      <c r="D1003" s="199"/>
      <c r="E1003" s="199"/>
      <c r="F1003" s="199"/>
      <c r="G1003" s="199"/>
      <c r="H1003" s="648"/>
    </row>
    <row r="1004" spans="1:8" x14ac:dyDescent="0.25">
      <c r="A1004" s="198"/>
      <c r="B1004" s="155"/>
      <c r="C1004" s="199"/>
      <c r="D1004" s="199"/>
      <c r="E1004" s="199"/>
      <c r="F1004" s="199"/>
      <c r="G1004" s="199"/>
      <c r="H1004" s="648"/>
    </row>
    <row r="1005" spans="1:8" x14ac:dyDescent="0.25">
      <c r="A1005" s="198"/>
      <c r="B1005" s="155"/>
      <c r="C1005" s="199"/>
      <c r="D1005" s="199"/>
      <c r="E1005" s="199"/>
      <c r="F1005" s="199"/>
      <c r="G1005" s="199"/>
      <c r="H1005" s="648"/>
    </row>
    <row r="1006" spans="1:8" x14ac:dyDescent="0.25">
      <c r="A1006" s="198"/>
      <c r="B1006" s="155"/>
      <c r="C1006" s="199"/>
      <c r="D1006" s="199"/>
      <c r="E1006" s="199"/>
      <c r="F1006" s="199"/>
      <c r="G1006" s="199"/>
      <c r="H1006" s="648"/>
    </row>
    <row r="1007" spans="1:8" x14ac:dyDescent="0.25">
      <c r="A1007" s="198"/>
      <c r="B1007" s="155"/>
      <c r="C1007" s="199"/>
      <c r="D1007" s="199"/>
      <c r="E1007" s="199"/>
      <c r="F1007" s="199"/>
      <c r="G1007" s="199"/>
      <c r="H1007" s="648"/>
    </row>
    <row r="1008" spans="1:8" x14ac:dyDescent="0.25">
      <c r="A1008" s="198"/>
      <c r="B1008" s="155"/>
      <c r="C1008" s="199"/>
      <c r="D1008" s="199"/>
      <c r="E1008" s="199"/>
      <c r="F1008" s="199"/>
      <c r="G1008" s="199"/>
      <c r="H1008" s="648"/>
    </row>
    <row r="1009" spans="1:8" x14ac:dyDescent="0.25">
      <c r="A1009" s="198"/>
      <c r="B1009" s="155"/>
      <c r="C1009" s="199"/>
      <c r="D1009" s="199"/>
      <c r="E1009" s="199"/>
      <c r="F1009" s="199"/>
      <c r="G1009" s="199"/>
      <c r="H1009" s="648"/>
    </row>
    <row r="1010" spans="1:8" x14ac:dyDescent="0.25">
      <c r="A1010" s="198"/>
      <c r="B1010" s="155"/>
      <c r="C1010" s="199"/>
      <c r="D1010" s="199"/>
      <c r="E1010" s="199"/>
      <c r="F1010" s="199"/>
      <c r="G1010" s="199"/>
      <c r="H1010" s="648"/>
    </row>
    <row r="1011" spans="1:8" x14ac:dyDescent="0.25">
      <c r="A1011" s="198"/>
      <c r="B1011" s="155"/>
      <c r="C1011" s="199"/>
      <c r="D1011" s="199"/>
      <c r="E1011" s="199"/>
      <c r="F1011" s="199"/>
      <c r="G1011" s="199"/>
      <c r="H1011" s="648"/>
    </row>
    <row r="1012" spans="1:8" x14ac:dyDescent="0.25">
      <c r="A1012" s="198"/>
      <c r="B1012" s="155"/>
      <c r="C1012" s="199"/>
      <c r="D1012" s="199"/>
      <c r="E1012" s="199"/>
      <c r="F1012" s="199"/>
      <c r="G1012" s="199"/>
      <c r="H1012" s="648"/>
    </row>
    <row r="1013" spans="1:8" x14ac:dyDescent="0.25">
      <c r="A1013" s="198"/>
      <c r="B1013" s="155"/>
      <c r="C1013" s="199"/>
      <c r="D1013" s="199"/>
      <c r="E1013" s="199"/>
      <c r="F1013" s="199"/>
      <c r="G1013" s="199"/>
      <c r="H1013" s="648"/>
    </row>
    <row r="1014" spans="1:8" x14ac:dyDescent="0.25">
      <c r="A1014" s="198"/>
      <c r="B1014" s="155"/>
      <c r="C1014" s="199"/>
      <c r="D1014" s="199"/>
      <c r="E1014" s="199"/>
      <c r="F1014" s="199"/>
      <c r="G1014" s="199"/>
      <c r="H1014" s="648"/>
    </row>
    <row r="1015" spans="1:8" x14ac:dyDescent="0.25">
      <c r="A1015" s="198"/>
      <c r="B1015" s="155"/>
      <c r="C1015" s="199"/>
      <c r="D1015" s="199"/>
      <c r="E1015" s="199"/>
      <c r="F1015" s="199"/>
      <c r="G1015" s="199"/>
      <c r="H1015" s="648"/>
    </row>
    <row r="1016" spans="1:8" x14ac:dyDescent="0.25">
      <c r="A1016" s="198"/>
      <c r="B1016" s="155"/>
      <c r="C1016" s="199"/>
      <c r="D1016" s="199"/>
      <c r="E1016" s="199"/>
      <c r="F1016" s="199"/>
      <c r="G1016" s="199"/>
      <c r="H1016" s="648"/>
    </row>
    <row r="1017" spans="1:8" x14ac:dyDescent="0.25">
      <c r="A1017" s="198"/>
      <c r="B1017" s="155"/>
      <c r="C1017" s="199"/>
      <c r="D1017" s="199"/>
      <c r="E1017" s="199"/>
      <c r="F1017" s="199"/>
      <c r="G1017" s="199"/>
      <c r="H1017" s="648"/>
    </row>
    <row r="1018" spans="1:8" x14ac:dyDescent="0.25">
      <c r="A1018" s="198"/>
      <c r="B1018" s="155"/>
      <c r="C1018" s="199"/>
      <c r="D1018" s="199"/>
      <c r="E1018" s="199"/>
      <c r="F1018" s="199"/>
      <c r="G1018" s="199"/>
      <c r="H1018" s="648"/>
    </row>
    <row r="1019" spans="1:8" x14ac:dyDescent="0.25">
      <c r="A1019" s="198"/>
      <c r="B1019" s="155"/>
      <c r="C1019" s="199"/>
      <c r="D1019" s="199"/>
      <c r="E1019" s="199"/>
      <c r="F1019" s="199"/>
      <c r="G1019" s="199"/>
      <c r="H1019" s="648"/>
    </row>
    <row r="1020" spans="1:8" x14ac:dyDescent="0.25">
      <c r="A1020" s="198"/>
      <c r="B1020" s="155"/>
      <c r="C1020" s="199"/>
      <c r="D1020" s="199"/>
      <c r="E1020" s="199"/>
      <c r="F1020" s="199"/>
      <c r="G1020" s="199"/>
      <c r="H1020" s="648"/>
    </row>
    <row r="1021" spans="1:8" x14ac:dyDescent="0.25">
      <c r="A1021" s="198"/>
      <c r="B1021" s="155"/>
      <c r="C1021" s="199"/>
      <c r="D1021" s="199"/>
      <c r="E1021" s="199"/>
      <c r="F1021" s="199"/>
      <c r="G1021" s="199"/>
      <c r="H1021" s="648"/>
    </row>
    <row r="1022" spans="1:8" x14ac:dyDescent="0.25">
      <c r="A1022" s="198"/>
      <c r="B1022" s="155"/>
      <c r="C1022" s="199"/>
      <c r="D1022" s="199"/>
      <c r="E1022" s="199"/>
      <c r="F1022" s="199"/>
      <c r="G1022" s="199"/>
      <c r="H1022" s="648"/>
    </row>
    <row r="1023" spans="1:8" x14ac:dyDescent="0.25">
      <c r="A1023" s="198"/>
      <c r="B1023" s="155"/>
      <c r="C1023" s="199"/>
      <c r="D1023" s="199"/>
      <c r="E1023" s="199"/>
      <c r="F1023" s="199"/>
      <c r="G1023" s="199"/>
      <c r="H1023" s="648"/>
    </row>
    <row r="1024" spans="1:8" x14ac:dyDescent="0.25">
      <c r="A1024" s="198"/>
      <c r="B1024" s="155"/>
      <c r="C1024" s="199"/>
      <c r="D1024" s="199"/>
      <c r="E1024" s="199"/>
      <c r="F1024" s="199"/>
      <c r="G1024" s="199"/>
      <c r="H1024" s="648"/>
    </row>
    <row r="1025" spans="1:8" x14ac:dyDescent="0.25">
      <c r="A1025" s="198"/>
      <c r="B1025" s="155"/>
      <c r="C1025" s="199"/>
      <c r="D1025" s="199"/>
      <c r="E1025" s="199"/>
      <c r="F1025" s="199"/>
      <c r="G1025" s="199"/>
      <c r="H1025" s="648"/>
    </row>
    <row r="1026" spans="1:8" x14ac:dyDescent="0.25">
      <c r="A1026" s="198"/>
      <c r="B1026" s="155"/>
      <c r="C1026" s="199"/>
      <c r="D1026" s="199"/>
      <c r="E1026" s="199"/>
      <c r="F1026" s="199"/>
      <c r="G1026" s="199"/>
      <c r="H1026" s="648"/>
    </row>
    <row r="1027" spans="1:8" x14ac:dyDescent="0.25">
      <c r="A1027" s="198"/>
      <c r="B1027" s="155"/>
      <c r="C1027" s="199"/>
      <c r="D1027" s="199"/>
      <c r="E1027" s="199"/>
      <c r="F1027" s="199"/>
      <c r="G1027" s="199"/>
      <c r="H1027" s="648"/>
    </row>
    <row r="1028" spans="1:8" x14ac:dyDescent="0.25">
      <c r="A1028" s="198"/>
      <c r="B1028" s="155"/>
      <c r="C1028" s="199"/>
      <c r="D1028" s="199"/>
      <c r="E1028" s="199"/>
      <c r="F1028" s="199"/>
      <c r="G1028" s="199"/>
      <c r="H1028" s="648"/>
    </row>
    <row r="1029" spans="1:8" x14ac:dyDescent="0.25">
      <c r="A1029" s="198"/>
      <c r="B1029" s="155"/>
      <c r="C1029" s="199"/>
      <c r="D1029" s="199"/>
      <c r="E1029" s="199"/>
      <c r="F1029" s="199"/>
      <c r="G1029" s="199"/>
      <c r="H1029" s="648"/>
    </row>
    <row r="1030" spans="1:8" x14ac:dyDescent="0.25">
      <c r="A1030" s="198"/>
      <c r="B1030" s="155"/>
      <c r="C1030" s="199"/>
      <c r="D1030" s="199"/>
      <c r="E1030" s="199"/>
      <c r="F1030" s="199"/>
      <c r="G1030" s="199"/>
      <c r="H1030" s="648"/>
    </row>
    <row r="1031" spans="1:8" x14ac:dyDescent="0.25">
      <c r="A1031" s="198"/>
      <c r="B1031" s="155"/>
      <c r="C1031" s="199"/>
      <c r="D1031" s="199"/>
      <c r="E1031" s="199"/>
      <c r="F1031" s="199"/>
      <c r="G1031" s="199"/>
      <c r="H1031" s="648"/>
    </row>
    <row r="1032" spans="1:8" x14ac:dyDescent="0.25">
      <c r="A1032" s="198"/>
      <c r="B1032" s="155"/>
      <c r="C1032" s="199"/>
      <c r="D1032" s="199"/>
      <c r="E1032" s="199"/>
      <c r="F1032" s="199"/>
      <c r="G1032" s="199"/>
      <c r="H1032" s="648"/>
    </row>
    <row r="1033" spans="1:8" x14ac:dyDescent="0.25">
      <c r="A1033" s="198"/>
      <c r="B1033" s="155"/>
      <c r="C1033" s="199"/>
      <c r="D1033" s="199"/>
      <c r="E1033" s="199"/>
      <c r="F1033" s="199"/>
      <c r="G1033" s="199"/>
      <c r="H1033" s="648"/>
    </row>
    <row r="1034" spans="1:8" x14ac:dyDescent="0.25">
      <c r="A1034" s="198"/>
      <c r="B1034" s="155"/>
      <c r="C1034" s="199"/>
      <c r="D1034" s="199"/>
      <c r="E1034" s="199"/>
      <c r="F1034" s="199"/>
      <c r="G1034" s="199"/>
      <c r="H1034" s="648"/>
    </row>
    <row r="1035" spans="1:8" x14ac:dyDescent="0.25">
      <c r="A1035" s="198"/>
      <c r="B1035" s="155"/>
      <c r="C1035" s="199"/>
      <c r="D1035" s="199"/>
      <c r="E1035" s="199"/>
      <c r="F1035" s="199"/>
      <c r="G1035" s="199"/>
      <c r="H1035" s="648"/>
    </row>
    <row r="1036" spans="1:8" x14ac:dyDescent="0.25">
      <c r="A1036" s="198"/>
      <c r="B1036" s="155"/>
      <c r="C1036" s="199"/>
      <c r="D1036" s="199"/>
      <c r="E1036" s="199"/>
      <c r="F1036" s="199"/>
      <c r="G1036" s="199"/>
      <c r="H1036" s="648"/>
    </row>
    <row r="1037" spans="1:8" x14ac:dyDescent="0.25">
      <c r="A1037" s="198"/>
      <c r="B1037" s="155"/>
      <c r="C1037" s="199"/>
      <c r="D1037" s="199"/>
      <c r="E1037" s="199"/>
      <c r="F1037" s="199"/>
      <c r="G1037" s="199"/>
      <c r="H1037" s="648"/>
    </row>
    <row r="1038" spans="1:8" x14ac:dyDescent="0.25">
      <c r="A1038" s="198"/>
      <c r="B1038" s="155"/>
      <c r="C1038" s="199"/>
      <c r="D1038" s="199"/>
      <c r="E1038" s="199"/>
      <c r="F1038" s="199"/>
      <c r="G1038" s="199"/>
      <c r="H1038" s="648"/>
    </row>
    <row r="1039" spans="1:8" x14ac:dyDescent="0.25">
      <c r="A1039" s="198"/>
      <c r="B1039" s="155"/>
      <c r="C1039" s="199"/>
      <c r="D1039" s="199"/>
      <c r="E1039" s="199"/>
      <c r="F1039" s="199"/>
      <c r="G1039" s="199"/>
      <c r="H1039" s="648"/>
    </row>
    <row r="1040" spans="1:8" x14ac:dyDescent="0.25">
      <c r="A1040" s="198"/>
      <c r="B1040" s="155"/>
      <c r="C1040" s="199"/>
      <c r="D1040" s="199"/>
      <c r="E1040" s="199"/>
      <c r="F1040" s="199"/>
      <c r="G1040" s="199"/>
      <c r="H1040" s="648"/>
    </row>
    <row r="1041" spans="1:8" x14ac:dyDescent="0.25">
      <c r="A1041" s="198"/>
      <c r="B1041" s="155"/>
      <c r="C1041" s="199"/>
      <c r="D1041" s="199"/>
      <c r="E1041" s="199"/>
      <c r="F1041" s="199"/>
      <c r="G1041" s="199"/>
      <c r="H1041" s="648"/>
    </row>
    <row r="1042" spans="1:8" x14ac:dyDescent="0.25">
      <c r="A1042" s="198"/>
      <c r="B1042" s="155"/>
      <c r="C1042" s="199"/>
      <c r="D1042" s="199"/>
      <c r="E1042" s="199"/>
      <c r="F1042" s="199"/>
      <c r="G1042" s="199"/>
      <c r="H1042" s="648"/>
    </row>
    <row r="1043" spans="1:8" x14ac:dyDescent="0.25">
      <c r="A1043" s="198"/>
      <c r="B1043" s="155"/>
      <c r="C1043" s="199"/>
      <c r="D1043" s="199"/>
      <c r="E1043" s="199"/>
      <c r="F1043" s="199"/>
      <c r="G1043" s="199"/>
      <c r="H1043" s="648"/>
    </row>
    <row r="1044" spans="1:8" x14ac:dyDescent="0.25">
      <c r="A1044" s="198"/>
      <c r="B1044" s="155"/>
      <c r="C1044" s="199"/>
      <c r="D1044" s="199"/>
      <c r="E1044" s="199"/>
      <c r="F1044" s="199"/>
      <c r="G1044" s="199"/>
      <c r="H1044" s="648"/>
    </row>
    <row r="1045" spans="1:8" x14ac:dyDescent="0.25">
      <c r="A1045" s="198"/>
      <c r="B1045" s="155"/>
      <c r="C1045" s="199"/>
      <c r="D1045" s="199"/>
      <c r="E1045" s="199"/>
      <c r="F1045" s="199"/>
      <c r="G1045" s="199"/>
      <c r="H1045" s="648"/>
    </row>
    <row r="1046" spans="1:8" x14ac:dyDescent="0.25">
      <c r="A1046" s="198"/>
      <c r="B1046" s="155"/>
      <c r="C1046" s="199"/>
      <c r="D1046" s="199"/>
      <c r="E1046" s="199"/>
      <c r="F1046" s="199"/>
      <c r="G1046" s="199"/>
      <c r="H1046" s="648"/>
    </row>
    <row r="1047" spans="1:8" x14ac:dyDescent="0.25">
      <c r="A1047" s="198"/>
      <c r="B1047" s="155"/>
      <c r="C1047" s="199"/>
      <c r="D1047" s="199"/>
      <c r="E1047" s="199"/>
      <c r="F1047" s="199"/>
      <c r="G1047" s="199"/>
      <c r="H1047" s="648"/>
    </row>
    <row r="1048" spans="1:8" x14ac:dyDescent="0.25">
      <c r="A1048" s="198"/>
      <c r="B1048" s="155"/>
      <c r="C1048" s="199"/>
      <c r="D1048" s="199"/>
      <c r="E1048" s="199"/>
      <c r="F1048" s="199"/>
      <c r="G1048" s="199"/>
      <c r="H1048" s="648"/>
    </row>
    <row r="1049" spans="1:8" x14ac:dyDescent="0.25">
      <c r="A1049" s="198"/>
      <c r="B1049" s="155"/>
      <c r="C1049" s="199"/>
      <c r="D1049" s="199"/>
      <c r="E1049" s="199"/>
      <c r="F1049" s="199"/>
      <c r="G1049" s="199"/>
      <c r="H1049" s="648"/>
    </row>
    <row r="1050" spans="1:8" x14ac:dyDescent="0.25">
      <c r="A1050" s="198"/>
      <c r="B1050" s="155"/>
      <c r="C1050" s="199"/>
      <c r="D1050" s="199"/>
      <c r="E1050" s="199"/>
      <c r="F1050" s="199"/>
      <c r="G1050" s="199"/>
      <c r="H1050" s="648"/>
    </row>
    <row r="1051" spans="1:8" x14ac:dyDescent="0.25">
      <c r="A1051" s="198"/>
      <c r="B1051" s="155"/>
      <c r="C1051" s="199"/>
      <c r="D1051" s="199"/>
      <c r="E1051" s="199"/>
      <c r="F1051" s="199"/>
      <c r="G1051" s="199"/>
      <c r="H1051" s="648"/>
    </row>
    <row r="1052" spans="1:8" x14ac:dyDescent="0.25">
      <c r="A1052" s="198"/>
      <c r="B1052" s="155"/>
      <c r="C1052" s="199"/>
      <c r="D1052" s="199"/>
      <c r="E1052" s="199"/>
      <c r="F1052" s="199"/>
      <c r="G1052" s="199"/>
      <c r="H1052" s="648"/>
    </row>
    <row r="1053" spans="1:8" x14ac:dyDescent="0.25">
      <c r="A1053" s="198"/>
      <c r="B1053" s="155"/>
      <c r="C1053" s="199"/>
      <c r="D1053" s="199"/>
      <c r="E1053" s="199"/>
      <c r="F1053" s="199"/>
      <c r="G1053" s="199"/>
      <c r="H1053" s="648"/>
    </row>
    <row r="1054" spans="1:8" x14ac:dyDescent="0.25">
      <c r="A1054" s="198"/>
      <c r="B1054" s="155"/>
      <c r="C1054" s="199"/>
      <c r="D1054" s="199"/>
      <c r="E1054" s="199"/>
      <c r="F1054" s="199"/>
      <c r="G1054" s="199"/>
      <c r="H1054" s="648"/>
    </row>
    <row r="1055" spans="1:8" x14ac:dyDescent="0.25">
      <c r="A1055" s="198"/>
      <c r="B1055" s="155"/>
      <c r="C1055" s="199"/>
      <c r="D1055" s="199"/>
      <c r="E1055" s="199"/>
      <c r="F1055" s="199"/>
      <c r="G1055" s="199"/>
      <c r="H1055" s="648"/>
    </row>
    <row r="1056" spans="1:8" x14ac:dyDescent="0.25">
      <c r="A1056" s="198"/>
      <c r="B1056" s="155"/>
      <c r="C1056" s="199"/>
      <c r="D1056" s="199"/>
      <c r="E1056" s="199"/>
      <c r="F1056" s="199"/>
      <c r="G1056" s="199"/>
      <c r="H1056" s="648"/>
    </row>
    <row r="1057" spans="1:8" x14ac:dyDescent="0.25">
      <c r="A1057" s="198"/>
      <c r="B1057" s="155"/>
      <c r="C1057" s="199"/>
      <c r="D1057" s="199"/>
      <c r="E1057" s="199"/>
      <c r="F1057" s="199"/>
      <c r="G1057" s="199"/>
      <c r="H1057" s="648"/>
    </row>
    <row r="1058" spans="1:8" x14ac:dyDescent="0.25">
      <c r="A1058" s="198"/>
      <c r="B1058" s="155"/>
      <c r="C1058" s="199"/>
      <c r="D1058" s="199"/>
      <c r="E1058" s="199"/>
      <c r="F1058" s="199"/>
      <c r="G1058" s="199"/>
      <c r="H1058" s="648"/>
    </row>
    <row r="1059" spans="1:8" x14ac:dyDescent="0.25">
      <c r="A1059" s="198"/>
      <c r="B1059" s="155"/>
      <c r="C1059" s="199"/>
      <c r="D1059" s="199"/>
      <c r="E1059" s="199"/>
      <c r="F1059" s="199"/>
      <c r="G1059" s="199"/>
      <c r="H1059" s="648"/>
    </row>
    <row r="1060" spans="1:8" x14ac:dyDescent="0.25">
      <c r="A1060" s="198"/>
      <c r="B1060" s="155"/>
      <c r="C1060" s="199"/>
      <c r="D1060" s="199"/>
      <c r="E1060" s="199"/>
      <c r="F1060" s="199"/>
      <c r="G1060" s="199"/>
      <c r="H1060" s="648"/>
    </row>
    <row r="1061" spans="1:8" x14ac:dyDescent="0.25">
      <c r="A1061" s="198"/>
      <c r="B1061" s="155"/>
      <c r="C1061" s="199"/>
      <c r="D1061" s="199"/>
      <c r="E1061" s="199"/>
      <c r="F1061" s="199"/>
      <c r="G1061" s="199"/>
      <c r="H1061" s="648"/>
    </row>
    <row r="1062" spans="1:8" x14ac:dyDescent="0.25">
      <c r="A1062" s="198"/>
      <c r="B1062" s="155"/>
      <c r="C1062" s="199"/>
      <c r="D1062" s="199"/>
      <c r="E1062" s="199"/>
      <c r="F1062" s="199"/>
      <c r="G1062" s="199"/>
      <c r="H1062" s="648"/>
    </row>
    <row r="1063" spans="1:8" x14ac:dyDescent="0.25">
      <c r="A1063" s="198"/>
      <c r="B1063" s="155"/>
      <c r="C1063" s="199"/>
      <c r="D1063" s="199"/>
      <c r="E1063" s="199"/>
      <c r="F1063" s="199"/>
      <c r="G1063" s="199"/>
      <c r="H1063" s="648"/>
    </row>
    <row r="1064" spans="1:8" x14ac:dyDescent="0.25">
      <c r="A1064" s="198"/>
      <c r="B1064" s="155"/>
      <c r="C1064" s="199"/>
      <c r="D1064" s="199"/>
      <c r="E1064" s="199"/>
      <c r="F1064" s="199"/>
      <c r="G1064" s="199"/>
      <c r="H1064" s="648"/>
    </row>
    <row r="1065" spans="1:8" x14ac:dyDescent="0.25">
      <c r="A1065" s="198"/>
      <c r="B1065" s="155"/>
      <c r="C1065" s="199"/>
      <c r="D1065" s="199"/>
      <c r="E1065" s="199"/>
      <c r="F1065" s="199"/>
      <c r="G1065" s="199"/>
      <c r="H1065" s="648"/>
    </row>
    <row r="1066" spans="1:8" x14ac:dyDescent="0.25">
      <c r="A1066" s="198"/>
      <c r="B1066" s="155"/>
      <c r="C1066" s="199"/>
      <c r="D1066" s="199"/>
      <c r="E1066" s="199"/>
      <c r="F1066" s="199"/>
      <c r="G1066" s="199"/>
      <c r="H1066" s="648"/>
    </row>
    <row r="1067" spans="1:8" x14ac:dyDescent="0.25">
      <c r="A1067" s="198"/>
      <c r="B1067" s="155"/>
      <c r="C1067" s="199"/>
      <c r="D1067" s="199"/>
      <c r="E1067" s="199"/>
      <c r="F1067" s="199"/>
      <c r="G1067" s="199"/>
      <c r="H1067" s="648"/>
    </row>
    <row r="1068" spans="1:8" x14ac:dyDescent="0.25">
      <c r="A1068" s="198"/>
      <c r="B1068" s="155"/>
      <c r="C1068" s="199"/>
      <c r="D1068" s="199"/>
      <c r="E1068" s="199"/>
      <c r="F1068" s="199"/>
      <c r="G1068" s="199"/>
      <c r="H1068" s="648"/>
    </row>
    <row r="1069" spans="1:8" x14ac:dyDescent="0.25">
      <c r="A1069" s="198"/>
      <c r="B1069" s="155"/>
      <c r="C1069" s="199"/>
      <c r="D1069" s="199"/>
      <c r="E1069" s="199"/>
      <c r="F1069" s="199"/>
      <c r="G1069" s="199"/>
      <c r="H1069" s="648"/>
    </row>
    <row r="1070" spans="1:8" x14ac:dyDescent="0.25">
      <c r="A1070" s="198"/>
      <c r="B1070" s="155"/>
      <c r="C1070" s="199"/>
      <c r="D1070" s="199"/>
      <c r="E1070" s="199"/>
      <c r="F1070" s="199"/>
      <c r="G1070" s="199"/>
      <c r="H1070" s="648"/>
    </row>
    <row r="1071" spans="1:8" x14ac:dyDescent="0.25">
      <c r="A1071" s="198"/>
      <c r="B1071" s="155"/>
      <c r="C1071" s="199"/>
      <c r="D1071" s="199"/>
      <c r="E1071" s="199"/>
      <c r="F1071" s="199"/>
      <c r="G1071" s="199"/>
      <c r="H1071" s="648"/>
    </row>
    <row r="1072" spans="1:8" x14ac:dyDescent="0.25">
      <c r="A1072" s="198"/>
      <c r="B1072" s="155"/>
      <c r="C1072" s="199"/>
      <c r="D1072" s="199"/>
      <c r="E1072" s="199"/>
      <c r="F1072" s="199"/>
      <c r="G1072" s="199"/>
      <c r="H1072" s="648"/>
    </row>
    <row r="1073" spans="1:8" x14ac:dyDescent="0.25">
      <c r="A1073" s="198"/>
      <c r="B1073" s="155"/>
      <c r="C1073" s="199"/>
      <c r="D1073" s="199"/>
      <c r="E1073" s="199"/>
      <c r="F1073" s="199"/>
      <c r="G1073" s="199"/>
      <c r="H1073" s="648"/>
    </row>
    <row r="1074" spans="1:8" x14ac:dyDescent="0.25">
      <c r="A1074" s="198"/>
      <c r="B1074" s="155"/>
      <c r="C1074" s="199"/>
      <c r="D1074" s="199"/>
      <c r="E1074" s="199"/>
      <c r="F1074" s="199"/>
      <c r="G1074" s="199"/>
      <c r="H1074" s="648"/>
    </row>
    <row r="1075" spans="1:8" x14ac:dyDescent="0.25">
      <c r="A1075" s="198"/>
      <c r="B1075" s="155"/>
      <c r="C1075" s="199"/>
      <c r="D1075" s="199"/>
      <c r="E1075" s="199"/>
      <c r="F1075" s="199"/>
      <c r="G1075" s="199"/>
      <c r="H1075" s="648"/>
    </row>
    <row r="1076" spans="1:8" x14ac:dyDescent="0.25">
      <c r="A1076" s="198"/>
      <c r="B1076" s="155"/>
      <c r="C1076" s="199"/>
      <c r="D1076" s="199"/>
      <c r="E1076" s="199"/>
      <c r="F1076" s="199"/>
      <c r="G1076" s="199"/>
      <c r="H1076" s="648"/>
    </row>
    <row r="1077" spans="1:8" x14ac:dyDescent="0.25">
      <c r="A1077" s="198"/>
      <c r="B1077" s="155"/>
      <c r="C1077" s="199"/>
      <c r="D1077" s="199"/>
      <c r="E1077" s="199"/>
      <c r="F1077" s="199"/>
      <c r="G1077" s="199"/>
      <c r="H1077" s="648"/>
    </row>
    <row r="1078" spans="1:8" x14ac:dyDescent="0.25">
      <c r="A1078" s="198"/>
      <c r="B1078" s="155"/>
      <c r="C1078" s="199"/>
      <c r="D1078" s="199"/>
      <c r="E1078" s="199"/>
      <c r="F1078" s="199"/>
      <c r="G1078" s="199"/>
      <c r="H1078" s="648"/>
    </row>
    <row r="1079" spans="1:8" x14ac:dyDescent="0.25">
      <c r="A1079" s="198"/>
      <c r="B1079" s="155"/>
      <c r="C1079" s="199"/>
      <c r="D1079" s="199"/>
      <c r="E1079" s="199"/>
      <c r="F1079" s="199"/>
      <c r="G1079" s="199"/>
      <c r="H1079" s="648"/>
    </row>
    <row r="1080" spans="1:8" x14ac:dyDescent="0.25">
      <c r="A1080" s="198"/>
      <c r="B1080" s="155"/>
      <c r="C1080" s="199"/>
      <c r="D1080" s="199"/>
      <c r="E1080" s="199"/>
      <c r="F1080" s="199"/>
      <c r="G1080" s="199"/>
      <c r="H1080" s="648"/>
    </row>
    <row r="1081" spans="1:8" x14ac:dyDescent="0.25">
      <c r="A1081" s="198"/>
      <c r="B1081" s="155"/>
      <c r="C1081" s="199"/>
      <c r="D1081" s="199"/>
      <c r="E1081" s="199"/>
      <c r="F1081" s="199"/>
      <c r="G1081" s="199"/>
      <c r="H1081" s="648"/>
    </row>
    <row r="1082" spans="1:8" x14ac:dyDescent="0.25">
      <c r="A1082" s="198"/>
      <c r="B1082" s="155"/>
      <c r="C1082" s="199"/>
      <c r="D1082" s="199"/>
      <c r="E1082" s="199"/>
      <c r="F1082" s="199"/>
      <c r="G1082" s="199"/>
      <c r="H1082" s="648"/>
    </row>
    <row r="1083" spans="1:8" x14ac:dyDescent="0.25">
      <c r="H1083" s="37"/>
    </row>
    <row r="1084" spans="1:8" x14ac:dyDescent="0.25">
      <c r="H1084" s="37"/>
    </row>
    <row r="1085" spans="1:8" x14ac:dyDescent="0.25">
      <c r="H1085" s="37"/>
    </row>
    <row r="1086" spans="1:8" x14ac:dyDescent="0.25">
      <c r="H1086" s="37"/>
    </row>
    <row r="1087" spans="1:8" x14ac:dyDescent="0.25">
      <c r="H1087" s="37"/>
    </row>
    <row r="1088" spans="1:8" x14ac:dyDescent="0.25">
      <c r="H1088" s="37"/>
    </row>
    <row r="1089" spans="8:8" x14ac:dyDescent="0.25">
      <c r="H1089" s="37"/>
    </row>
    <row r="1090" spans="8:8" x14ac:dyDescent="0.25">
      <c r="H1090" s="37"/>
    </row>
    <row r="1091" spans="8:8" x14ac:dyDescent="0.25">
      <c r="H1091" s="37"/>
    </row>
    <row r="1092" spans="8:8" x14ac:dyDescent="0.25">
      <c r="H1092" s="37"/>
    </row>
    <row r="1093" spans="8:8" x14ac:dyDescent="0.25">
      <c r="H1093" s="37"/>
    </row>
    <row r="1094" spans="8:8" x14ac:dyDescent="0.25">
      <c r="H1094" s="37"/>
    </row>
  </sheetData>
  <sheetProtection sheet="1" objects="1" scenarios="1" selectLockedCells="1"/>
  <mergeCells count="178">
    <mergeCell ref="B787:F787"/>
    <mergeCell ref="B672:F672"/>
    <mergeCell ref="B675:F675"/>
    <mergeCell ref="B678:F678"/>
    <mergeCell ref="B681:F681"/>
    <mergeCell ref="B784:F784"/>
    <mergeCell ref="B80:F80"/>
    <mergeCell ref="B86:F86"/>
    <mergeCell ref="B90:F90"/>
    <mergeCell ref="B272:F272"/>
    <mergeCell ref="B212:F212"/>
    <mergeCell ref="B719:F719"/>
    <mergeCell ref="B684:F684"/>
    <mergeCell ref="B687:F687"/>
    <mergeCell ref="B692:F692"/>
    <mergeCell ref="B695:F695"/>
    <mergeCell ref="B698:F698"/>
    <mergeCell ref="B566:F566"/>
    <mergeCell ref="B622:F622"/>
    <mergeCell ref="B599:F599"/>
    <mergeCell ref="B210:F210"/>
    <mergeCell ref="B226:F226"/>
    <mergeCell ref="B233:F233"/>
    <mergeCell ref="B245:F245"/>
    <mergeCell ref="B252:F252"/>
    <mergeCell ref="B240:F240"/>
    <mergeCell ref="B300:F300"/>
    <mergeCell ref="B302:F302"/>
    <mergeCell ref="B306:F306"/>
    <mergeCell ref="B628:F628"/>
    <mergeCell ref="B631:F631"/>
    <mergeCell ref="B635:F635"/>
    <mergeCell ref="B638:F638"/>
    <mergeCell ref="B263:F263"/>
    <mergeCell ref="B277:F277"/>
    <mergeCell ref="B296:F296"/>
    <mergeCell ref="B345:F345"/>
    <mergeCell ref="B347:F347"/>
    <mergeCell ref="B280:F280"/>
    <mergeCell ref="B283:F283"/>
    <mergeCell ref="B289:F289"/>
    <mergeCell ref="B351:F351"/>
    <mergeCell ref="B354:F354"/>
    <mergeCell ref="B352:F352"/>
    <mergeCell ref="B370:F370"/>
    <mergeCell ref="B310:F310"/>
    <mergeCell ref="B316:F316"/>
    <mergeCell ref="B327:F327"/>
    <mergeCell ref="B641:F641"/>
    <mergeCell ref="B647:F647"/>
    <mergeCell ref="B653:F653"/>
    <mergeCell ref="B660:F660"/>
    <mergeCell ref="B188:F188"/>
    <mergeCell ref="B448:F448"/>
    <mergeCell ref="B204:F204"/>
    <mergeCell ref="B208:F208"/>
    <mergeCell ref="B613:F613"/>
    <mergeCell ref="B618:F618"/>
    <mergeCell ref="B582:F582"/>
    <mergeCell ref="B587:F587"/>
    <mergeCell ref="B590:F590"/>
    <mergeCell ref="B593:F593"/>
    <mergeCell ref="B596:F596"/>
    <mergeCell ref="B602:F602"/>
    <mergeCell ref="B604:F604"/>
    <mergeCell ref="B607:F607"/>
    <mergeCell ref="B610:F610"/>
    <mergeCell ref="B584:F584"/>
    <mergeCell ref="B219:F219"/>
    <mergeCell ref="B267:F267"/>
    <mergeCell ref="B257:F257"/>
    <mergeCell ref="B260:F260"/>
    <mergeCell ref="A1:H1"/>
    <mergeCell ref="A2:H2"/>
    <mergeCell ref="A3:H3"/>
    <mergeCell ref="A4:H4"/>
    <mergeCell ref="B8:F8"/>
    <mergeCell ref="E9:F9"/>
    <mergeCell ref="B27:E27"/>
    <mergeCell ref="A5:H5"/>
    <mergeCell ref="B12:E12"/>
    <mergeCell ref="B16:E16"/>
    <mergeCell ref="B10:F10"/>
    <mergeCell ref="E11:F11"/>
    <mergeCell ref="B48:F48"/>
    <mergeCell ref="B54:F54"/>
    <mergeCell ref="B61:F61"/>
    <mergeCell ref="B20:E20"/>
    <mergeCell ref="B21:E21"/>
    <mergeCell ref="B24:E24"/>
    <mergeCell ref="B44:F44"/>
    <mergeCell ref="B30:E30"/>
    <mergeCell ref="B34:E34"/>
    <mergeCell ref="B51:F51"/>
    <mergeCell ref="B37:E37"/>
    <mergeCell ref="B64:F64"/>
    <mergeCell ref="B65:C65"/>
    <mergeCell ref="B148:F148"/>
    <mergeCell ref="B156:F156"/>
    <mergeCell ref="B164:F164"/>
    <mergeCell ref="B102:F102"/>
    <mergeCell ref="B105:F105"/>
    <mergeCell ref="B109:F109"/>
    <mergeCell ref="B125:F125"/>
    <mergeCell ref="B140:F140"/>
    <mergeCell ref="B107:F107"/>
    <mergeCell ref="B131:F131"/>
    <mergeCell ref="B83:H83"/>
    <mergeCell ref="B72:F72"/>
    <mergeCell ref="B73:C73"/>
    <mergeCell ref="B75:F75"/>
    <mergeCell ref="B76:C76"/>
    <mergeCell ref="B87:C87"/>
    <mergeCell ref="B93:F93"/>
    <mergeCell ref="B99:F99"/>
    <mergeCell ref="B68:F68"/>
    <mergeCell ref="B69:C69"/>
    <mergeCell ref="B84:F84"/>
    <mergeCell ref="B85:C85"/>
    <mergeCell ref="B341:F341"/>
    <mergeCell ref="B349:F349"/>
    <mergeCell ref="B413:F413"/>
    <mergeCell ref="B376:F376"/>
    <mergeCell ref="B383:F383"/>
    <mergeCell ref="B407:F407"/>
    <mergeCell ref="B419:F419"/>
    <mergeCell ref="B425:F425"/>
    <mergeCell ref="B398:F398"/>
    <mergeCell ref="B404:F404"/>
    <mergeCell ref="B401:F401"/>
    <mergeCell ref="B481:F481"/>
    <mergeCell ref="B713:F713"/>
    <mergeCell ref="B172:F172"/>
    <mergeCell ref="B175:F175"/>
    <mergeCell ref="B178:F178"/>
    <mergeCell ref="B181:F181"/>
    <mergeCell ref="B308:F308"/>
    <mergeCell ref="B439:F439"/>
    <mergeCell ref="B451:F451"/>
    <mergeCell ref="B456:F456"/>
    <mergeCell ref="B460:F460"/>
    <mergeCell ref="B428:F428"/>
    <mergeCell ref="B431:F431"/>
    <mergeCell ref="B434:F434"/>
    <mergeCell ref="B437:F437"/>
    <mergeCell ref="B447:H447"/>
    <mergeCell ref="B530:F530"/>
    <mergeCell ref="B569:F569"/>
    <mergeCell ref="B572:F572"/>
    <mergeCell ref="B574:F574"/>
    <mergeCell ref="B466:F466"/>
    <mergeCell ref="B470:F470"/>
    <mergeCell ref="B485:F485"/>
    <mergeCell ref="B373:F373"/>
    <mergeCell ref="B490:F490"/>
    <mergeCell ref="B501:F501"/>
    <mergeCell ref="B514:F514"/>
    <mergeCell ref="B522:F522"/>
    <mergeCell ref="B718:F718"/>
    <mergeCell ref="B645:F645"/>
    <mergeCell ref="B576:F576"/>
    <mergeCell ref="B578:F578"/>
    <mergeCell ref="B580:F580"/>
    <mergeCell ref="B663:F663"/>
    <mergeCell ref="B519:F519"/>
    <mergeCell ref="B564:F564"/>
    <mergeCell ref="B702:F702"/>
    <mergeCell ref="B552:F552"/>
    <mergeCell ref="B556:F556"/>
    <mergeCell ref="B558:F558"/>
    <mergeCell ref="B562:F562"/>
    <mergeCell ref="B536:F536"/>
    <mergeCell ref="B540:F540"/>
    <mergeCell ref="B543:F543"/>
    <mergeCell ref="B545:F545"/>
    <mergeCell ref="B666:F666"/>
    <mergeCell ref="B669:F669"/>
    <mergeCell ref="B710:F710"/>
  </mergeCells>
  <printOptions horizontalCentered="1"/>
  <pageMargins left="0.51181102362204722" right="0.51181102362204722" top="0.59055118110236227" bottom="0.59055118110236227" header="0.31496062992125984" footer="0.31496062992125984"/>
  <pageSetup paperSize="9" scale="60" fitToHeight="0" orientation="landscape" horizontalDpi="4294967292" r:id="rId1"/>
  <headerFooter>
    <oddFooter>Página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7"/>
  <sheetViews>
    <sheetView topLeftCell="A25" zoomScaleNormal="100" zoomScaleSheetLayoutView="100" workbookViewId="0">
      <selection activeCell="G35" sqref="G35:H35"/>
    </sheetView>
  </sheetViews>
  <sheetFormatPr defaultRowHeight="15" x14ac:dyDescent="0.25"/>
  <cols>
    <col min="1" max="1" width="5.5703125" style="16" customWidth="1"/>
    <col min="2" max="2" width="17.140625" style="16" customWidth="1"/>
    <col min="3" max="3" width="12.42578125" style="16" customWidth="1"/>
    <col min="4" max="4" width="72.28515625" customWidth="1"/>
    <col min="5" max="5" width="9.140625" style="14"/>
    <col min="6" max="6" width="13.28515625" style="432" customWidth="1"/>
    <col min="7" max="7" width="13.5703125" style="106" customWidth="1"/>
    <col min="8" max="8" width="12.7109375" style="9" customWidth="1"/>
    <col min="9" max="9" width="9.42578125" style="514" customWidth="1"/>
    <col min="10" max="10" width="18.140625" style="62" customWidth="1"/>
    <col min="11" max="12" width="15.42578125" bestFit="1" customWidth="1"/>
  </cols>
  <sheetData>
    <row r="1" spans="1:10" x14ac:dyDescent="0.25">
      <c r="A1" s="796" t="s">
        <v>3</v>
      </c>
      <c r="B1" s="797"/>
      <c r="C1" s="797"/>
      <c r="D1" s="797"/>
      <c r="E1" s="797"/>
      <c r="F1" s="797"/>
      <c r="G1" s="797"/>
      <c r="H1" s="797"/>
      <c r="I1" s="797"/>
      <c r="J1" s="798"/>
    </row>
    <row r="2" spans="1:10" x14ac:dyDescent="0.25">
      <c r="A2" s="799" t="s">
        <v>4</v>
      </c>
      <c r="B2" s="800"/>
      <c r="C2" s="800"/>
      <c r="D2" s="800"/>
      <c r="E2" s="800"/>
      <c r="F2" s="800"/>
      <c r="G2" s="800"/>
      <c r="H2" s="800"/>
      <c r="I2" s="800"/>
      <c r="J2" s="801"/>
    </row>
    <row r="3" spans="1:10" x14ac:dyDescent="0.25">
      <c r="A3" s="799" t="s">
        <v>54</v>
      </c>
      <c r="B3" s="800"/>
      <c r="C3" s="800"/>
      <c r="D3" s="800"/>
      <c r="E3" s="800"/>
      <c r="F3" s="800"/>
      <c r="G3" s="800"/>
      <c r="H3" s="800"/>
      <c r="I3" s="800"/>
      <c r="J3" s="801"/>
    </row>
    <row r="4" spans="1:10" x14ac:dyDescent="0.25">
      <c r="A4" s="799" t="s">
        <v>482</v>
      </c>
      <c r="B4" s="800"/>
      <c r="C4" s="800"/>
      <c r="D4" s="800"/>
      <c r="E4" s="800"/>
      <c r="F4" s="800"/>
      <c r="G4" s="800"/>
      <c r="H4" s="800"/>
      <c r="I4" s="800"/>
      <c r="J4" s="801"/>
    </row>
    <row r="5" spans="1:10" ht="15" customHeight="1" x14ac:dyDescent="0.25">
      <c r="A5" s="817" t="s">
        <v>631</v>
      </c>
      <c r="B5" s="818"/>
      <c r="C5" s="818"/>
      <c r="D5" s="809" t="s">
        <v>689</v>
      </c>
      <c r="E5" s="809"/>
      <c r="F5" s="809"/>
      <c r="G5" s="809"/>
      <c r="H5" s="809"/>
      <c r="I5" s="809"/>
      <c r="J5" s="810"/>
    </row>
    <row r="6" spans="1:10" s="12" customFormat="1" x14ac:dyDescent="0.25">
      <c r="A6" s="817"/>
      <c r="B6" s="818"/>
      <c r="C6" s="818"/>
      <c r="D6" s="809" t="s">
        <v>690</v>
      </c>
      <c r="E6" s="809"/>
      <c r="F6" s="809"/>
      <c r="G6" s="809"/>
      <c r="H6" s="809"/>
      <c r="I6" s="809"/>
      <c r="J6" s="810"/>
    </row>
    <row r="7" spans="1:10" s="12" customFormat="1" x14ac:dyDescent="0.25">
      <c r="A7" s="817"/>
      <c r="B7" s="818"/>
      <c r="C7" s="818"/>
      <c r="D7" s="809" t="s">
        <v>630</v>
      </c>
      <c r="E7" s="809"/>
      <c r="F7" s="809"/>
      <c r="G7" s="809"/>
      <c r="H7" s="809"/>
      <c r="I7" s="809"/>
      <c r="J7" s="810"/>
    </row>
    <row r="8" spans="1:10" s="12" customFormat="1" x14ac:dyDescent="0.25">
      <c r="A8" s="817"/>
      <c r="B8" s="818"/>
      <c r="C8" s="818"/>
      <c r="D8" s="809" t="s">
        <v>937</v>
      </c>
      <c r="E8" s="809"/>
      <c r="F8" s="809"/>
      <c r="G8" s="809"/>
      <c r="H8" s="809"/>
      <c r="I8" s="809"/>
      <c r="J8" s="810"/>
    </row>
    <row r="9" spans="1:10" s="12" customFormat="1" ht="12.75" customHeight="1" x14ac:dyDescent="0.25">
      <c r="A9" s="817"/>
      <c r="B9" s="818"/>
      <c r="C9" s="818"/>
      <c r="D9" s="809" t="s">
        <v>938</v>
      </c>
      <c r="E9" s="809"/>
      <c r="F9" s="809"/>
      <c r="G9" s="809"/>
      <c r="H9" s="809"/>
      <c r="I9" s="809"/>
      <c r="J9" s="810"/>
    </row>
    <row r="10" spans="1:10" s="12" customFormat="1" ht="12.75" customHeight="1" x14ac:dyDescent="0.25">
      <c r="A10" s="817"/>
      <c r="B10" s="818"/>
      <c r="C10" s="818"/>
      <c r="D10" s="809" t="s">
        <v>1012</v>
      </c>
      <c r="E10" s="809"/>
      <c r="F10" s="809"/>
      <c r="G10" s="809"/>
      <c r="H10" s="809"/>
      <c r="I10" s="809"/>
      <c r="J10" s="810"/>
    </row>
    <row r="11" spans="1:10" x14ac:dyDescent="0.25">
      <c r="A11" s="802" t="s">
        <v>483</v>
      </c>
      <c r="B11" s="803"/>
      <c r="C11" s="803"/>
      <c r="D11" s="803"/>
      <c r="E11" s="803"/>
      <c r="F11" s="803"/>
      <c r="G11" s="803"/>
      <c r="H11" s="803"/>
      <c r="I11" s="803"/>
      <c r="J11" s="804"/>
    </row>
    <row r="12" spans="1:10" s="12" customFormat="1" x14ac:dyDescent="0.25">
      <c r="A12" s="52" t="s">
        <v>5</v>
      </c>
      <c r="B12" s="781" t="s">
        <v>94</v>
      </c>
      <c r="C12" s="781"/>
      <c r="D12" s="53" t="s">
        <v>488</v>
      </c>
      <c r="E12" s="54" t="s">
        <v>634</v>
      </c>
      <c r="F12" s="414" t="s">
        <v>269</v>
      </c>
      <c r="G12" s="55" t="s">
        <v>9</v>
      </c>
      <c r="H12" s="56" t="s">
        <v>10</v>
      </c>
      <c r="I12" s="529" t="s">
        <v>737</v>
      </c>
      <c r="J12" s="28" t="s">
        <v>11</v>
      </c>
    </row>
    <row r="13" spans="1:10" s="12" customFormat="1" x14ac:dyDescent="0.25">
      <c r="A13" s="778" t="s">
        <v>636</v>
      </c>
      <c r="B13" s="779"/>
      <c r="C13" s="779"/>
      <c r="D13" s="779"/>
      <c r="E13" s="779"/>
      <c r="F13" s="779"/>
      <c r="G13" s="779"/>
      <c r="H13" s="779"/>
      <c r="I13" s="779"/>
      <c r="J13" s="780"/>
    </row>
    <row r="14" spans="1:10" s="12" customFormat="1" x14ac:dyDescent="0.25">
      <c r="A14" s="85">
        <v>1</v>
      </c>
      <c r="B14" s="86" t="s">
        <v>67</v>
      </c>
      <c r="C14" s="101" t="s">
        <v>13</v>
      </c>
      <c r="D14" s="788" t="s">
        <v>6</v>
      </c>
      <c r="E14" s="789"/>
      <c r="F14" s="789"/>
      <c r="G14" s="789"/>
      <c r="H14" s="789"/>
      <c r="I14" s="789"/>
      <c r="J14" s="790"/>
    </row>
    <row r="15" spans="1:10" s="12" customFormat="1" x14ac:dyDescent="0.25">
      <c r="A15" s="87" t="s">
        <v>17</v>
      </c>
      <c r="B15" s="90" t="s">
        <v>610</v>
      </c>
      <c r="C15" s="91" t="s">
        <v>632</v>
      </c>
      <c r="D15" s="88" t="s">
        <v>95</v>
      </c>
      <c r="E15" s="89" t="s">
        <v>7</v>
      </c>
      <c r="F15" s="415">
        <v>1</v>
      </c>
      <c r="G15" s="776">
        <v>0</v>
      </c>
      <c r="H15" s="777"/>
      <c r="I15" s="656">
        <v>0</v>
      </c>
      <c r="J15" s="657">
        <v>0</v>
      </c>
    </row>
    <row r="16" spans="1:10" s="12" customFormat="1" x14ac:dyDescent="0.25">
      <c r="A16" s="87" t="s">
        <v>18</v>
      </c>
      <c r="B16" s="90" t="s">
        <v>610</v>
      </c>
      <c r="C16" s="91" t="s">
        <v>633</v>
      </c>
      <c r="D16" s="88" t="str">
        <f>COMPOSIÇÃO!B39</f>
        <v>CANTEIRO DE OBRAS</v>
      </c>
      <c r="E16" s="89" t="s">
        <v>7</v>
      </c>
      <c r="F16" s="415">
        <v>1</v>
      </c>
      <c r="G16" s="776">
        <v>0</v>
      </c>
      <c r="H16" s="777"/>
      <c r="I16" s="656">
        <v>0</v>
      </c>
      <c r="J16" s="657">
        <f>(F16*G16)</f>
        <v>0</v>
      </c>
    </row>
    <row r="17" spans="1:12" s="12" customFormat="1" ht="30" x14ac:dyDescent="0.25">
      <c r="A17" s="87" t="s">
        <v>85</v>
      </c>
      <c r="B17" s="90" t="s">
        <v>582</v>
      </c>
      <c r="C17" s="91">
        <v>21301</v>
      </c>
      <c r="D17" s="88" t="s">
        <v>559</v>
      </c>
      <c r="E17" s="89" t="s">
        <v>96</v>
      </c>
      <c r="F17" s="415">
        <v>14.86</v>
      </c>
      <c r="G17" s="658">
        <v>0</v>
      </c>
      <c r="H17" s="658">
        <v>0</v>
      </c>
      <c r="I17" s="659">
        <v>0</v>
      </c>
      <c r="J17" s="657">
        <f>(F17*(G17+H17)*1.2665)</f>
        <v>0</v>
      </c>
    </row>
    <row r="18" spans="1:12" s="74" customFormat="1" ht="30" x14ac:dyDescent="0.25">
      <c r="A18" s="87" t="s">
        <v>86</v>
      </c>
      <c r="B18" s="405" t="s">
        <v>852</v>
      </c>
      <c r="C18" s="366">
        <v>85424</v>
      </c>
      <c r="D18" s="367" t="s">
        <v>629</v>
      </c>
      <c r="E18" s="368" t="s">
        <v>96</v>
      </c>
      <c r="F18" s="416">
        <v>2176.5</v>
      </c>
      <c r="G18" s="794">
        <v>0</v>
      </c>
      <c r="H18" s="795"/>
      <c r="I18" s="660">
        <v>0</v>
      </c>
      <c r="J18" s="657">
        <f>(F18*G18)*1.2665</f>
        <v>0</v>
      </c>
      <c r="K18" s="12"/>
      <c r="L18" s="370"/>
    </row>
    <row r="19" spans="1:12" s="12" customFormat="1" x14ac:dyDescent="0.25">
      <c r="A19" s="87" t="s">
        <v>87</v>
      </c>
      <c r="B19" s="90" t="s">
        <v>268</v>
      </c>
      <c r="C19" s="91">
        <v>45195</v>
      </c>
      <c r="D19" s="88" t="s">
        <v>97</v>
      </c>
      <c r="E19" s="89" t="s">
        <v>98</v>
      </c>
      <c r="F19" s="415">
        <v>10</v>
      </c>
      <c r="G19" s="776">
        <v>0</v>
      </c>
      <c r="H19" s="777"/>
      <c r="I19" s="656">
        <v>0</v>
      </c>
      <c r="J19" s="657">
        <f>(F19*G19)</f>
        <v>0</v>
      </c>
    </row>
    <row r="20" spans="1:12" s="12" customFormat="1" x14ac:dyDescent="0.25">
      <c r="A20" s="87" t="s">
        <v>88</v>
      </c>
      <c r="B20" s="90" t="s">
        <v>268</v>
      </c>
      <c r="C20" s="91">
        <v>45950</v>
      </c>
      <c r="D20" s="88" t="s">
        <v>264</v>
      </c>
      <c r="E20" s="89" t="s">
        <v>2</v>
      </c>
      <c r="F20" s="415">
        <v>60</v>
      </c>
      <c r="G20" s="776">
        <v>0</v>
      </c>
      <c r="H20" s="777"/>
      <c r="I20" s="656">
        <v>0</v>
      </c>
      <c r="J20" s="657">
        <f>(F20*G20)</f>
        <v>0</v>
      </c>
    </row>
    <row r="21" spans="1:12" s="12" customFormat="1" x14ac:dyDescent="0.25">
      <c r="A21" s="87" t="s">
        <v>89</v>
      </c>
      <c r="B21" s="90" t="s">
        <v>268</v>
      </c>
      <c r="C21" s="91">
        <v>45951</v>
      </c>
      <c r="D21" s="88" t="s">
        <v>265</v>
      </c>
      <c r="E21" s="89" t="s">
        <v>2</v>
      </c>
      <c r="F21" s="415">
        <v>60</v>
      </c>
      <c r="G21" s="776">
        <v>0</v>
      </c>
      <c r="H21" s="777"/>
      <c r="I21" s="656">
        <v>0</v>
      </c>
      <c r="J21" s="657">
        <f t="shared" ref="J21" si="0">(F21*G21)</f>
        <v>0</v>
      </c>
    </row>
    <row r="22" spans="1:12" s="12" customFormat="1" x14ac:dyDescent="0.25">
      <c r="A22" s="87" t="s">
        <v>90</v>
      </c>
      <c r="B22" s="90" t="s">
        <v>268</v>
      </c>
      <c r="C22" s="93">
        <v>45952</v>
      </c>
      <c r="D22" s="92" t="s">
        <v>266</v>
      </c>
      <c r="E22" s="89" t="s">
        <v>2</v>
      </c>
      <c r="F22" s="417">
        <v>60</v>
      </c>
      <c r="G22" s="776">
        <v>0</v>
      </c>
      <c r="H22" s="777"/>
      <c r="I22" s="656">
        <v>0</v>
      </c>
      <c r="J22" s="657">
        <f>(F22*G22)</f>
        <v>0</v>
      </c>
    </row>
    <row r="23" spans="1:12" s="12" customFormat="1" x14ac:dyDescent="0.25">
      <c r="A23" s="87" t="s">
        <v>91</v>
      </c>
      <c r="B23" s="90" t="s">
        <v>268</v>
      </c>
      <c r="C23" s="93">
        <v>45801</v>
      </c>
      <c r="D23" s="92" t="s">
        <v>273</v>
      </c>
      <c r="E23" s="94" t="s">
        <v>197</v>
      </c>
      <c r="F23" s="417">
        <v>0.86</v>
      </c>
      <c r="G23" s="776">
        <v>0</v>
      </c>
      <c r="H23" s="777"/>
      <c r="I23" s="656">
        <v>0</v>
      </c>
      <c r="J23" s="657">
        <f>(F23*G23)</f>
        <v>0</v>
      </c>
    </row>
    <row r="24" spans="1:12" s="12" customFormat="1" x14ac:dyDescent="0.25">
      <c r="A24" s="87" t="s">
        <v>92</v>
      </c>
      <c r="B24" s="90" t="s">
        <v>268</v>
      </c>
      <c r="C24" s="93">
        <v>45822</v>
      </c>
      <c r="D24" s="92" t="s">
        <v>276</v>
      </c>
      <c r="E24" s="94" t="s">
        <v>197</v>
      </c>
      <c r="F24" s="417">
        <v>0.96</v>
      </c>
      <c r="G24" s="776">
        <v>0</v>
      </c>
      <c r="H24" s="777"/>
      <c r="I24" s="656">
        <v>0</v>
      </c>
      <c r="J24" s="657">
        <f>(F24*G24)</f>
        <v>0</v>
      </c>
    </row>
    <row r="25" spans="1:12" s="12" customFormat="1" x14ac:dyDescent="0.25">
      <c r="A25" s="87" t="s">
        <v>925</v>
      </c>
      <c r="B25" s="90" t="s">
        <v>268</v>
      </c>
      <c r="C25" s="93">
        <v>45301</v>
      </c>
      <c r="D25" t="s">
        <v>926</v>
      </c>
      <c r="E25" s="94" t="s">
        <v>2</v>
      </c>
      <c r="F25" s="417">
        <v>16</v>
      </c>
      <c r="G25" s="776">
        <v>0</v>
      </c>
      <c r="H25" s="777"/>
      <c r="I25" s="656">
        <v>0</v>
      </c>
      <c r="J25" s="657">
        <f>(F25*G25)</f>
        <v>0</v>
      </c>
    </row>
    <row r="26" spans="1:12" s="12" customFormat="1" ht="15.75" x14ac:dyDescent="0.25">
      <c r="A26" s="782" t="s">
        <v>0</v>
      </c>
      <c r="B26" s="783"/>
      <c r="C26" s="783"/>
      <c r="D26" s="783"/>
      <c r="E26" s="783"/>
      <c r="F26" s="783"/>
      <c r="G26" s="783"/>
      <c r="H26" s="783"/>
      <c r="I26" s="784"/>
      <c r="J26" s="661">
        <f>(SUM(J15:J25))</f>
        <v>0</v>
      </c>
    </row>
    <row r="27" spans="1:12" s="12" customFormat="1" x14ac:dyDescent="0.25">
      <c r="A27" s="65" t="s">
        <v>637</v>
      </c>
      <c r="B27" s="66"/>
      <c r="C27" s="66"/>
      <c r="D27" s="66"/>
      <c r="E27" s="66"/>
      <c r="F27" s="418"/>
      <c r="G27" s="102"/>
      <c r="H27" s="66"/>
      <c r="I27" s="530"/>
      <c r="J27" s="57"/>
    </row>
    <row r="28" spans="1:12" s="12" customFormat="1" x14ac:dyDescent="0.25">
      <c r="A28" s="95">
        <v>2</v>
      </c>
      <c r="B28" s="86" t="s">
        <v>67</v>
      </c>
      <c r="C28" s="101" t="s">
        <v>13</v>
      </c>
      <c r="D28" s="788" t="s">
        <v>6</v>
      </c>
      <c r="E28" s="789"/>
      <c r="F28" s="789"/>
      <c r="G28" s="789"/>
      <c r="H28" s="789"/>
      <c r="I28" s="789"/>
      <c r="J28" s="790"/>
    </row>
    <row r="29" spans="1:12" s="12" customFormat="1" x14ac:dyDescent="0.25">
      <c r="A29" s="97" t="s">
        <v>99</v>
      </c>
      <c r="B29" s="90" t="s">
        <v>610</v>
      </c>
      <c r="C29" s="91" t="s">
        <v>635</v>
      </c>
      <c r="D29" s="98" t="s">
        <v>585</v>
      </c>
      <c r="E29" s="97" t="s">
        <v>7</v>
      </c>
      <c r="F29" s="373">
        <v>1</v>
      </c>
      <c r="G29" s="807">
        <v>0</v>
      </c>
      <c r="H29" s="808"/>
      <c r="I29" s="662">
        <v>0</v>
      </c>
      <c r="J29" s="657">
        <f>(F29*G29)</f>
        <v>0</v>
      </c>
      <c r="K29"/>
      <c r="L29"/>
    </row>
    <row r="30" spans="1:12" s="12" customFormat="1" ht="15.75" x14ac:dyDescent="0.25">
      <c r="A30" s="782" t="s">
        <v>0</v>
      </c>
      <c r="B30" s="783"/>
      <c r="C30" s="783"/>
      <c r="D30" s="783"/>
      <c r="E30" s="783"/>
      <c r="F30" s="783"/>
      <c r="G30" s="783"/>
      <c r="H30" s="783"/>
      <c r="I30" s="784"/>
      <c r="J30" s="661">
        <f>(SUM(J29:J29))</f>
        <v>0</v>
      </c>
    </row>
    <row r="31" spans="1:12" s="12" customFormat="1" x14ac:dyDescent="0.25">
      <c r="A31" s="785" t="s">
        <v>101</v>
      </c>
      <c r="B31" s="786"/>
      <c r="C31" s="786"/>
      <c r="D31" s="786"/>
      <c r="E31" s="786"/>
      <c r="F31" s="786"/>
      <c r="G31" s="786"/>
      <c r="H31" s="786"/>
      <c r="I31" s="786"/>
      <c r="J31" s="787"/>
    </row>
    <row r="32" spans="1:12" s="12" customFormat="1" x14ac:dyDescent="0.25">
      <c r="A32" s="36">
        <v>3</v>
      </c>
      <c r="B32" s="86" t="s">
        <v>67</v>
      </c>
      <c r="C32" s="101" t="s">
        <v>13</v>
      </c>
      <c r="D32" s="788" t="s">
        <v>6</v>
      </c>
      <c r="E32" s="789"/>
      <c r="F32" s="789"/>
      <c r="G32" s="789"/>
      <c r="H32" s="789"/>
      <c r="I32" s="789"/>
      <c r="J32" s="790"/>
    </row>
    <row r="33" spans="1:10" s="12" customFormat="1" ht="30" x14ac:dyDescent="0.25">
      <c r="A33" s="402" t="s">
        <v>102</v>
      </c>
      <c r="B33" s="78" t="s">
        <v>506</v>
      </c>
      <c r="C33" s="97">
        <v>40001</v>
      </c>
      <c r="D33" s="99" t="s">
        <v>581</v>
      </c>
      <c r="E33" s="97" t="s">
        <v>96</v>
      </c>
      <c r="F33" s="373">
        <v>82922</v>
      </c>
      <c r="G33" s="805">
        <v>0</v>
      </c>
      <c r="H33" s="806"/>
      <c r="I33" s="660">
        <v>0</v>
      </c>
      <c r="J33" s="657">
        <f>(F33*G33)</f>
        <v>0</v>
      </c>
    </row>
    <row r="34" spans="1:10" s="12" customFormat="1" ht="45" x14ac:dyDescent="0.25">
      <c r="A34" s="402" t="s">
        <v>103</v>
      </c>
      <c r="B34" s="78" t="s">
        <v>582</v>
      </c>
      <c r="C34" s="372">
        <v>20107</v>
      </c>
      <c r="D34" s="99" t="s">
        <v>583</v>
      </c>
      <c r="E34" s="97" t="s">
        <v>7</v>
      </c>
      <c r="F34" s="373">
        <v>45</v>
      </c>
      <c r="G34" s="805">
        <v>0</v>
      </c>
      <c r="H34" s="806"/>
      <c r="I34" s="659">
        <v>0</v>
      </c>
      <c r="J34" s="657">
        <f>(F34*G34)*1.2665</f>
        <v>0</v>
      </c>
    </row>
    <row r="35" spans="1:10" s="12" customFormat="1" x14ac:dyDescent="0.25">
      <c r="A35" s="402" t="s">
        <v>104</v>
      </c>
      <c r="B35" s="405" t="s">
        <v>506</v>
      </c>
      <c r="C35" s="372">
        <v>40005</v>
      </c>
      <c r="D35" s="99" t="s">
        <v>648</v>
      </c>
      <c r="E35" s="97" t="s">
        <v>106</v>
      </c>
      <c r="F35" s="433">
        <v>16584.400000000001</v>
      </c>
      <c r="G35" s="805">
        <v>0</v>
      </c>
      <c r="H35" s="806"/>
      <c r="I35" s="660">
        <v>0</v>
      </c>
      <c r="J35" s="657">
        <f>(F35*G35)</f>
        <v>0</v>
      </c>
    </row>
    <row r="36" spans="1:10" s="12" customFormat="1" x14ac:dyDescent="0.25">
      <c r="A36" s="402" t="s">
        <v>105</v>
      </c>
      <c r="B36" s="78" t="s">
        <v>506</v>
      </c>
      <c r="C36" s="97">
        <v>40006</v>
      </c>
      <c r="D36" s="99" t="s">
        <v>584</v>
      </c>
      <c r="E36" s="97" t="s">
        <v>660</v>
      </c>
      <c r="F36" s="373">
        <v>116390.25</v>
      </c>
      <c r="G36" s="805">
        <v>0</v>
      </c>
      <c r="H36" s="806"/>
      <c r="I36" s="660">
        <v>0</v>
      </c>
      <c r="J36" s="657">
        <f>(F36*G36)</f>
        <v>0</v>
      </c>
    </row>
    <row r="37" spans="1:10" s="12" customFormat="1" ht="30" x14ac:dyDescent="0.25">
      <c r="A37" s="402" t="s">
        <v>107</v>
      </c>
      <c r="B37" s="405" t="s">
        <v>852</v>
      </c>
      <c r="C37" s="97">
        <v>83344</v>
      </c>
      <c r="D37" s="99" t="s">
        <v>108</v>
      </c>
      <c r="E37" s="97" t="s">
        <v>106</v>
      </c>
      <c r="F37" s="373">
        <v>21615.33</v>
      </c>
      <c r="G37" s="776">
        <v>0</v>
      </c>
      <c r="H37" s="777"/>
      <c r="I37" s="656">
        <v>0</v>
      </c>
      <c r="J37" s="657">
        <f>(F37*G37)*1.2665</f>
        <v>0</v>
      </c>
    </row>
    <row r="38" spans="1:10" s="12" customFormat="1" ht="15.75" x14ac:dyDescent="0.25">
      <c r="A38" s="782" t="s">
        <v>0</v>
      </c>
      <c r="B38" s="783"/>
      <c r="C38" s="783"/>
      <c r="D38" s="783"/>
      <c r="E38" s="783"/>
      <c r="F38" s="783"/>
      <c r="G38" s="783"/>
      <c r="H38" s="783"/>
      <c r="I38" s="784"/>
      <c r="J38" s="661">
        <f>(SUM(J33:J37))</f>
        <v>0</v>
      </c>
    </row>
    <row r="39" spans="1:10" s="12" customFormat="1" x14ac:dyDescent="0.25">
      <c r="A39" s="791" t="s">
        <v>656</v>
      </c>
      <c r="B39" s="792"/>
      <c r="C39" s="792"/>
      <c r="D39" s="792"/>
      <c r="E39" s="792"/>
      <c r="F39" s="792"/>
      <c r="G39" s="792"/>
      <c r="H39" s="792"/>
      <c r="I39" s="792"/>
      <c r="J39" s="793"/>
    </row>
    <row r="40" spans="1:10" s="12" customFormat="1" x14ac:dyDescent="0.25">
      <c r="A40" s="348">
        <v>4</v>
      </c>
      <c r="B40" s="86" t="s">
        <v>67</v>
      </c>
      <c r="C40" s="101" t="s">
        <v>13</v>
      </c>
      <c r="D40" s="788" t="s">
        <v>6</v>
      </c>
      <c r="E40" s="789"/>
      <c r="F40" s="789"/>
      <c r="G40" s="789"/>
      <c r="H40" s="789"/>
      <c r="I40" s="789"/>
      <c r="J40" s="790"/>
    </row>
    <row r="41" spans="1:10" s="12" customFormat="1" ht="30" x14ac:dyDescent="0.25">
      <c r="A41" s="95" t="s">
        <v>109</v>
      </c>
      <c r="B41" s="76" t="s">
        <v>506</v>
      </c>
      <c r="C41" s="371">
        <v>40027</v>
      </c>
      <c r="D41" s="99" t="s">
        <v>931</v>
      </c>
      <c r="E41" s="97" t="s">
        <v>106</v>
      </c>
      <c r="F41" s="373">
        <v>27895.95</v>
      </c>
      <c r="G41" s="794">
        <v>0</v>
      </c>
      <c r="H41" s="795"/>
      <c r="I41" s="656">
        <v>0</v>
      </c>
      <c r="J41" s="657">
        <f>(F41*G41)</f>
        <v>0</v>
      </c>
    </row>
    <row r="42" spans="1:10" s="12" customFormat="1" ht="30" x14ac:dyDescent="0.25">
      <c r="A42" s="95" t="s">
        <v>110</v>
      </c>
      <c r="B42" s="76" t="s">
        <v>506</v>
      </c>
      <c r="C42" s="371">
        <v>40042</v>
      </c>
      <c r="D42" s="99" t="s">
        <v>932</v>
      </c>
      <c r="E42" s="97" t="s">
        <v>106</v>
      </c>
      <c r="F42" s="373">
        <v>16272.64</v>
      </c>
      <c r="G42" s="794">
        <v>0</v>
      </c>
      <c r="H42" s="795"/>
      <c r="I42" s="656">
        <v>0</v>
      </c>
      <c r="J42" s="657">
        <f>(F42*G42)</f>
        <v>0</v>
      </c>
    </row>
    <row r="43" spans="1:10" s="12" customFormat="1" x14ac:dyDescent="0.25">
      <c r="A43" s="95" t="s">
        <v>111</v>
      </c>
      <c r="B43" s="76" t="s">
        <v>506</v>
      </c>
      <c r="C43" s="371">
        <v>40092</v>
      </c>
      <c r="D43" s="99" t="s">
        <v>782</v>
      </c>
      <c r="E43" s="97" t="s">
        <v>106</v>
      </c>
      <c r="F43" s="373">
        <v>4110.2</v>
      </c>
      <c r="G43" s="794">
        <v>0</v>
      </c>
      <c r="H43" s="795"/>
      <c r="I43" s="656">
        <v>0</v>
      </c>
      <c r="J43" s="657">
        <f>(F43*G43)</f>
        <v>0</v>
      </c>
    </row>
    <row r="44" spans="1:10" s="12" customFormat="1" x14ac:dyDescent="0.25">
      <c r="A44" s="95" t="s">
        <v>112</v>
      </c>
      <c r="B44" s="76" t="s">
        <v>506</v>
      </c>
      <c r="C44" s="371">
        <v>40097</v>
      </c>
      <c r="D44" s="99" t="s">
        <v>783</v>
      </c>
      <c r="E44" s="97" t="s">
        <v>661</v>
      </c>
      <c r="F44" s="373">
        <v>34525.699999999997</v>
      </c>
      <c r="G44" s="794">
        <v>0</v>
      </c>
      <c r="H44" s="795"/>
      <c r="I44" s="656">
        <v>0</v>
      </c>
      <c r="J44" s="657">
        <f>(F44*G44)</f>
        <v>0</v>
      </c>
    </row>
    <row r="45" spans="1:10" s="12" customFormat="1" ht="30" x14ac:dyDescent="0.25">
      <c r="A45" s="95" t="s">
        <v>651</v>
      </c>
      <c r="B45" s="76" t="s">
        <v>852</v>
      </c>
      <c r="C45" s="97">
        <v>83344</v>
      </c>
      <c r="D45" s="99" t="s">
        <v>108</v>
      </c>
      <c r="E45" s="97" t="s">
        <v>106</v>
      </c>
      <c r="F45" s="373">
        <v>30399.43</v>
      </c>
      <c r="G45" s="794">
        <v>0</v>
      </c>
      <c r="H45" s="795"/>
      <c r="I45" s="656">
        <v>0</v>
      </c>
      <c r="J45" s="657">
        <f>(F45*G45)*1.2665</f>
        <v>0</v>
      </c>
    </row>
    <row r="46" spans="1:10" s="12" customFormat="1" ht="15.75" x14ac:dyDescent="0.25">
      <c r="A46" s="782" t="s">
        <v>0</v>
      </c>
      <c r="B46" s="783"/>
      <c r="C46" s="783"/>
      <c r="D46" s="783"/>
      <c r="E46" s="783"/>
      <c r="F46" s="783"/>
      <c r="G46" s="783"/>
      <c r="H46" s="783"/>
      <c r="I46" s="784"/>
      <c r="J46" s="661">
        <f>(SUM(J41:J45))</f>
        <v>0</v>
      </c>
    </row>
    <row r="47" spans="1:10" s="12" customFormat="1" x14ac:dyDescent="0.25">
      <c r="A47" s="791" t="s">
        <v>655</v>
      </c>
      <c r="B47" s="792"/>
      <c r="C47" s="792"/>
      <c r="D47" s="792"/>
      <c r="E47" s="792"/>
      <c r="F47" s="792"/>
      <c r="G47" s="792"/>
      <c r="H47" s="792"/>
      <c r="I47" s="792"/>
      <c r="J47" s="793"/>
    </row>
    <row r="48" spans="1:10" s="12" customFormat="1" x14ac:dyDescent="0.25">
      <c r="A48" s="654">
        <v>5</v>
      </c>
      <c r="B48" s="86" t="s">
        <v>67</v>
      </c>
      <c r="C48" s="101" t="s">
        <v>13</v>
      </c>
      <c r="D48" s="788" t="s">
        <v>6</v>
      </c>
      <c r="E48" s="789"/>
      <c r="F48" s="789"/>
      <c r="G48" s="789"/>
      <c r="H48" s="789"/>
      <c r="I48" s="789"/>
      <c r="J48" s="790"/>
    </row>
    <row r="49" spans="1:11" s="12" customFormat="1" ht="30" x14ac:dyDescent="0.25">
      <c r="A49" s="85" t="s">
        <v>113</v>
      </c>
      <c r="B49" s="76" t="s">
        <v>851</v>
      </c>
      <c r="C49" s="97">
        <v>6077</v>
      </c>
      <c r="D49" s="107" t="s">
        <v>850</v>
      </c>
      <c r="E49" s="97" t="s">
        <v>106</v>
      </c>
      <c r="F49" s="655">
        <v>81526.5</v>
      </c>
      <c r="G49" s="794">
        <v>0</v>
      </c>
      <c r="H49" s="795"/>
      <c r="I49" s="660">
        <v>0</v>
      </c>
      <c r="J49" s="663">
        <f>(F49*G49)*1.2665</f>
        <v>0</v>
      </c>
    </row>
    <row r="50" spans="1:11" s="12" customFormat="1" x14ac:dyDescent="0.25">
      <c r="A50" s="85" t="s">
        <v>691</v>
      </c>
      <c r="B50" s="76" t="s">
        <v>506</v>
      </c>
      <c r="C50" s="371">
        <v>40090</v>
      </c>
      <c r="D50" s="107" t="s">
        <v>652</v>
      </c>
      <c r="E50" s="97" t="s">
        <v>106</v>
      </c>
      <c r="F50" s="421">
        <v>105984.45</v>
      </c>
      <c r="G50" s="794">
        <v>0</v>
      </c>
      <c r="H50" s="795"/>
      <c r="I50" s="660">
        <v>0</v>
      </c>
      <c r="J50" s="663">
        <f>(F50*G50)</f>
        <v>0</v>
      </c>
    </row>
    <row r="51" spans="1:11" s="12" customFormat="1" x14ac:dyDescent="0.25">
      <c r="A51" s="85" t="s">
        <v>692</v>
      </c>
      <c r="B51" s="76" t="s">
        <v>506</v>
      </c>
      <c r="C51" s="97">
        <v>40098</v>
      </c>
      <c r="D51" s="107" t="s">
        <v>653</v>
      </c>
      <c r="E51" s="97" t="s">
        <v>660</v>
      </c>
      <c r="F51" s="373">
        <v>2119689</v>
      </c>
      <c r="G51" s="794">
        <v>0</v>
      </c>
      <c r="H51" s="795"/>
      <c r="I51" s="660">
        <v>0</v>
      </c>
      <c r="J51" s="663">
        <f>(F51*G51)</f>
        <v>0</v>
      </c>
      <c r="K51" s="30"/>
    </row>
    <row r="52" spans="1:11" s="12" customFormat="1" x14ac:dyDescent="0.25">
      <c r="A52" s="85" t="s">
        <v>114</v>
      </c>
      <c r="B52" s="76" t="s">
        <v>506</v>
      </c>
      <c r="C52" s="371">
        <v>40130</v>
      </c>
      <c r="D52" s="107" t="s">
        <v>654</v>
      </c>
      <c r="E52" s="97" t="s">
        <v>96</v>
      </c>
      <c r="F52" s="655">
        <v>14029</v>
      </c>
      <c r="G52" s="794">
        <v>0</v>
      </c>
      <c r="H52" s="795"/>
      <c r="I52" s="660">
        <v>0</v>
      </c>
      <c r="J52" s="663">
        <f>(F52*G52)</f>
        <v>0</v>
      </c>
    </row>
    <row r="53" spans="1:11" s="12" customFormat="1" x14ac:dyDescent="0.25">
      <c r="A53" s="85" t="s">
        <v>878</v>
      </c>
      <c r="B53" s="76" t="s">
        <v>506</v>
      </c>
      <c r="C53" s="76">
        <v>44050</v>
      </c>
      <c r="D53" s="581" t="s">
        <v>671</v>
      </c>
      <c r="E53" s="97" t="s">
        <v>106</v>
      </c>
      <c r="F53" s="421">
        <v>105984.45</v>
      </c>
      <c r="G53" s="794">
        <v>0</v>
      </c>
      <c r="H53" s="795"/>
      <c r="I53" s="660">
        <v>0</v>
      </c>
      <c r="J53" s="663">
        <f>(F53*G53)</f>
        <v>0</v>
      </c>
    </row>
    <row r="54" spans="1:11" s="12" customFormat="1" ht="15.75" x14ac:dyDescent="0.25">
      <c r="A54" s="782" t="s">
        <v>0</v>
      </c>
      <c r="B54" s="783"/>
      <c r="C54" s="783"/>
      <c r="D54" s="783"/>
      <c r="E54" s="783"/>
      <c r="F54" s="783"/>
      <c r="G54" s="783"/>
      <c r="H54" s="783"/>
      <c r="I54" s="784"/>
      <c r="J54" s="661">
        <f>SUM(J49:J53)</f>
        <v>0</v>
      </c>
    </row>
    <row r="55" spans="1:11" s="12" customFormat="1" x14ac:dyDescent="0.25">
      <c r="A55" s="785" t="s">
        <v>657</v>
      </c>
      <c r="B55" s="786"/>
      <c r="C55" s="786"/>
      <c r="D55" s="786"/>
      <c r="E55" s="786"/>
      <c r="F55" s="786"/>
      <c r="G55" s="786"/>
      <c r="H55" s="786"/>
      <c r="I55" s="786"/>
      <c r="J55" s="787"/>
    </row>
    <row r="56" spans="1:11" s="12" customFormat="1" x14ac:dyDescent="0.25">
      <c r="A56" s="87">
        <v>6</v>
      </c>
      <c r="B56" s="86" t="s">
        <v>67</v>
      </c>
      <c r="C56" s="101" t="s">
        <v>13</v>
      </c>
      <c r="D56" s="788" t="s">
        <v>6</v>
      </c>
      <c r="E56" s="789"/>
      <c r="F56" s="789"/>
      <c r="G56" s="789"/>
      <c r="H56" s="789"/>
      <c r="I56" s="789"/>
      <c r="J56" s="790"/>
    </row>
    <row r="57" spans="1:11" s="12" customFormat="1" x14ac:dyDescent="0.25">
      <c r="A57" s="439" t="s">
        <v>115</v>
      </c>
      <c r="B57" s="440" t="s">
        <v>506</v>
      </c>
      <c r="C57" s="78">
        <v>40300</v>
      </c>
      <c r="D57" s="25" t="s">
        <v>658</v>
      </c>
      <c r="E57" s="97" t="s">
        <v>96</v>
      </c>
      <c r="F57" s="420">
        <f>CÁLCULO!H102</f>
        <v>12153.94</v>
      </c>
      <c r="G57" s="776">
        <v>0</v>
      </c>
      <c r="H57" s="777"/>
      <c r="I57" s="656">
        <v>0</v>
      </c>
      <c r="J57" s="664">
        <f>(F57*G57)</f>
        <v>0</v>
      </c>
    </row>
    <row r="58" spans="1:11" s="12" customFormat="1" x14ac:dyDescent="0.25">
      <c r="A58" s="85" t="s">
        <v>116</v>
      </c>
      <c r="B58" s="76" t="s">
        <v>506</v>
      </c>
      <c r="C58" s="371">
        <v>40305</v>
      </c>
      <c r="D58" s="581" t="s">
        <v>659</v>
      </c>
      <c r="E58" s="97" t="s">
        <v>96</v>
      </c>
      <c r="F58" s="423">
        <f>CÁLCULO!H105</f>
        <v>12153.94</v>
      </c>
      <c r="G58" s="794">
        <v>0</v>
      </c>
      <c r="H58" s="795"/>
      <c r="I58" s="656">
        <v>0</v>
      </c>
      <c r="J58" s="664">
        <f>(F58*G58)</f>
        <v>0</v>
      </c>
    </row>
    <row r="59" spans="1:11" s="12" customFormat="1" x14ac:dyDescent="0.25">
      <c r="A59" s="85">
        <v>6</v>
      </c>
      <c r="B59" s="76" t="s">
        <v>506</v>
      </c>
      <c r="C59" s="76">
        <v>44052</v>
      </c>
      <c r="D59" s="581" t="s">
        <v>560</v>
      </c>
      <c r="E59" s="97" t="s">
        <v>96</v>
      </c>
      <c r="F59" s="423">
        <f>CÁLCULO!H107</f>
        <v>12153.94</v>
      </c>
      <c r="G59" s="794">
        <v>0</v>
      </c>
      <c r="H59" s="795"/>
      <c r="I59" s="656">
        <v>0</v>
      </c>
      <c r="J59" s="664">
        <f>(F59*G59)</f>
        <v>0</v>
      </c>
    </row>
    <row r="60" spans="1:11" s="12" customFormat="1" x14ac:dyDescent="0.25">
      <c r="A60" s="85" t="s">
        <v>117</v>
      </c>
      <c r="B60" s="76" t="s">
        <v>506</v>
      </c>
      <c r="C60" s="97">
        <v>44101</v>
      </c>
      <c r="D60" s="581" t="s">
        <v>668</v>
      </c>
      <c r="E60" s="97" t="s">
        <v>106</v>
      </c>
      <c r="F60" s="373">
        <f>CÁLCULO!H109</f>
        <v>4861.5760000000009</v>
      </c>
      <c r="G60" s="794">
        <v>0</v>
      </c>
      <c r="H60" s="795"/>
      <c r="I60" s="656">
        <v>0</v>
      </c>
      <c r="J60" s="664">
        <f t="shared" ref="J60:J69" si="1">(F60*G60)</f>
        <v>0</v>
      </c>
    </row>
    <row r="61" spans="1:11" s="12" customFormat="1" x14ac:dyDescent="0.25">
      <c r="A61" s="85" t="s">
        <v>118</v>
      </c>
      <c r="B61" s="76" t="s">
        <v>506</v>
      </c>
      <c r="C61" s="76">
        <v>44102</v>
      </c>
      <c r="D61" s="581" t="s">
        <v>669</v>
      </c>
      <c r="E61" s="97" t="s">
        <v>661</v>
      </c>
      <c r="F61" s="423">
        <f>CÁLCULO!H125</f>
        <v>126400.97600000002</v>
      </c>
      <c r="G61" s="794">
        <v>0</v>
      </c>
      <c r="H61" s="795"/>
      <c r="I61" s="656">
        <v>0</v>
      </c>
      <c r="J61" s="664">
        <f>(F61*G61)</f>
        <v>0</v>
      </c>
    </row>
    <row r="62" spans="1:11" s="12" customFormat="1" x14ac:dyDescent="0.25">
      <c r="A62" s="85" t="s">
        <v>119</v>
      </c>
      <c r="B62" s="76" t="s">
        <v>506</v>
      </c>
      <c r="C62" s="76">
        <v>44150</v>
      </c>
      <c r="D62" s="581" t="s">
        <v>670</v>
      </c>
      <c r="E62" s="97" t="s">
        <v>106</v>
      </c>
      <c r="F62" s="423">
        <f>CÁLCULO!H131</f>
        <v>4861.5760000000009</v>
      </c>
      <c r="G62" s="794">
        <v>0</v>
      </c>
      <c r="H62" s="795"/>
      <c r="I62" s="656">
        <v>0</v>
      </c>
      <c r="J62" s="664">
        <f>(F62*G62)</f>
        <v>0</v>
      </c>
    </row>
    <row r="63" spans="1:11" s="12" customFormat="1" x14ac:dyDescent="0.25">
      <c r="A63" s="439" t="s">
        <v>121</v>
      </c>
      <c r="B63" s="440" t="s">
        <v>506</v>
      </c>
      <c r="C63" s="440">
        <v>44050</v>
      </c>
      <c r="D63" s="443" t="s">
        <v>671</v>
      </c>
      <c r="E63" s="440" t="s">
        <v>106</v>
      </c>
      <c r="F63" s="478">
        <f>CÁLCULO!H140</f>
        <v>4861.5760000000009</v>
      </c>
      <c r="G63" s="776">
        <v>0</v>
      </c>
      <c r="H63" s="777"/>
      <c r="I63" s="656">
        <v>0</v>
      </c>
      <c r="J63" s="664">
        <f t="shared" si="1"/>
        <v>0</v>
      </c>
    </row>
    <row r="64" spans="1:11" s="12" customFormat="1" x14ac:dyDescent="0.25">
      <c r="A64" s="85" t="s">
        <v>283</v>
      </c>
      <c r="B64" s="76" t="s">
        <v>506</v>
      </c>
      <c r="C64" s="76">
        <v>44200</v>
      </c>
      <c r="D64" s="581" t="s">
        <v>672</v>
      </c>
      <c r="E64" s="76" t="s">
        <v>96</v>
      </c>
      <c r="F64" s="423">
        <f>CÁLCULO!H148</f>
        <v>12153.94</v>
      </c>
      <c r="G64" s="794">
        <v>0</v>
      </c>
      <c r="H64" s="795"/>
      <c r="I64" s="660">
        <v>0</v>
      </c>
      <c r="J64" s="665">
        <f>(F64*G64)</f>
        <v>0</v>
      </c>
    </row>
    <row r="65" spans="1:10" s="12" customFormat="1" x14ac:dyDescent="0.25">
      <c r="A65" s="85" t="s">
        <v>284</v>
      </c>
      <c r="B65" s="76" t="s">
        <v>506</v>
      </c>
      <c r="C65" s="76">
        <v>44201</v>
      </c>
      <c r="D65" s="581" t="s">
        <v>673</v>
      </c>
      <c r="E65" s="76" t="s">
        <v>96</v>
      </c>
      <c r="F65" s="423">
        <f>CÁLCULO!H156</f>
        <v>12153.94</v>
      </c>
      <c r="G65" s="794">
        <v>0</v>
      </c>
      <c r="H65" s="795"/>
      <c r="I65" s="660">
        <v>0</v>
      </c>
      <c r="J65" s="665">
        <f t="shared" si="1"/>
        <v>0</v>
      </c>
    </row>
    <row r="66" spans="1:10" s="12" customFormat="1" x14ac:dyDescent="0.25">
      <c r="A66" s="85" t="s">
        <v>285</v>
      </c>
      <c r="B66" s="76" t="s">
        <v>506</v>
      </c>
      <c r="C66" s="76">
        <v>44204</v>
      </c>
      <c r="D66" s="581" t="s">
        <v>561</v>
      </c>
      <c r="E66" s="76" t="s">
        <v>106</v>
      </c>
      <c r="F66" s="423">
        <f>CÁLCULO!H164</f>
        <v>607.69700000000012</v>
      </c>
      <c r="G66" s="794">
        <v>0</v>
      </c>
      <c r="H66" s="795"/>
      <c r="I66" s="660">
        <v>0</v>
      </c>
      <c r="J66" s="665">
        <f>(F66*G66)</f>
        <v>0</v>
      </c>
    </row>
    <row r="67" spans="1:10" s="12" customFormat="1" x14ac:dyDescent="0.25">
      <c r="A67" s="85" t="s">
        <v>286</v>
      </c>
      <c r="B67" s="76" t="s">
        <v>506</v>
      </c>
      <c r="C67" s="76">
        <v>40480</v>
      </c>
      <c r="D67" s="581" t="s">
        <v>674</v>
      </c>
      <c r="E67" s="76" t="s">
        <v>677</v>
      </c>
      <c r="F67" s="423">
        <f>CÁLCULO!H172</f>
        <v>14.584728</v>
      </c>
      <c r="G67" s="794">
        <v>0</v>
      </c>
      <c r="H67" s="795"/>
      <c r="I67" s="660">
        <v>0</v>
      </c>
      <c r="J67" s="665">
        <f>(F67*G67)</f>
        <v>0</v>
      </c>
    </row>
    <row r="68" spans="1:10" s="12" customFormat="1" x14ac:dyDescent="0.25">
      <c r="A68" s="85" t="s">
        <v>287</v>
      </c>
      <c r="B68" s="76" t="s">
        <v>506</v>
      </c>
      <c r="C68" s="76">
        <v>40490</v>
      </c>
      <c r="D68" s="581" t="s">
        <v>675</v>
      </c>
      <c r="E68" s="76" t="s">
        <v>677</v>
      </c>
      <c r="F68" s="423">
        <f>CÁLCULO!H175</f>
        <v>6.0769700000000002</v>
      </c>
      <c r="G68" s="794">
        <v>0</v>
      </c>
      <c r="H68" s="795"/>
      <c r="I68" s="660">
        <v>0</v>
      </c>
      <c r="J68" s="665">
        <f>(F68*G68)</f>
        <v>0</v>
      </c>
    </row>
    <row r="69" spans="1:10" s="12" customFormat="1" x14ac:dyDescent="0.25">
      <c r="A69" s="85" t="s">
        <v>288</v>
      </c>
      <c r="B69" s="76" t="s">
        <v>506</v>
      </c>
      <c r="C69" s="76">
        <v>40520</v>
      </c>
      <c r="D69" s="581" t="s">
        <v>676</v>
      </c>
      <c r="E69" s="76" t="s">
        <v>677</v>
      </c>
      <c r="F69" s="423">
        <f>CÁLCULO!H178</f>
        <v>75.840585600000011</v>
      </c>
      <c r="G69" s="794">
        <v>0</v>
      </c>
      <c r="H69" s="795"/>
      <c r="I69" s="660">
        <v>0</v>
      </c>
      <c r="J69" s="665">
        <f t="shared" si="1"/>
        <v>0</v>
      </c>
    </row>
    <row r="70" spans="1:10" s="12" customFormat="1" x14ac:dyDescent="0.25">
      <c r="A70" s="85" t="s">
        <v>289</v>
      </c>
      <c r="B70" s="76" t="s">
        <v>506</v>
      </c>
      <c r="C70" s="76">
        <v>44300</v>
      </c>
      <c r="D70" s="581" t="s">
        <v>562</v>
      </c>
      <c r="E70" s="76" t="s">
        <v>132</v>
      </c>
      <c r="F70" s="423">
        <f>CÁLCULO!H181</f>
        <v>53076.255980000009</v>
      </c>
      <c r="G70" s="794">
        <v>0</v>
      </c>
      <c r="H70" s="795"/>
      <c r="I70" s="660">
        <v>0</v>
      </c>
      <c r="J70" s="665">
        <f>(F70*G70)</f>
        <v>0</v>
      </c>
    </row>
    <row r="71" spans="1:10" s="12" customFormat="1" ht="17.25" customHeight="1" x14ac:dyDescent="0.25">
      <c r="A71" s="85" t="s">
        <v>290</v>
      </c>
      <c r="B71" s="76" t="s">
        <v>582</v>
      </c>
      <c r="C71" s="76">
        <v>220104</v>
      </c>
      <c r="D71" s="581" t="s">
        <v>678</v>
      </c>
      <c r="E71" s="76" t="s">
        <v>96</v>
      </c>
      <c r="F71" s="423">
        <f>CÁLCULO!H188</f>
        <v>10234.65</v>
      </c>
      <c r="G71" s="666">
        <v>0</v>
      </c>
      <c r="H71" s="666">
        <v>0</v>
      </c>
      <c r="I71" s="667">
        <v>0</v>
      </c>
      <c r="J71" s="665">
        <f>(F71*(G71+H71))*1.2665</f>
        <v>0</v>
      </c>
    </row>
    <row r="72" spans="1:10" s="12" customFormat="1" ht="30" x14ac:dyDescent="0.25">
      <c r="A72" s="85" t="s">
        <v>612</v>
      </c>
      <c r="B72" s="76" t="s">
        <v>582</v>
      </c>
      <c r="C72" s="76">
        <v>221126</v>
      </c>
      <c r="D72" s="581" t="s">
        <v>563</v>
      </c>
      <c r="E72" s="76" t="s">
        <v>96</v>
      </c>
      <c r="F72" s="423">
        <f>CÁLCULO!H204</f>
        <v>152.89599999999999</v>
      </c>
      <c r="G72" s="666">
        <v>0</v>
      </c>
      <c r="H72" s="666">
        <v>0</v>
      </c>
      <c r="I72" s="667">
        <v>0</v>
      </c>
      <c r="J72" s="665">
        <f>(F72*(G72+H72))*1.2665</f>
        <v>0</v>
      </c>
    </row>
    <row r="73" spans="1:10" s="12" customFormat="1" x14ac:dyDescent="0.25">
      <c r="A73" s="85" t="s">
        <v>291</v>
      </c>
      <c r="B73" s="76" t="s">
        <v>852</v>
      </c>
      <c r="C73" s="76" t="s">
        <v>133</v>
      </c>
      <c r="D73" s="581" t="s">
        <v>134</v>
      </c>
      <c r="E73" s="76" t="s">
        <v>96</v>
      </c>
      <c r="F73" s="653">
        <f>CÁLCULO!H208</f>
        <v>126400.97600000002</v>
      </c>
      <c r="G73" s="794">
        <v>0</v>
      </c>
      <c r="H73" s="795"/>
      <c r="I73" s="660">
        <v>0</v>
      </c>
      <c r="J73" s="665">
        <f t="shared" ref="J73:J84" si="2">(F73*G73)*1.2665</f>
        <v>0</v>
      </c>
    </row>
    <row r="74" spans="1:10" s="12" customFormat="1" x14ac:dyDescent="0.25">
      <c r="A74" s="85" t="s">
        <v>292</v>
      </c>
      <c r="B74" s="76" t="s">
        <v>852</v>
      </c>
      <c r="C74" s="76" t="s">
        <v>135</v>
      </c>
      <c r="D74" s="581" t="s">
        <v>136</v>
      </c>
      <c r="E74" s="76" t="s">
        <v>106</v>
      </c>
      <c r="F74" s="653">
        <f>CÁLCULO!H210</f>
        <v>4861.5760000000009</v>
      </c>
      <c r="G74" s="794">
        <v>0</v>
      </c>
      <c r="H74" s="795"/>
      <c r="I74" s="660">
        <v>0</v>
      </c>
      <c r="J74" s="665">
        <f t="shared" si="2"/>
        <v>0</v>
      </c>
    </row>
    <row r="75" spans="1:10" s="12" customFormat="1" x14ac:dyDescent="0.25">
      <c r="A75" s="85" t="s">
        <v>293</v>
      </c>
      <c r="B75" s="76" t="s">
        <v>852</v>
      </c>
      <c r="C75" s="76" t="s">
        <v>333</v>
      </c>
      <c r="D75" s="581" t="s">
        <v>334</v>
      </c>
      <c r="E75" s="76" t="s">
        <v>7</v>
      </c>
      <c r="F75" s="653">
        <f>CÁLCULO!H212</f>
        <v>26</v>
      </c>
      <c r="G75" s="794">
        <v>0</v>
      </c>
      <c r="H75" s="795"/>
      <c r="I75" s="660">
        <v>0</v>
      </c>
      <c r="J75" s="665">
        <f t="shared" si="2"/>
        <v>0</v>
      </c>
    </row>
    <row r="76" spans="1:10" s="12" customFormat="1" x14ac:dyDescent="0.25">
      <c r="A76" s="85" t="s">
        <v>339</v>
      </c>
      <c r="B76" s="76" t="s">
        <v>852</v>
      </c>
      <c r="C76" s="76" t="s">
        <v>335</v>
      </c>
      <c r="D76" s="581" t="s">
        <v>336</v>
      </c>
      <c r="E76" s="76" t="s">
        <v>7</v>
      </c>
      <c r="F76" s="653">
        <f>CÁLCULO!H219</f>
        <v>27</v>
      </c>
      <c r="G76" s="794">
        <v>0</v>
      </c>
      <c r="H76" s="795"/>
      <c r="I76" s="660">
        <v>0</v>
      </c>
      <c r="J76" s="665">
        <f t="shared" si="2"/>
        <v>0</v>
      </c>
    </row>
    <row r="77" spans="1:10" s="12" customFormat="1" x14ac:dyDescent="0.25">
      <c r="A77" s="439" t="s">
        <v>340</v>
      </c>
      <c r="B77" s="405" t="s">
        <v>852</v>
      </c>
      <c r="C77" s="78" t="s">
        <v>337</v>
      </c>
      <c r="D77" s="443" t="s">
        <v>338</v>
      </c>
      <c r="E77" s="78" t="s">
        <v>7</v>
      </c>
      <c r="F77" s="476">
        <f>CÁLCULO!H226</f>
        <v>27</v>
      </c>
      <c r="G77" s="776">
        <v>0</v>
      </c>
      <c r="H77" s="777"/>
      <c r="I77" s="656">
        <v>0</v>
      </c>
      <c r="J77" s="664">
        <f t="shared" si="2"/>
        <v>0</v>
      </c>
    </row>
    <row r="78" spans="1:10" s="12" customFormat="1" ht="30" x14ac:dyDescent="0.25">
      <c r="A78" s="439" t="s">
        <v>341</v>
      </c>
      <c r="B78" s="405" t="s">
        <v>852</v>
      </c>
      <c r="C78" s="78" t="s">
        <v>120</v>
      </c>
      <c r="D78" s="443" t="s">
        <v>625</v>
      </c>
      <c r="E78" s="78" t="s">
        <v>7</v>
      </c>
      <c r="F78" s="476">
        <f>CÁLCULO!H233</f>
        <v>94</v>
      </c>
      <c r="G78" s="776">
        <v>0</v>
      </c>
      <c r="H78" s="777"/>
      <c r="I78" s="656">
        <v>0</v>
      </c>
      <c r="J78" s="664">
        <f t="shared" si="2"/>
        <v>0</v>
      </c>
    </row>
    <row r="79" spans="1:10" s="12" customFormat="1" ht="30" x14ac:dyDescent="0.25">
      <c r="A79" s="439" t="s">
        <v>342</v>
      </c>
      <c r="B79" s="405" t="s">
        <v>852</v>
      </c>
      <c r="C79" s="78" t="s">
        <v>122</v>
      </c>
      <c r="D79" s="443" t="s">
        <v>357</v>
      </c>
      <c r="E79" s="78" t="s">
        <v>7</v>
      </c>
      <c r="F79" s="476">
        <f>CÁLCULO!H240</f>
        <v>26</v>
      </c>
      <c r="G79" s="776">
        <v>0</v>
      </c>
      <c r="H79" s="777"/>
      <c r="I79" s="656">
        <v>0</v>
      </c>
      <c r="J79" s="664">
        <f t="shared" si="2"/>
        <v>0</v>
      </c>
    </row>
    <row r="80" spans="1:10" s="12" customFormat="1" ht="30" x14ac:dyDescent="0.25">
      <c r="A80" s="439" t="s">
        <v>343</v>
      </c>
      <c r="B80" s="405" t="s">
        <v>852</v>
      </c>
      <c r="C80" s="78" t="s">
        <v>344</v>
      </c>
      <c r="D80" s="443" t="s">
        <v>345</v>
      </c>
      <c r="E80" s="78" t="s">
        <v>7</v>
      </c>
      <c r="F80" s="476">
        <f>CÁLCULO!H245</f>
        <v>28</v>
      </c>
      <c r="G80" s="776">
        <v>0</v>
      </c>
      <c r="H80" s="777"/>
      <c r="I80" s="656">
        <v>0</v>
      </c>
      <c r="J80" s="664">
        <f t="shared" si="2"/>
        <v>0</v>
      </c>
    </row>
    <row r="81" spans="1:10" s="12" customFormat="1" ht="30" x14ac:dyDescent="0.25">
      <c r="A81" s="439" t="s">
        <v>356</v>
      </c>
      <c r="B81" s="405" t="s">
        <v>852</v>
      </c>
      <c r="C81" s="78" t="s">
        <v>346</v>
      </c>
      <c r="D81" s="443" t="s">
        <v>347</v>
      </c>
      <c r="E81" s="78" t="s">
        <v>7</v>
      </c>
      <c r="F81" s="476">
        <f>CÁLCULO!H252</f>
        <v>39</v>
      </c>
      <c r="G81" s="776">
        <v>0</v>
      </c>
      <c r="H81" s="777"/>
      <c r="I81" s="656">
        <v>0</v>
      </c>
      <c r="J81" s="664">
        <f t="shared" si="2"/>
        <v>0</v>
      </c>
    </row>
    <row r="82" spans="1:10" x14ac:dyDescent="0.25">
      <c r="A82" s="439" t="s">
        <v>362</v>
      </c>
      <c r="B82" s="405" t="s">
        <v>852</v>
      </c>
      <c r="C82" s="78" t="s">
        <v>348</v>
      </c>
      <c r="D82" s="441" t="s">
        <v>349</v>
      </c>
      <c r="E82" s="78" t="s">
        <v>7</v>
      </c>
      <c r="F82" s="477">
        <f>CÁLCULO!H257</f>
        <v>10</v>
      </c>
      <c r="G82" s="776">
        <v>0</v>
      </c>
      <c r="H82" s="777"/>
      <c r="I82" s="656">
        <v>0</v>
      </c>
      <c r="J82" s="664">
        <f t="shared" si="2"/>
        <v>0</v>
      </c>
    </row>
    <row r="83" spans="1:10" s="12" customFormat="1" x14ac:dyDescent="0.25">
      <c r="A83" s="439" t="s">
        <v>693</v>
      </c>
      <c r="B83" s="405" t="s">
        <v>852</v>
      </c>
      <c r="C83" s="78" t="s">
        <v>350</v>
      </c>
      <c r="D83" s="443" t="s">
        <v>351</v>
      </c>
      <c r="E83" s="78" t="s">
        <v>7</v>
      </c>
      <c r="F83" s="476">
        <f>CÁLCULO!H260</f>
        <v>13</v>
      </c>
      <c r="G83" s="776">
        <v>0</v>
      </c>
      <c r="H83" s="777"/>
      <c r="I83" s="656">
        <v>0</v>
      </c>
      <c r="J83" s="664">
        <f t="shared" si="2"/>
        <v>0</v>
      </c>
    </row>
    <row r="84" spans="1:10" s="12" customFormat="1" x14ac:dyDescent="0.25">
      <c r="A84" s="439" t="s">
        <v>694</v>
      </c>
      <c r="B84" s="405" t="s">
        <v>852</v>
      </c>
      <c r="C84" s="78" t="s">
        <v>360</v>
      </c>
      <c r="D84" s="443" t="s">
        <v>361</v>
      </c>
      <c r="E84" s="78" t="s">
        <v>7</v>
      </c>
      <c r="F84" s="476">
        <f>CÁLCULO!H263</f>
        <v>3</v>
      </c>
      <c r="G84" s="776">
        <v>0</v>
      </c>
      <c r="H84" s="777"/>
      <c r="I84" s="656">
        <v>0</v>
      </c>
      <c r="J84" s="664">
        <f t="shared" si="2"/>
        <v>0</v>
      </c>
    </row>
    <row r="85" spans="1:10" s="12" customFormat="1" ht="15.75" x14ac:dyDescent="0.25">
      <c r="A85" s="782" t="s">
        <v>0</v>
      </c>
      <c r="B85" s="783"/>
      <c r="C85" s="783"/>
      <c r="D85" s="783"/>
      <c r="E85" s="783"/>
      <c r="F85" s="783"/>
      <c r="G85" s="783"/>
      <c r="H85" s="783"/>
      <c r="I85" s="784"/>
      <c r="J85" s="661">
        <f>SUM(J57:J84)</f>
        <v>0</v>
      </c>
    </row>
    <row r="86" spans="1:10" s="12" customFormat="1" x14ac:dyDescent="0.25">
      <c r="A86" s="785" t="s">
        <v>1023</v>
      </c>
      <c r="B86" s="786"/>
      <c r="C86" s="786"/>
      <c r="D86" s="786"/>
      <c r="E86" s="786"/>
      <c r="F86" s="786"/>
      <c r="G86" s="786"/>
      <c r="H86" s="786"/>
      <c r="I86" s="786"/>
      <c r="J86" s="787"/>
    </row>
    <row r="87" spans="1:10" s="12" customFormat="1" x14ac:dyDescent="0.25">
      <c r="A87" s="35">
        <v>7</v>
      </c>
      <c r="B87" s="86" t="s">
        <v>67</v>
      </c>
      <c r="C87" s="101" t="s">
        <v>13</v>
      </c>
      <c r="D87" s="788" t="s">
        <v>6</v>
      </c>
      <c r="E87" s="789"/>
      <c r="F87" s="789"/>
      <c r="G87" s="789"/>
      <c r="H87" s="789"/>
      <c r="I87" s="789"/>
      <c r="J87" s="790"/>
    </row>
    <row r="88" spans="1:10" s="12" customFormat="1" x14ac:dyDescent="0.25">
      <c r="A88" s="402" t="s">
        <v>123</v>
      </c>
      <c r="B88" s="76" t="s">
        <v>506</v>
      </c>
      <c r="C88" s="96">
        <v>47023</v>
      </c>
      <c r="D88" s="580" t="s">
        <v>836</v>
      </c>
      <c r="E88" s="97" t="s">
        <v>106</v>
      </c>
      <c r="F88" s="478">
        <f>CÁLCULO!H267</f>
        <v>847.5</v>
      </c>
      <c r="G88" s="776">
        <v>0</v>
      </c>
      <c r="H88" s="777"/>
      <c r="I88" s="656">
        <v>0</v>
      </c>
      <c r="J88" s="664">
        <f>(F88*G88)</f>
        <v>0</v>
      </c>
    </row>
    <row r="89" spans="1:10" s="12" customFormat="1" x14ac:dyDescent="0.25">
      <c r="A89" s="95" t="s">
        <v>124</v>
      </c>
      <c r="B89" s="76" t="s">
        <v>506</v>
      </c>
      <c r="C89" s="97">
        <v>45580</v>
      </c>
      <c r="D89" s="107" t="s">
        <v>679</v>
      </c>
      <c r="E89" s="97" t="s">
        <v>106</v>
      </c>
      <c r="F89" s="373">
        <f>CÁLCULO!H272</f>
        <v>113</v>
      </c>
      <c r="G89" s="794">
        <v>0</v>
      </c>
      <c r="H89" s="795"/>
      <c r="I89" s="660">
        <v>0</v>
      </c>
      <c r="J89" s="665">
        <f>(F89*G89)</f>
        <v>0</v>
      </c>
    </row>
    <row r="90" spans="1:10" s="12" customFormat="1" x14ac:dyDescent="0.25">
      <c r="A90" s="95" t="s">
        <v>125</v>
      </c>
      <c r="B90" s="76" t="s">
        <v>506</v>
      </c>
      <c r="C90" s="97">
        <v>45595</v>
      </c>
      <c r="D90" s="107" t="s">
        <v>680</v>
      </c>
      <c r="E90" s="97" t="s">
        <v>96</v>
      </c>
      <c r="F90" s="373">
        <f>CÁLCULO!H277</f>
        <v>1695</v>
      </c>
      <c r="G90" s="794">
        <v>0</v>
      </c>
      <c r="H90" s="795"/>
      <c r="I90" s="660">
        <v>0</v>
      </c>
      <c r="J90" s="665">
        <f>(F90*G90)</f>
        <v>0</v>
      </c>
    </row>
    <row r="91" spans="1:10" s="12" customFormat="1" x14ac:dyDescent="0.25">
      <c r="A91" s="95" t="s">
        <v>126</v>
      </c>
      <c r="B91" s="76" t="s">
        <v>506</v>
      </c>
      <c r="C91" s="76">
        <v>45445</v>
      </c>
      <c r="D91" s="107" t="s">
        <v>682</v>
      </c>
      <c r="E91" s="97" t="s">
        <v>2</v>
      </c>
      <c r="F91" s="423">
        <f>CÁLCULO!H280</f>
        <v>565</v>
      </c>
      <c r="G91" s="794">
        <v>0</v>
      </c>
      <c r="H91" s="795"/>
      <c r="I91" s="660">
        <v>0</v>
      </c>
      <c r="J91" s="665">
        <f>(F91*G91)</f>
        <v>0</v>
      </c>
    </row>
    <row r="92" spans="1:10" s="12" customFormat="1" x14ac:dyDescent="0.25">
      <c r="A92" s="95" t="s">
        <v>613</v>
      </c>
      <c r="B92" s="76" t="s">
        <v>852</v>
      </c>
      <c r="C92" s="371">
        <v>79482</v>
      </c>
      <c r="D92" s="580" t="s">
        <v>837</v>
      </c>
      <c r="E92" s="97" t="s">
        <v>106</v>
      </c>
      <c r="F92" s="421">
        <f>CÁLCULO!H283</f>
        <v>574.83100000000002</v>
      </c>
      <c r="G92" s="794">
        <v>0</v>
      </c>
      <c r="H92" s="795"/>
      <c r="I92" s="668">
        <v>0</v>
      </c>
      <c r="J92" s="665">
        <f>((G92+H92)*F92)*1.2665</f>
        <v>0</v>
      </c>
    </row>
    <row r="93" spans="1:10" s="12" customFormat="1" x14ac:dyDescent="0.25">
      <c r="A93" s="95" t="s">
        <v>127</v>
      </c>
      <c r="B93" s="76" t="s">
        <v>506</v>
      </c>
      <c r="C93" s="371">
        <v>45205</v>
      </c>
      <c r="D93" s="580" t="s">
        <v>772</v>
      </c>
      <c r="E93" s="97" t="s">
        <v>751</v>
      </c>
      <c r="F93" s="421">
        <f>CÁLCULO!H289</f>
        <v>22119.496880000002</v>
      </c>
      <c r="G93" s="794">
        <v>0</v>
      </c>
      <c r="H93" s="795"/>
      <c r="I93" s="668">
        <v>0</v>
      </c>
      <c r="J93" s="665">
        <f>((G93+H93)*F93)</f>
        <v>0</v>
      </c>
    </row>
    <row r="94" spans="1:10" s="12" customFormat="1" x14ac:dyDescent="0.25">
      <c r="A94" s="95" t="s">
        <v>128</v>
      </c>
      <c r="B94" s="76" t="s">
        <v>506</v>
      </c>
      <c r="C94" s="97">
        <v>45435</v>
      </c>
      <c r="D94" s="107" t="s">
        <v>681</v>
      </c>
      <c r="E94" s="97" t="s">
        <v>106</v>
      </c>
      <c r="F94" s="373">
        <f>CÁLCULO!H296</f>
        <v>687.83100000000002</v>
      </c>
      <c r="G94" s="794">
        <v>0</v>
      </c>
      <c r="H94" s="795"/>
      <c r="I94" s="660">
        <v>0</v>
      </c>
      <c r="J94" s="665">
        <f t="shared" ref="J94:J100" si="3">(F94*G94)</f>
        <v>0</v>
      </c>
    </row>
    <row r="95" spans="1:10" s="12" customFormat="1" x14ac:dyDescent="0.25">
      <c r="A95" s="402" t="s">
        <v>129</v>
      </c>
      <c r="B95" s="440" t="s">
        <v>506</v>
      </c>
      <c r="C95" s="78">
        <v>45480</v>
      </c>
      <c r="D95" s="26" t="s">
        <v>683</v>
      </c>
      <c r="E95" s="97" t="s">
        <v>179</v>
      </c>
      <c r="F95" s="420">
        <f>CÁLCULO!H300</f>
        <v>8</v>
      </c>
      <c r="G95" s="776">
        <v>0</v>
      </c>
      <c r="H95" s="777"/>
      <c r="I95" s="656">
        <v>0</v>
      </c>
      <c r="J95" s="664">
        <f t="shared" si="3"/>
        <v>0</v>
      </c>
    </row>
    <row r="96" spans="1:10" s="12" customFormat="1" x14ac:dyDescent="0.25">
      <c r="A96" s="402" t="s">
        <v>130</v>
      </c>
      <c r="B96" s="440" t="s">
        <v>506</v>
      </c>
      <c r="C96" s="78">
        <v>45485</v>
      </c>
      <c r="D96" s="26" t="s">
        <v>684</v>
      </c>
      <c r="E96" s="97" t="s">
        <v>2</v>
      </c>
      <c r="F96" s="420">
        <f>CÁLCULO!H302</f>
        <v>5.6</v>
      </c>
      <c r="G96" s="776">
        <v>0</v>
      </c>
      <c r="H96" s="777"/>
      <c r="I96" s="656">
        <v>0</v>
      </c>
      <c r="J96" s="664">
        <f t="shared" si="3"/>
        <v>0</v>
      </c>
    </row>
    <row r="97" spans="1:10" s="12" customFormat="1" x14ac:dyDescent="0.25">
      <c r="A97" s="402" t="s">
        <v>131</v>
      </c>
      <c r="B97" s="78" t="s">
        <v>506</v>
      </c>
      <c r="C97" s="78">
        <v>41876</v>
      </c>
      <c r="D97" s="26" t="s">
        <v>950</v>
      </c>
      <c r="E97" s="97" t="s">
        <v>7</v>
      </c>
      <c r="F97" s="420">
        <f>CÁLCULO!H306</f>
        <v>24</v>
      </c>
      <c r="G97" s="776">
        <v>0</v>
      </c>
      <c r="H97" s="777"/>
      <c r="I97" s="656">
        <v>0</v>
      </c>
      <c r="J97" s="664">
        <f t="shared" si="3"/>
        <v>0</v>
      </c>
    </row>
    <row r="98" spans="1:10" s="12" customFormat="1" x14ac:dyDescent="0.25">
      <c r="A98" s="402" t="s">
        <v>882</v>
      </c>
      <c r="B98" s="405" t="s">
        <v>506</v>
      </c>
      <c r="C98" s="405">
        <v>41881</v>
      </c>
      <c r="D98" s="26" t="s">
        <v>951</v>
      </c>
      <c r="E98" s="97" t="s">
        <v>7</v>
      </c>
      <c r="F98" s="420">
        <f>CÁLCULO!H309</f>
        <v>2</v>
      </c>
      <c r="G98" s="776">
        <v>0</v>
      </c>
      <c r="H98" s="777"/>
      <c r="I98" s="656">
        <v>0</v>
      </c>
      <c r="J98" s="664">
        <f t="shared" si="3"/>
        <v>0</v>
      </c>
    </row>
    <row r="99" spans="1:10" s="12" customFormat="1" x14ac:dyDescent="0.25">
      <c r="A99" s="402" t="s">
        <v>883</v>
      </c>
      <c r="B99" s="78" t="s">
        <v>506</v>
      </c>
      <c r="C99" s="78">
        <v>41332</v>
      </c>
      <c r="D99" s="26" t="s">
        <v>564</v>
      </c>
      <c r="E99" s="97" t="s">
        <v>2</v>
      </c>
      <c r="F99" s="420">
        <f>CÁLCULO!H310</f>
        <v>1362</v>
      </c>
      <c r="G99" s="776">
        <v>0</v>
      </c>
      <c r="H99" s="777">
        <v>25.84</v>
      </c>
      <c r="I99" s="656">
        <v>0</v>
      </c>
      <c r="J99" s="664">
        <f t="shared" si="3"/>
        <v>0</v>
      </c>
    </row>
    <row r="100" spans="1:10" s="12" customFormat="1" x14ac:dyDescent="0.25">
      <c r="A100" s="402" t="s">
        <v>953</v>
      </c>
      <c r="B100" s="78" t="s">
        <v>506</v>
      </c>
      <c r="C100" s="78">
        <v>41334</v>
      </c>
      <c r="D100" s="26" t="s">
        <v>565</v>
      </c>
      <c r="E100" s="97" t="s">
        <v>2</v>
      </c>
      <c r="F100" s="420">
        <f>CÁLCULO!H316</f>
        <v>1731</v>
      </c>
      <c r="G100" s="776">
        <v>0</v>
      </c>
      <c r="H100" s="777">
        <v>20.52</v>
      </c>
      <c r="I100" s="656">
        <v>0</v>
      </c>
      <c r="J100" s="664">
        <f t="shared" si="3"/>
        <v>0</v>
      </c>
    </row>
    <row r="101" spans="1:10" s="12" customFormat="1" ht="15.75" x14ac:dyDescent="0.25">
      <c r="A101" s="782" t="s">
        <v>0</v>
      </c>
      <c r="B101" s="783"/>
      <c r="C101" s="783"/>
      <c r="D101" s="783"/>
      <c r="E101" s="783"/>
      <c r="F101" s="783"/>
      <c r="G101" s="783"/>
      <c r="H101" s="783"/>
      <c r="I101" s="784"/>
      <c r="J101" s="661">
        <f>(SUM(J88:J100))</f>
        <v>0</v>
      </c>
    </row>
    <row r="102" spans="1:10" s="12" customFormat="1" x14ac:dyDescent="0.25">
      <c r="A102" s="785" t="s">
        <v>1022</v>
      </c>
      <c r="B102" s="786"/>
      <c r="C102" s="786"/>
      <c r="D102" s="786"/>
      <c r="E102" s="786"/>
      <c r="F102" s="786"/>
      <c r="G102" s="786"/>
      <c r="H102" s="786"/>
      <c r="I102" s="786"/>
      <c r="J102" s="787"/>
    </row>
    <row r="103" spans="1:10" s="12" customFormat="1" x14ac:dyDescent="0.25">
      <c r="A103" s="35">
        <v>8</v>
      </c>
      <c r="B103" s="86" t="s">
        <v>67</v>
      </c>
      <c r="C103" s="101" t="s">
        <v>13</v>
      </c>
      <c r="D103" s="788" t="s">
        <v>6</v>
      </c>
      <c r="E103" s="789"/>
      <c r="F103" s="789"/>
      <c r="G103" s="789"/>
      <c r="H103" s="789"/>
      <c r="I103" s="789"/>
      <c r="J103" s="790"/>
    </row>
    <row r="104" spans="1:10" s="12" customFormat="1" x14ac:dyDescent="0.25">
      <c r="A104" s="87" t="s">
        <v>137</v>
      </c>
      <c r="B104" s="78" t="s">
        <v>506</v>
      </c>
      <c r="C104" s="78">
        <v>40815</v>
      </c>
      <c r="D104" s="26" t="s">
        <v>566</v>
      </c>
      <c r="E104" s="97" t="s">
        <v>96</v>
      </c>
      <c r="F104" s="420">
        <f>CÁLCULO!H327</f>
        <v>411.14840000000004</v>
      </c>
      <c r="G104" s="776">
        <v>0</v>
      </c>
      <c r="H104" s="777">
        <v>25.63</v>
      </c>
      <c r="I104" s="656">
        <v>0</v>
      </c>
      <c r="J104" s="664">
        <f>(F104*G104)</f>
        <v>0</v>
      </c>
    </row>
    <row r="105" spans="1:10" s="12" customFormat="1" x14ac:dyDescent="0.25">
      <c r="A105" s="87" t="s">
        <v>138</v>
      </c>
      <c r="B105" s="405" t="s">
        <v>506</v>
      </c>
      <c r="C105" s="78">
        <v>45220</v>
      </c>
      <c r="D105" s="26" t="s">
        <v>685</v>
      </c>
      <c r="E105" s="97" t="s">
        <v>144</v>
      </c>
      <c r="F105" s="420">
        <f>CÁLCULO!H341</f>
        <v>1237.2</v>
      </c>
      <c r="G105" s="776">
        <v>0</v>
      </c>
      <c r="H105" s="777">
        <v>25.63</v>
      </c>
      <c r="I105" s="656">
        <v>0</v>
      </c>
      <c r="J105" s="664">
        <f>(F105*G105)</f>
        <v>0</v>
      </c>
    </row>
    <row r="106" spans="1:10" s="12" customFormat="1" x14ac:dyDescent="0.25">
      <c r="A106" s="87" t="s">
        <v>139</v>
      </c>
      <c r="B106" s="405" t="s">
        <v>852</v>
      </c>
      <c r="C106" s="94" t="s">
        <v>146</v>
      </c>
      <c r="D106" s="92" t="s">
        <v>147</v>
      </c>
      <c r="E106" s="94" t="s">
        <v>7</v>
      </c>
      <c r="F106" s="417">
        <f>CÁLCULO!H346</f>
        <v>4</v>
      </c>
      <c r="G106" s="776">
        <v>0</v>
      </c>
      <c r="H106" s="777"/>
      <c r="I106" s="656">
        <v>0</v>
      </c>
      <c r="J106" s="664">
        <f>(F106*G106)*1.2665</f>
        <v>0</v>
      </c>
    </row>
    <row r="107" spans="1:10" s="12" customFormat="1" x14ac:dyDescent="0.25">
      <c r="A107" s="87" t="s">
        <v>140</v>
      </c>
      <c r="B107" s="78" t="s">
        <v>567</v>
      </c>
      <c r="C107" s="78">
        <v>40856</v>
      </c>
      <c r="D107" s="26" t="s">
        <v>568</v>
      </c>
      <c r="E107" s="97" t="s">
        <v>96</v>
      </c>
      <c r="F107" s="420">
        <f>CÁLCULO!H347</f>
        <v>81.11</v>
      </c>
      <c r="G107" s="776">
        <v>0</v>
      </c>
      <c r="H107" s="777">
        <v>516.35</v>
      </c>
      <c r="I107" s="656">
        <v>0</v>
      </c>
      <c r="J107" s="664">
        <f>(F107*G107)</f>
        <v>0</v>
      </c>
    </row>
    <row r="108" spans="1:10" s="12" customFormat="1" x14ac:dyDescent="0.25">
      <c r="A108" s="87" t="s">
        <v>141</v>
      </c>
      <c r="B108" s="405" t="s">
        <v>567</v>
      </c>
      <c r="C108" s="405">
        <v>40830</v>
      </c>
      <c r="D108" s="26" t="s">
        <v>686</v>
      </c>
      <c r="E108" s="97" t="s">
        <v>7</v>
      </c>
      <c r="F108" s="478">
        <f>CÁLCULO!H349</f>
        <v>866</v>
      </c>
      <c r="G108" s="776">
        <v>0</v>
      </c>
      <c r="H108" s="777">
        <v>516.35</v>
      </c>
      <c r="I108" s="656">
        <v>0</v>
      </c>
      <c r="J108" s="664">
        <f>(F108*G108)</f>
        <v>0</v>
      </c>
    </row>
    <row r="109" spans="1:10" s="12" customFormat="1" x14ac:dyDescent="0.25">
      <c r="A109" s="87" t="s">
        <v>688</v>
      </c>
      <c r="B109" s="405" t="s">
        <v>567</v>
      </c>
      <c r="C109" s="78">
        <v>40840</v>
      </c>
      <c r="D109" s="26" t="s">
        <v>687</v>
      </c>
      <c r="E109" s="97" t="s">
        <v>7</v>
      </c>
      <c r="F109" s="478">
        <f>CÁLCULO!H351</f>
        <v>154</v>
      </c>
      <c r="G109" s="776">
        <v>0</v>
      </c>
      <c r="H109" s="777">
        <v>516.35</v>
      </c>
      <c r="I109" s="656">
        <v>0</v>
      </c>
      <c r="J109" s="664">
        <f>(F109*G109)</f>
        <v>0</v>
      </c>
    </row>
    <row r="110" spans="1:10" s="12" customFormat="1" ht="15.75" x14ac:dyDescent="0.25">
      <c r="A110" s="782" t="s">
        <v>0</v>
      </c>
      <c r="B110" s="783"/>
      <c r="C110" s="783"/>
      <c r="D110" s="783"/>
      <c r="E110" s="783"/>
      <c r="F110" s="783"/>
      <c r="G110" s="783"/>
      <c r="H110" s="783"/>
      <c r="I110" s="784"/>
      <c r="J110" s="661">
        <f>(SUM(J104:J109))</f>
        <v>0</v>
      </c>
    </row>
    <row r="111" spans="1:10" s="12" customFormat="1" x14ac:dyDescent="0.25">
      <c r="A111" s="785" t="s">
        <v>1021</v>
      </c>
      <c r="B111" s="786"/>
      <c r="C111" s="786"/>
      <c r="D111" s="786"/>
      <c r="E111" s="786"/>
      <c r="F111" s="786"/>
      <c r="G111" s="786"/>
      <c r="H111" s="786"/>
      <c r="I111" s="786"/>
      <c r="J111" s="787"/>
    </row>
    <row r="112" spans="1:10" s="12" customFormat="1" x14ac:dyDescent="0.25">
      <c r="A112" s="652">
        <v>9</v>
      </c>
      <c r="B112" s="86" t="s">
        <v>67</v>
      </c>
      <c r="C112" s="101" t="s">
        <v>13</v>
      </c>
      <c r="D112" s="788" t="s">
        <v>6</v>
      </c>
      <c r="E112" s="789"/>
      <c r="F112" s="789"/>
      <c r="G112" s="789"/>
      <c r="H112" s="789"/>
      <c r="I112" s="789"/>
      <c r="J112" s="790"/>
    </row>
    <row r="113" spans="1:12" s="12" customFormat="1" x14ac:dyDescent="0.25">
      <c r="A113" s="85" t="s">
        <v>143</v>
      </c>
      <c r="B113" s="76" t="s">
        <v>886</v>
      </c>
      <c r="C113" s="76">
        <v>2306124</v>
      </c>
      <c r="D113" s="107" t="s">
        <v>484</v>
      </c>
      <c r="E113" s="97" t="s">
        <v>2</v>
      </c>
      <c r="F113" s="423">
        <f>CÁLCULO!H354</f>
        <v>720</v>
      </c>
      <c r="G113" s="794">
        <v>0</v>
      </c>
      <c r="H113" s="795"/>
      <c r="I113" s="660">
        <v>0</v>
      </c>
      <c r="J113" s="665">
        <f>(F113*G113)*1.2665</f>
        <v>0</v>
      </c>
    </row>
    <row r="114" spans="1:12" s="12" customFormat="1" x14ac:dyDescent="0.25">
      <c r="A114" s="85" t="s">
        <v>716</v>
      </c>
      <c r="B114" s="76" t="s">
        <v>506</v>
      </c>
      <c r="C114" s="76">
        <v>47022</v>
      </c>
      <c r="D114" s="107" t="s">
        <v>888</v>
      </c>
      <c r="E114" s="97" t="s">
        <v>106</v>
      </c>
      <c r="F114" s="423">
        <f>CÁLCULO!H361</f>
        <v>52.415999999999997</v>
      </c>
      <c r="G114" s="794">
        <v>0</v>
      </c>
      <c r="H114" s="795">
        <v>516.35</v>
      </c>
      <c r="I114" s="660">
        <v>0</v>
      </c>
      <c r="J114" s="665">
        <f t="shared" ref="J114:J121" si="4">(F114*G114)</f>
        <v>0</v>
      </c>
    </row>
    <row r="115" spans="1:12" s="12" customFormat="1" ht="30" x14ac:dyDescent="0.25">
      <c r="A115" s="85" t="s">
        <v>145</v>
      </c>
      <c r="B115" s="76" t="s">
        <v>506</v>
      </c>
      <c r="C115" s="76">
        <v>51009</v>
      </c>
      <c r="D115" s="107" t="s">
        <v>713</v>
      </c>
      <c r="E115" s="97" t="s">
        <v>96</v>
      </c>
      <c r="F115" s="423">
        <f>CÁLCULO!H364</f>
        <v>305.76000000000005</v>
      </c>
      <c r="G115" s="794">
        <v>0</v>
      </c>
      <c r="H115" s="795">
        <v>516.35</v>
      </c>
      <c r="I115" s="660">
        <v>0</v>
      </c>
      <c r="J115" s="665">
        <f t="shared" si="4"/>
        <v>0</v>
      </c>
    </row>
    <row r="116" spans="1:12" s="12" customFormat="1" x14ac:dyDescent="0.25">
      <c r="A116" s="85" t="s">
        <v>148</v>
      </c>
      <c r="B116" s="76" t="s">
        <v>506</v>
      </c>
      <c r="C116" s="76">
        <v>45042</v>
      </c>
      <c r="D116" s="107" t="s">
        <v>714</v>
      </c>
      <c r="E116" s="97" t="s">
        <v>106</v>
      </c>
      <c r="F116" s="423">
        <f>CÁLCULO!H370</f>
        <v>59.50559999999998</v>
      </c>
      <c r="G116" s="794">
        <v>0</v>
      </c>
      <c r="H116" s="795">
        <v>516.35</v>
      </c>
      <c r="I116" s="660">
        <v>0</v>
      </c>
      <c r="J116" s="665">
        <f t="shared" si="4"/>
        <v>0</v>
      </c>
    </row>
    <row r="117" spans="1:12" s="12" customFormat="1" x14ac:dyDescent="0.25">
      <c r="A117" s="85" t="s">
        <v>149</v>
      </c>
      <c r="B117" s="76" t="s">
        <v>506</v>
      </c>
      <c r="C117" s="76">
        <v>45055</v>
      </c>
      <c r="D117" s="107" t="s">
        <v>715</v>
      </c>
      <c r="E117" s="97" t="s">
        <v>96</v>
      </c>
      <c r="F117" s="423">
        <f>CÁLCULO!H373</f>
        <v>102</v>
      </c>
      <c r="G117" s="794">
        <v>0</v>
      </c>
      <c r="H117" s="795">
        <v>516.35</v>
      </c>
      <c r="I117" s="660">
        <v>0</v>
      </c>
      <c r="J117" s="665">
        <f t="shared" si="4"/>
        <v>0</v>
      </c>
    </row>
    <row r="118" spans="1:12" s="12" customFormat="1" ht="30" x14ac:dyDescent="0.25">
      <c r="A118" s="85" t="s">
        <v>294</v>
      </c>
      <c r="B118" s="76" t="s">
        <v>506</v>
      </c>
      <c r="C118" s="76">
        <v>45110</v>
      </c>
      <c r="D118" s="107" t="s">
        <v>720</v>
      </c>
      <c r="E118" s="97" t="s">
        <v>96</v>
      </c>
      <c r="F118" s="423">
        <f>CÁLCULO!H376</f>
        <v>439.59999999999997</v>
      </c>
      <c r="G118" s="794">
        <v>0</v>
      </c>
      <c r="H118" s="795">
        <v>516.35</v>
      </c>
      <c r="I118" s="660">
        <v>0</v>
      </c>
      <c r="J118" s="665">
        <f t="shared" si="4"/>
        <v>0</v>
      </c>
    </row>
    <row r="119" spans="1:12" s="12" customFormat="1" ht="30" x14ac:dyDescent="0.25">
      <c r="A119" s="85" t="s">
        <v>295</v>
      </c>
      <c r="B119" s="76" t="s">
        <v>506</v>
      </c>
      <c r="C119" s="76">
        <v>45120</v>
      </c>
      <c r="D119" s="107" t="s">
        <v>719</v>
      </c>
      <c r="E119" s="97" t="s">
        <v>68</v>
      </c>
      <c r="F119" s="423">
        <f>CÁLCULO!H383</f>
        <v>21421.019999999997</v>
      </c>
      <c r="G119" s="794">
        <v>0</v>
      </c>
      <c r="H119" s="795">
        <v>516.35</v>
      </c>
      <c r="I119" s="660">
        <v>0</v>
      </c>
      <c r="J119" s="665">
        <f t="shared" si="4"/>
        <v>0</v>
      </c>
      <c r="L119" s="39"/>
    </row>
    <row r="120" spans="1:12" s="12" customFormat="1" x14ac:dyDescent="0.25">
      <c r="A120" s="85" t="s">
        <v>296</v>
      </c>
      <c r="B120" s="76" t="s">
        <v>506</v>
      </c>
      <c r="C120" s="76">
        <v>45131</v>
      </c>
      <c r="D120" s="107" t="s">
        <v>727</v>
      </c>
      <c r="E120" s="97" t="s">
        <v>106</v>
      </c>
      <c r="F120" s="423">
        <f>CÁLCULO!H398</f>
        <v>502.68</v>
      </c>
      <c r="G120" s="794">
        <v>0</v>
      </c>
      <c r="H120" s="795">
        <v>516.35</v>
      </c>
      <c r="I120" s="660">
        <v>0</v>
      </c>
      <c r="J120" s="665">
        <f t="shared" si="4"/>
        <v>0</v>
      </c>
    </row>
    <row r="121" spans="1:12" s="12" customFormat="1" x14ac:dyDescent="0.25">
      <c r="A121" s="85" t="s">
        <v>297</v>
      </c>
      <c r="B121" s="76" t="s">
        <v>610</v>
      </c>
      <c r="C121" s="97" t="s">
        <v>729</v>
      </c>
      <c r="D121" s="99" t="s">
        <v>730</v>
      </c>
      <c r="E121" s="97" t="s">
        <v>179</v>
      </c>
      <c r="F121" s="373">
        <f>CÁLCULO!H401</f>
        <v>38</v>
      </c>
      <c r="G121" s="794">
        <v>0</v>
      </c>
      <c r="H121" s="795">
        <v>516.35</v>
      </c>
      <c r="I121" s="660">
        <v>0</v>
      </c>
      <c r="J121" s="665">
        <f t="shared" si="4"/>
        <v>0</v>
      </c>
    </row>
    <row r="122" spans="1:12" s="12" customFormat="1" ht="30" x14ac:dyDescent="0.25">
      <c r="A122" s="85" t="s">
        <v>298</v>
      </c>
      <c r="B122" s="76" t="s">
        <v>852</v>
      </c>
      <c r="C122" s="97">
        <v>34483</v>
      </c>
      <c r="D122" s="99" t="s">
        <v>420</v>
      </c>
      <c r="E122" s="97" t="s">
        <v>106</v>
      </c>
      <c r="F122" s="373">
        <f>CÁLCULO!H404</f>
        <v>155.24</v>
      </c>
      <c r="G122" s="794">
        <v>0</v>
      </c>
      <c r="H122" s="795"/>
      <c r="I122" s="660">
        <v>0</v>
      </c>
      <c r="J122" s="665">
        <f>(F122*G122)*1.2665</f>
        <v>0</v>
      </c>
    </row>
    <row r="123" spans="1:12" s="12" customFormat="1" ht="30" x14ac:dyDescent="0.25">
      <c r="A123" s="85" t="s">
        <v>299</v>
      </c>
      <c r="B123" s="76" t="s">
        <v>506</v>
      </c>
      <c r="C123" s="97">
        <v>45145</v>
      </c>
      <c r="D123" s="99" t="s">
        <v>748</v>
      </c>
      <c r="E123" s="97" t="s">
        <v>96</v>
      </c>
      <c r="F123" s="373">
        <f>CÁLCULO!H407</f>
        <v>94.199999999999989</v>
      </c>
      <c r="G123" s="794">
        <v>0</v>
      </c>
      <c r="H123" s="795">
        <v>516.35</v>
      </c>
      <c r="I123" s="660">
        <v>0</v>
      </c>
      <c r="J123" s="665">
        <f>(F123*G123)</f>
        <v>0</v>
      </c>
    </row>
    <row r="124" spans="1:12" s="12" customFormat="1" ht="30" x14ac:dyDescent="0.25">
      <c r="A124" s="439" t="s">
        <v>300</v>
      </c>
      <c r="B124" s="440" t="s">
        <v>582</v>
      </c>
      <c r="C124" s="403">
        <v>60800</v>
      </c>
      <c r="D124" s="441" t="s">
        <v>734</v>
      </c>
      <c r="E124" s="97" t="s">
        <v>106</v>
      </c>
      <c r="F124" s="417">
        <f>CÁLCULO!H413</f>
        <v>717.42560000000003</v>
      </c>
      <c r="G124" s="669">
        <v>0</v>
      </c>
      <c r="H124" s="669">
        <v>0</v>
      </c>
      <c r="I124" s="670">
        <v>0</v>
      </c>
      <c r="J124" s="664">
        <f>(F124*(G124+H124))*1.2665</f>
        <v>0</v>
      </c>
    </row>
    <row r="125" spans="1:12" s="12" customFormat="1" ht="15.75" customHeight="1" x14ac:dyDescent="0.25">
      <c r="A125" s="439" t="s">
        <v>301</v>
      </c>
      <c r="B125" s="76" t="s">
        <v>506</v>
      </c>
      <c r="C125" s="97">
        <v>45206</v>
      </c>
      <c r="D125" s="99" t="s">
        <v>741</v>
      </c>
      <c r="E125" s="97" t="s">
        <v>751</v>
      </c>
      <c r="F125" s="417">
        <f>CÁLCULO!H419</f>
        <v>50445</v>
      </c>
      <c r="G125" s="776">
        <v>0</v>
      </c>
      <c r="H125" s="777"/>
      <c r="I125" s="656">
        <v>0</v>
      </c>
      <c r="J125" s="664">
        <f>(F125*G125)</f>
        <v>0</v>
      </c>
    </row>
    <row r="126" spans="1:12" s="12" customFormat="1" x14ac:dyDescent="0.25">
      <c r="A126" s="439" t="s">
        <v>302</v>
      </c>
      <c r="B126" s="76" t="s">
        <v>506</v>
      </c>
      <c r="C126" s="440">
        <v>45135</v>
      </c>
      <c r="D126" s="99" t="s">
        <v>764</v>
      </c>
      <c r="E126" s="94" t="s">
        <v>1</v>
      </c>
      <c r="F126" s="478">
        <f>CÁLCULO!H425</f>
        <v>657.92000000000007</v>
      </c>
      <c r="G126" s="776">
        <v>0</v>
      </c>
      <c r="H126" s="777"/>
      <c r="I126" s="656">
        <v>0</v>
      </c>
      <c r="J126" s="664">
        <f>(F126*G126)</f>
        <v>0</v>
      </c>
    </row>
    <row r="127" spans="1:12" s="12" customFormat="1" ht="32.25" customHeight="1" x14ac:dyDescent="0.25">
      <c r="A127" s="439" t="s">
        <v>303</v>
      </c>
      <c r="B127" s="440" t="s">
        <v>889</v>
      </c>
      <c r="C127" s="440">
        <v>3806424</v>
      </c>
      <c r="D127" s="528" t="s">
        <v>485</v>
      </c>
      <c r="E127" s="94" t="s">
        <v>7</v>
      </c>
      <c r="F127" s="478">
        <f>CÁLCULO!H428</f>
        <v>38</v>
      </c>
      <c r="G127" s="819">
        <v>0</v>
      </c>
      <c r="H127" s="820"/>
      <c r="I127" s="671">
        <v>0</v>
      </c>
      <c r="J127" s="664">
        <f>(F127*G127)*1.2665</f>
        <v>0</v>
      </c>
    </row>
    <row r="128" spans="1:12" s="12" customFormat="1" x14ac:dyDescent="0.25">
      <c r="A128" s="439" t="s">
        <v>304</v>
      </c>
      <c r="B128" s="76" t="s">
        <v>582</v>
      </c>
      <c r="C128" s="78">
        <v>180314</v>
      </c>
      <c r="D128" s="26" t="s">
        <v>574</v>
      </c>
      <c r="E128" s="94" t="s">
        <v>96</v>
      </c>
      <c r="F128" s="420">
        <f>CÁLCULO!H431</f>
        <v>28</v>
      </c>
      <c r="G128" s="658">
        <v>0</v>
      </c>
      <c r="H128" s="658">
        <v>0</v>
      </c>
      <c r="I128" s="672">
        <v>0</v>
      </c>
      <c r="J128" s="664">
        <f>((G128+H128)*F128)*1.2665</f>
        <v>0</v>
      </c>
    </row>
    <row r="129" spans="1:11" s="12" customFormat="1" x14ac:dyDescent="0.25">
      <c r="A129" s="439" t="s">
        <v>305</v>
      </c>
      <c r="B129" s="76" t="s">
        <v>582</v>
      </c>
      <c r="C129" s="78">
        <v>261009</v>
      </c>
      <c r="D129" s="26" t="s">
        <v>575</v>
      </c>
      <c r="E129" s="97" t="s">
        <v>96</v>
      </c>
      <c r="F129" s="420">
        <f>CÁLCULO!H434</f>
        <v>123.20000000000002</v>
      </c>
      <c r="G129" s="658">
        <v>0</v>
      </c>
      <c r="H129" s="658">
        <v>0</v>
      </c>
      <c r="I129" s="672">
        <v>0</v>
      </c>
      <c r="J129" s="664">
        <f>((G129+H129)*F129)*1.2665</f>
        <v>0</v>
      </c>
    </row>
    <row r="130" spans="1:11" s="12" customFormat="1" x14ac:dyDescent="0.25">
      <c r="A130" s="439" t="s">
        <v>306</v>
      </c>
      <c r="B130" s="440" t="s">
        <v>852</v>
      </c>
      <c r="C130" s="440" t="s">
        <v>386</v>
      </c>
      <c r="D130" s="441" t="s">
        <v>387</v>
      </c>
      <c r="E130" s="94" t="s">
        <v>7</v>
      </c>
      <c r="F130" s="478">
        <f>CÁLCULO!H437</f>
        <v>391</v>
      </c>
      <c r="G130" s="776">
        <v>0</v>
      </c>
      <c r="H130" s="777"/>
      <c r="I130" s="671">
        <v>0</v>
      </c>
      <c r="J130" s="664">
        <f>(F130*G130)*1.2665</f>
        <v>0</v>
      </c>
    </row>
    <row r="131" spans="1:11" s="12" customFormat="1" x14ac:dyDescent="0.25">
      <c r="A131" s="439" t="s">
        <v>695</v>
      </c>
      <c r="B131" s="76" t="s">
        <v>506</v>
      </c>
      <c r="C131" s="440">
        <v>45235</v>
      </c>
      <c r="D131" s="441" t="s">
        <v>758</v>
      </c>
      <c r="E131" s="94" t="s">
        <v>68</v>
      </c>
      <c r="F131" s="478">
        <f>CÁLCULO!H439</f>
        <v>168.91000000000003</v>
      </c>
      <c r="G131" s="776">
        <v>0</v>
      </c>
      <c r="H131" s="777"/>
      <c r="I131" s="671">
        <v>0</v>
      </c>
      <c r="J131" s="664">
        <f>(F131*G131)</f>
        <v>0</v>
      </c>
    </row>
    <row r="132" spans="1:11" s="12" customFormat="1" ht="15.75" x14ac:dyDescent="0.25">
      <c r="A132" s="782" t="s">
        <v>0</v>
      </c>
      <c r="B132" s="783"/>
      <c r="C132" s="783"/>
      <c r="D132" s="783"/>
      <c r="E132" s="783"/>
      <c r="F132" s="783"/>
      <c r="G132" s="783"/>
      <c r="H132" s="783"/>
      <c r="I132" s="784"/>
      <c r="J132" s="661">
        <f>(SUM(J113:J131))</f>
        <v>0</v>
      </c>
      <c r="K132" s="9"/>
    </row>
    <row r="133" spans="1:11" s="12" customFormat="1" x14ac:dyDescent="0.25">
      <c r="A133" s="785" t="s">
        <v>1020</v>
      </c>
      <c r="B133" s="786"/>
      <c r="C133" s="786"/>
      <c r="D133" s="786"/>
      <c r="E133" s="786"/>
      <c r="F133" s="786"/>
      <c r="G133" s="786"/>
      <c r="H133" s="786"/>
      <c r="I133" s="786"/>
      <c r="J133" s="787"/>
    </row>
    <row r="134" spans="1:11" s="12" customFormat="1" x14ac:dyDescent="0.25">
      <c r="A134" s="35">
        <v>10</v>
      </c>
      <c r="B134" s="86" t="s">
        <v>67</v>
      </c>
      <c r="C134" s="101" t="s">
        <v>13</v>
      </c>
      <c r="D134" s="788" t="s">
        <v>6</v>
      </c>
      <c r="E134" s="789"/>
      <c r="F134" s="789"/>
      <c r="G134" s="789"/>
      <c r="H134" s="789"/>
      <c r="I134" s="789"/>
      <c r="J134" s="790"/>
    </row>
    <row r="135" spans="1:11" s="12" customFormat="1" x14ac:dyDescent="0.25">
      <c r="A135" s="95" t="s">
        <v>150</v>
      </c>
      <c r="B135" s="76" t="s">
        <v>506</v>
      </c>
      <c r="C135" s="371">
        <v>41295</v>
      </c>
      <c r="D135" s="26" t="s">
        <v>958</v>
      </c>
      <c r="E135" s="97" t="s">
        <v>106</v>
      </c>
      <c r="F135" s="421">
        <f>CÁLCULO!H448</f>
        <v>7084</v>
      </c>
      <c r="G135" s="776">
        <v>0</v>
      </c>
      <c r="H135" s="777"/>
      <c r="I135" s="671">
        <v>0</v>
      </c>
      <c r="J135" s="664">
        <f>(F135*G135)</f>
        <v>0</v>
      </c>
    </row>
    <row r="136" spans="1:11" s="12" customFormat="1" x14ac:dyDescent="0.25">
      <c r="A136" s="95" t="s">
        <v>151</v>
      </c>
      <c r="B136" s="76" t="s">
        <v>506</v>
      </c>
      <c r="C136" s="371">
        <v>45585</v>
      </c>
      <c r="D136" s="26" t="s">
        <v>763</v>
      </c>
      <c r="E136" s="97" t="s">
        <v>106</v>
      </c>
      <c r="F136" s="421">
        <f>CÁLCULO!H451</f>
        <v>2502.6</v>
      </c>
      <c r="G136" s="776">
        <v>0</v>
      </c>
      <c r="H136" s="777"/>
      <c r="I136" s="671">
        <v>0</v>
      </c>
      <c r="J136" s="664">
        <f>(F136*G136)</f>
        <v>0</v>
      </c>
    </row>
    <row r="137" spans="1:11" s="12" customFormat="1" ht="15" customHeight="1" x14ac:dyDescent="0.25">
      <c r="A137" s="95" t="s">
        <v>152</v>
      </c>
      <c r="B137" s="76" t="s">
        <v>582</v>
      </c>
      <c r="C137" s="96">
        <v>220050</v>
      </c>
      <c r="D137" s="26" t="s">
        <v>766</v>
      </c>
      <c r="E137" s="97" t="s">
        <v>96</v>
      </c>
      <c r="F137" s="419">
        <f>CÁLCULO!H456</f>
        <v>5005.2</v>
      </c>
      <c r="G137" s="658">
        <v>0</v>
      </c>
      <c r="H137" s="658">
        <v>0</v>
      </c>
      <c r="I137" s="672">
        <v>0</v>
      </c>
      <c r="J137" s="664">
        <f>((G137+H137)*F137)*1.2665</f>
        <v>0</v>
      </c>
    </row>
    <row r="138" spans="1:11" s="12" customFormat="1" x14ac:dyDescent="0.25">
      <c r="A138" s="95" t="s">
        <v>153</v>
      </c>
      <c r="B138" s="76" t="s">
        <v>582</v>
      </c>
      <c r="C138" s="76">
        <v>60525</v>
      </c>
      <c r="D138" s="107" t="s">
        <v>573</v>
      </c>
      <c r="E138" s="97" t="s">
        <v>142</v>
      </c>
      <c r="F138" s="421">
        <f>CÁLCULO!H460</f>
        <v>2819.0939999999996</v>
      </c>
      <c r="G138" s="673">
        <v>0</v>
      </c>
      <c r="H138" s="673">
        <v>0</v>
      </c>
      <c r="I138" s="668">
        <v>0</v>
      </c>
      <c r="J138" s="665">
        <f>((G138+H138)*F138)*1.2665</f>
        <v>0</v>
      </c>
    </row>
    <row r="139" spans="1:11" s="12" customFormat="1" ht="30" x14ac:dyDescent="0.25">
      <c r="A139" s="95" t="s">
        <v>154</v>
      </c>
      <c r="B139" s="440" t="s">
        <v>582</v>
      </c>
      <c r="C139" s="403">
        <v>60800</v>
      </c>
      <c r="D139" s="441" t="s">
        <v>734</v>
      </c>
      <c r="E139" s="94" t="s">
        <v>106</v>
      </c>
      <c r="F139" s="442">
        <f>CÁLCULO!H466</f>
        <v>2922.4848775981518</v>
      </c>
      <c r="G139" s="658">
        <v>0</v>
      </c>
      <c r="H139" s="658">
        <v>0</v>
      </c>
      <c r="I139" s="672">
        <v>0</v>
      </c>
      <c r="J139" s="664">
        <f>((G139+H139)*F139)*1.2665</f>
        <v>0</v>
      </c>
    </row>
    <row r="140" spans="1:11" s="12" customFormat="1" x14ac:dyDescent="0.25">
      <c r="A140" s="95" t="s">
        <v>155</v>
      </c>
      <c r="B140" s="440" t="s">
        <v>582</v>
      </c>
      <c r="C140" s="78">
        <v>60210</v>
      </c>
      <c r="D140" s="441" t="s">
        <v>770</v>
      </c>
      <c r="E140" s="97" t="s">
        <v>96</v>
      </c>
      <c r="F140" s="419">
        <f>CÁLCULO!H470</f>
        <v>3727.7599999999998</v>
      </c>
      <c r="G140" s="658">
        <v>0</v>
      </c>
      <c r="H140" s="658">
        <v>0</v>
      </c>
      <c r="I140" s="672">
        <v>0</v>
      </c>
      <c r="J140" s="664">
        <f>((G140+H140)*F140)*1.2665</f>
        <v>0</v>
      </c>
    </row>
    <row r="141" spans="1:11" s="12" customFormat="1" x14ac:dyDescent="0.25">
      <c r="A141" s="95" t="s">
        <v>156</v>
      </c>
      <c r="B141" s="76" t="s">
        <v>506</v>
      </c>
      <c r="C141" s="371">
        <v>45575</v>
      </c>
      <c r="D141" s="107" t="s">
        <v>580</v>
      </c>
      <c r="E141" s="97" t="s">
        <v>96</v>
      </c>
      <c r="F141" s="421">
        <f>CÁLCULO!H475</f>
        <v>10010.4</v>
      </c>
      <c r="G141" s="776">
        <v>0</v>
      </c>
      <c r="H141" s="777"/>
      <c r="I141" s="668">
        <v>0</v>
      </c>
      <c r="J141" s="665">
        <f>(F141*G141)</f>
        <v>0</v>
      </c>
    </row>
    <row r="142" spans="1:11" s="12" customFormat="1" x14ac:dyDescent="0.25">
      <c r="A142" s="95" t="s">
        <v>157</v>
      </c>
      <c r="B142" s="78" t="s">
        <v>506</v>
      </c>
      <c r="C142" s="96">
        <v>41446</v>
      </c>
      <c r="D142" s="26" t="s">
        <v>771</v>
      </c>
      <c r="E142" s="97" t="s">
        <v>2</v>
      </c>
      <c r="F142" s="419">
        <f>CÁLCULO!H481</f>
        <v>2064</v>
      </c>
      <c r="G142" s="776">
        <v>0</v>
      </c>
      <c r="H142" s="777"/>
      <c r="I142" s="672">
        <v>0</v>
      </c>
      <c r="J142" s="664">
        <f>(F142*G142)</f>
        <v>0</v>
      </c>
    </row>
    <row r="143" spans="1:11" s="12" customFormat="1" x14ac:dyDescent="0.25">
      <c r="A143" s="95" t="s">
        <v>158</v>
      </c>
      <c r="B143" s="440" t="s">
        <v>506</v>
      </c>
      <c r="C143" s="403">
        <v>41302</v>
      </c>
      <c r="D143" s="26" t="s">
        <v>576</v>
      </c>
      <c r="E143" s="94" t="s">
        <v>106</v>
      </c>
      <c r="F143" s="442">
        <f>CÁLCULO!H485</f>
        <v>1001.04</v>
      </c>
      <c r="G143" s="776">
        <v>0</v>
      </c>
      <c r="H143" s="777"/>
      <c r="I143" s="672">
        <v>0</v>
      </c>
      <c r="J143" s="664">
        <f>(F143*G143)</f>
        <v>0</v>
      </c>
    </row>
    <row r="144" spans="1:11" s="12" customFormat="1" x14ac:dyDescent="0.25">
      <c r="A144" s="95" t="s">
        <v>159</v>
      </c>
      <c r="B144" s="78" t="s">
        <v>506</v>
      </c>
      <c r="C144" s="96">
        <v>45205</v>
      </c>
      <c r="D144" s="26" t="s">
        <v>772</v>
      </c>
      <c r="E144" s="97" t="s">
        <v>751</v>
      </c>
      <c r="F144" s="419">
        <f>CÁLCULO!H490</f>
        <v>662818.1</v>
      </c>
      <c r="G144" s="776">
        <v>0</v>
      </c>
      <c r="H144" s="777"/>
      <c r="I144" s="672">
        <v>0</v>
      </c>
      <c r="J144" s="664">
        <f>(F144*G144)</f>
        <v>0</v>
      </c>
    </row>
    <row r="145" spans="1:12" s="12" customFormat="1" x14ac:dyDescent="0.25">
      <c r="A145" s="95" t="s">
        <v>160</v>
      </c>
      <c r="B145" s="78" t="s">
        <v>506</v>
      </c>
      <c r="C145" s="96">
        <v>45545</v>
      </c>
      <c r="D145" s="26" t="s">
        <v>577</v>
      </c>
      <c r="E145" s="97" t="s">
        <v>2</v>
      </c>
      <c r="F145" s="419">
        <f>CÁLCULO!H501</f>
        <v>1033</v>
      </c>
      <c r="G145" s="776">
        <v>0</v>
      </c>
      <c r="H145" s="777"/>
      <c r="I145" s="672">
        <v>0</v>
      </c>
      <c r="J145" s="664">
        <f>(F145*G145)</f>
        <v>0</v>
      </c>
    </row>
    <row r="146" spans="1:12" s="12" customFormat="1" ht="45" x14ac:dyDescent="0.25">
      <c r="A146" s="95" t="s">
        <v>161</v>
      </c>
      <c r="B146" s="440" t="s">
        <v>852</v>
      </c>
      <c r="C146" s="403">
        <v>89021</v>
      </c>
      <c r="D146" s="542" t="s">
        <v>169</v>
      </c>
      <c r="E146" s="94" t="s">
        <v>70</v>
      </c>
      <c r="F146" s="442">
        <f>CÁLCULO!H514</f>
        <v>8800</v>
      </c>
      <c r="G146" s="776">
        <v>0</v>
      </c>
      <c r="H146" s="777"/>
      <c r="I146" s="672">
        <v>0</v>
      </c>
      <c r="J146" s="664">
        <f>(F146*G146)*1.2665</f>
        <v>0</v>
      </c>
    </row>
    <row r="147" spans="1:12" s="12" customFormat="1" x14ac:dyDescent="0.25">
      <c r="A147" s="95" t="s">
        <v>162</v>
      </c>
      <c r="B147" s="440" t="s">
        <v>506</v>
      </c>
      <c r="C147" s="403">
        <v>45460</v>
      </c>
      <c r="D147" s="542" t="s">
        <v>774</v>
      </c>
      <c r="E147" s="94" t="s">
        <v>2</v>
      </c>
      <c r="F147" s="442">
        <f>CÁLCULO!H519</f>
        <v>80</v>
      </c>
      <c r="G147" s="776">
        <v>0</v>
      </c>
      <c r="H147" s="777"/>
      <c r="I147" s="672">
        <v>0</v>
      </c>
      <c r="J147" s="664">
        <f>(F147*G147)</f>
        <v>0</v>
      </c>
    </row>
    <row r="148" spans="1:12" s="12" customFormat="1" x14ac:dyDescent="0.25">
      <c r="A148" s="95" t="s">
        <v>163</v>
      </c>
      <c r="B148" s="78" t="s">
        <v>582</v>
      </c>
      <c r="C148" s="78">
        <v>60303</v>
      </c>
      <c r="D148" s="26" t="s">
        <v>569</v>
      </c>
      <c r="E148" s="97" t="s">
        <v>68</v>
      </c>
      <c r="F148" s="419">
        <f>CÁLCULO!H522</f>
        <v>28969.119999999999</v>
      </c>
      <c r="G148" s="776">
        <v>0</v>
      </c>
      <c r="H148" s="777"/>
      <c r="I148" s="672">
        <v>0</v>
      </c>
      <c r="J148" s="664">
        <f>(F148*G148)*1.2665</f>
        <v>0</v>
      </c>
    </row>
    <row r="149" spans="1:12" s="12" customFormat="1" x14ac:dyDescent="0.25">
      <c r="A149" s="95" t="s">
        <v>164</v>
      </c>
      <c r="B149" s="405" t="s">
        <v>582</v>
      </c>
      <c r="C149" s="78">
        <v>60304</v>
      </c>
      <c r="D149" s="26" t="s">
        <v>570</v>
      </c>
      <c r="E149" s="97" t="s">
        <v>68</v>
      </c>
      <c r="F149" s="419">
        <f>CÁLCULO!H530</f>
        <v>17322.600000000002</v>
      </c>
      <c r="G149" s="776">
        <v>0</v>
      </c>
      <c r="H149" s="777"/>
      <c r="I149" s="672">
        <v>0</v>
      </c>
      <c r="J149" s="664">
        <f>(F149*G149)*1.2665</f>
        <v>0</v>
      </c>
    </row>
    <row r="150" spans="1:12" s="12" customFormat="1" x14ac:dyDescent="0.25">
      <c r="A150" s="95" t="s">
        <v>165</v>
      </c>
      <c r="B150" s="405" t="s">
        <v>582</v>
      </c>
      <c r="C150" s="78">
        <v>60305</v>
      </c>
      <c r="D150" s="26" t="s">
        <v>571</v>
      </c>
      <c r="E150" s="97" t="s">
        <v>68</v>
      </c>
      <c r="F150" s="419">
        <f>CÁLCULO!H536</f>
        <v>27282.959999999999</v>
      </c>
      <c r="G150" s="776">
        <v>0</v>
      </c>
      <c r="H150" s="777"/>
      <c r="I150" s="672">
        <v>0</v>
      </c>
      <c r="J150" s="664">
        <f>(F150*G150)*1.2665</f>
        <v>0</v>
      </c>
    </row>
    <row r="151" spans="1:12" s="12" customFormat="1" ht="18.75" customHeight="1" x14ac:dyDescent="0.25">
      <c r="A151" s="95" t="s">
        <v>166</v>
      </c>
      <c r="B151" s="440" t="s">
        <v>852</v>
      </c>
      <c r="C151" s="403" t="s">
        <v>170</v>
      </c>
      <c r="D151" s="543" t="s">
        <v>171</v>
      </c>
      <c r="E151" s="94" t="s">
        <v>2</v>
      </c>
      <c r="F151" s="442">
        <f>CÁLCULO!H540</f>
        <v>537.59999999999991</v>
      </c>
      <c r="G151" s="776">
        <v>0</v>
      </c>
      <c r="H151" s="777"/>
      <c r="I151" s="672">
        <v>0</v>
      </c>
      <c r="J151" s="664">
        <f>(F151*G151)*1.2665</f>
        <v>0</v>
      </c>
    </row>
    <row r="152" spans="1:12" s="12" customFormat="1" x14ac:dyDescent="0.25">
      <c r="A152" s="95" t="s">
        <v>167</v>
      </c>
      <c r="B152" s="440" t="s">
        <v>852</v>
      </c>
      <c r="C152" s="403" t="s">
        <v>386</v>
      </c>
      <c r="D152" s="542" t="s">
        <v>387</v>
      </c>
      <c r="E152" s="94" t="s">
        <v>7</v>
      </c>
      <c r="F152" s="442">
        <f>CÁLCULO!H543</f>
        <v>1440</v>
      </c>
      <c r="G152" s="776">
        <v>0</v>
      </c>
      <c r="H152" s="777"/>
      <c r="I152" s="672">
        <v>0</v>
      </c>
      <c r="J152" s="664">
        <f t="shared" ref="J152" si="5">(F152*G152)*1.2665</f>
        <v>0</v>
      </c>
    </row>
    <row r="153" spans="1:12" s="12" customFormat="1" ht="60" x14ac:dyDescent="0.25">
      <c r="A153" s="95" t="s">
        <v>168</v>
      </c>
      <c r="B153" s="440" t="s">
        <v>852</v>
      </c>
      <c r="C153" s="403">
        <v>89454</v>
      </c>
      <c r="D153" s="542" t="s">
        <v>419</v>
      </c>
      <c r="E153" s="94" t="s">
        <v>96</v>
      </c>
      <c r="F153" s="442">
        <f>CÁLCULO!H545</f>
        <v>1237.0999999999999</v>
      </c>
      <c r="G153" s="776">
        <v>0</v>
      </c>
      <c r="H153" s="777"/>
      <c r="I153" s="672">
        <v>0</v>
      </c>
      <c r="J153" s="664">
        <f>(F153*G153)*1.2665</f>
        <v>0</v>
      </c>
    </row>
    <row r="154" spans="1:12" s="12" customFormat="1" x14ac:dyDescent="0.25">
      <c r="A154" s="95" t="s">
        <v>307</v>
      </c>
      <c r="B154" s="78" t="s">
        <v>582</v>
      </c>
      <c r="C154" s="96">
        <v>200101</v>
      </c>
      <c r="D154" s="26" t="s">
        <v>578</v>
      </c>
      <c r="E154" s="97" t="s">
        <v>96</v>
      </c>
      <c r="F154" s="419">
        <f>CÁLCULO!H552</f>
        <v>2474.1999999999998</v>
      </c>
      <c r="G154" s="776">
        <v>0</v>
      </c>
      <c r="H154" s="777"/>
      <c r="I154" s="672">
        <v>0</v>
      </c>
      <c r="J154" s="664">
        <f>(F154*G154)*1.2665</f>
        <v>0</v>
      </c>
    </row>
    <row r="155" spans="1:12" s="12" customFormat="1" x14ac:dyDescent="0.25">
      <c r="A155" s="95" t="s">
        <v>308</v>
      </c>
      <c r="B155" s="78" t="s">
        <v>582</v>
      </c>
      <c r="C155" s="96">
        <v>200499</v>
      </c>
      <c r="D155" s="26" t="s">
        <v>579</v>
      </c>
      <c r="E155" s="97" t="s">
        <v>96</v>
      </c>
      <c r="F155" s="419">
        <f>CÁLCULO!H556</f>
        <v>2474.1999999999998</v>
      </c>
      <c r="G155" s="776">
        <v>0</v>
      </c>
      <c r="H155" s="777"/>
      <c r="I155" s="672">
        <v>0</v>
      </c>
      <c r="J155" s="664">
        <f>(F155*G155)*1.2665</f>
        <v>0</v>
      </c>
    </row>
    <row r="156" spans="1:12" s="12" customFormat="1" x14ac:dyDescent="0.25">
      <c r="A156" s="95" t="s">
        <v>309</v>
      </c>
      <c r="B156" s="78" t="s">
        <v>582</v>
      </c>
      <c r="C156" s="78">
        <v>51036</v>
      </c>
      <c r="D156" s="26" t="s">
        <v>572</v>
      </c>
      <c r="E156" s="97" t="s">
        <v>142</v>
      </c>
      <c r="F156" s="419">
        <f>CÁLCULO!H558</f>
        <v>103.39087759815243</v>
      </c>
      <c r="G156" s="776">
        <v>0</v>
      </c>
      <c r="H156" s="777"/>
      <c r="I156" s="672">
        <v>0</v>
      </c>
      <c r="J156" s="664">
        <f>(F156*G156)*1.2665</f>
        <v>0</v>
      </c>
    </row>
    <row r="157" spans="1:12" s="12" customFormat="1" x14ac:dyDescent="0.25">
      <c r="A157" s="95" t="s">
        <v>310</v>
      </c>
      <c r="B157" s="440" t="s">
        <v>776</v>
      </c>
      <c r="C157" s="403">
        <v>2747</v>
      </c>
      <c r="D157" s="26" t="s">
        <v>775</v>
      </c>
      <c r="E157" s="94" t="s">
        <v>96</v>
      </c>
      <c r="F157" s="442">
        <f>CÁLCULO!H562</f>
        <v>1790.73</v>
      </c>
      <c r="G157" s="776">
        <v>0</v>
      </c>
      <c r="H157" s="777"/>
      <c r="I157" s="672">
        <v>0</v>
      </c>
      <c r="J157" s="664">
        <f>(F157*G157)*1.2665</f>
        <v>0</v>
      </c>
    </row>
    <row r="158" spans="1:12" s="12" customFormat="1" x14ac:dyDescent="0.25">
      <c r="A158" s="95" t="s">
        <v>696</v>
      </c>
      <c r="B158" s="440" t="s">
        <v>506</v>
      </c>
      <c r="C158" s="403">
        <v>41381</v>
      </c>
      <c r="D158" s="26" t="s">
        <v>777</v>
      </c>
      <c r="E158" s="94" t="s">
        <v>7</v>
      </c>
      <c r="F158" s="442">
        <v>2</v>
      </c>
      <c r="G158" s="776">
        <v>0</v>
      </c>
      <c r="H158" s="777"/>
      <c r="I158" s="672">
        <v>0</v>
      </c>
      <c r="J158" s="664">
        <f>(F158*G158)</f>
        <v>0</v>
      </c>
    </row>
    <row r="159" spans="1:12" s="12" customFormat="1" x14ac:dyDescent="0.25">
      <c r="A159" s="95" t="s">
        <v>959</v>
      </c>
      <c r="B159" s="405" t="s">
        <v>582</v>
      </c>
      <c r="C159" s="403">
        <v>260601</v>
      </c>
      <c r="D159" s="26" t="s">
        <v>890</v>
      </c>
      <c r="E159" s="94" t="s">
        <v>96</v>
      </c>
      <c r="F159" s="442">
        <f>CÁLCULO!H566</f>
        <v>2474.1999999999998</v>
      </c>
      <c r="G159" s="674">
        <v>0</v>
      </c>
      <c r="H159" s="674">
        <v>0</v>
      </c>
      <c r="I159" s="672">
        <v>0</v>
      </c>
      <c r="J159" s="664">
        <f>((H159+G159)*F159)*1.2665</f>
        <v>0</v>
      </c>
    </row>
    <row r="160" spans="1:12" s="12" customFormat="1" ht="15.75" x14ac:dyDescent="0.25">
      <c r="A160" s="782" t="s">
        <v>0</v>
      </c>
      <c r="B160" s="783"/>
      <c r="C160" s="783"/>
      <c r="D160" s="783"/>
      <c r="E160" s="783"/>
      <c r="F160" s="783"/>
      <c r="G160" s="783"/>
      <c r="H160" s="783"/>
      <c r="I160" s="784"/>
      <c r="J160" s="661">
        <f>(SUM(J135:J159))</f>
        <v>0</v>
      </c>
      <c r="L160" s="9"/>
    </row>
    <row r="161" spans="1:12" s="12" customFormat="1" x14ac:dyDescent="0.25">
      <c r="A161" s="785" t="s">
        <v>1019</v>
      </c>
      <c r="B161" s="786"/>
      <c r="C161" s="786"/>
      <c r="D161" s="786"/>
      <c r="E161" s="786"/>
      <c r="F161" s="786"/>
      <c r="G161" s="786"/>
      <c r="H161" s="786"/>
      <c r="I161" s="786"/>
      <c r="J161" s="787"/>
      <c r="L161" s="9"/>
    </row>
    <row r="162" spans="1:12" s="12" customFormat="1" x14ac:dyDescent="0.25">
      <c r="A162" s="35">
        <v>11</v>
      </c>
      <c r="B162" s="86" t="s">
        <v>67</v>
      </c>
      <c r="C162" s="101" t="s">
        <v>13</v>
      </c>
      <c r="D162" s="788" t="s">
        <v>6</v>
      </c>
      <c r="E162" s="789"/>
      <c r="F162" s="789"/>
      <c r="G162" s="789"/>
      <c r="H162" s="789"/>
      <c r="I162" s="789"/>
      <c r="J162" s="790"/>
      <c r="L162" s="9"/>
    </row>
    <row r="163" spans="1:12" s="12" customFormat="1" ht="30" x14ac:dyDescent="0.25">
      <c r="A163" s="87" t="s">
        <v>390</v>
      </c>
      <c r="B163" s="90" t="s">
        <v>889</v>
      </c>
      <c r="C163" s="91">
        <v>4805761</v>
      </c>
      <c r="D163" s="88" t="s">
        <v>439</v>
      </c>
      <c r="E163" s="89" t="s">
        <v>106</v>
      </c>
      <c r="F163" s="415">
        <v>147.41999999999999</v>
      </c>
      <c r="G163" s="776">
        <v>0</v>
      </c>
      <c r="H163" s="777"/>
      <c r="I163" s="671">
        <v>0</v>
      </c>
      <c r="J163" s="664">
        <f>(F163*G163)*1.2665</f>
        <v>0</v>
      </c>
    </row>
    <row r="164" spans="1:12" s="12" customFormat="1" x14ac:dyDescent="0.25">
      <c r="A164" s="87" t="s">
        <v>391</v>
      </c>
      <c r="B164" s="90" t="s">
        <v>62</v>
      </c>
      <c r="C164" s="90" t="s">
        <v>823</v>
      </c>
      <c r="D164" s="88" t="s">
        <v>30</v>
      </c>
      <c r="E164" s="89" t="s">
        <v>7</v>
      </c>
      <c r="F164" s="415">
        <v>1</v>
      </c>
      <c r="G164" s="776">
        <v>0</v>
      </c>
      <c r="H164" s="777"/>
      <c r="I164" s="671">
        <v>0</v>
      </c>
      <c r="J164" s="664">
        <f>(F164*G164)</f>
        <v>0</v>
      </c>
    </row>
    <row r="165" spans="1:12" s="12" customFormat="1" x14ac:dyDescent="0.25">
      <c r="A165" s="87" t="s">
        <v>392</v>
      </c>
      <c r="B165" s="90" t="s">
        <v>63</v>
      </c>
      <c r="C165" s="90" t="s">
        <v>824</v>
      </c>
      <c r="D165" s="98" t="s">
        <v>37</v>
      </c>
      <c r="E165" s="97" t="s">
        <v>7</v>
      </c>
      <c r="F165" s="373">
        <v>1</v>
      </c>
      <c r="G165" s="776">
        <v>0</v>
      </c>
      <c r="H165" s="777"/>
      <c r="I165" s="671">
        <v>0</v>
      </c>
      <c r="J165" s="664">
        <f>(F165*G165)</f>
        <v>0</v>
      </c>
    </row>
    <row r="166" spans="1:12" s="12" customFormat="1" x14ac:dyDescent="0.25">
      <c r="A166" s="87" t="s">
        <v>393</v>
      </c>
      <c r="B166" s="90" t="s">
        <v>64</v>
      </c>
      <c r="C166" s="90" t="s">
        <v>825</v>
      </c>
      <c r="D166" s="98" t="s">
        <v>41</v>
      </c>
      <c r="E166" s="97" t="s">
        <v>7</v>
      </c>
      <c r="F166" s="373">
        <v>1</v>
      </c>
      <c r="G166" s="776">
        <v>0</v>
      </c>
      <c r="H166" s="777"/>
      <c r="I166" s="671">
        <v>0</v>
      </c>
      <c r="J166" s="664">
        <f t="shared" ref="J166" si="6">(F166*G166)</f>
        <v>0</v>
      </c>
    </row>
    <row r="167" spans="1:12" s="12" customFormat="1" ht="90" x14ac:dyDescent="0.25">
      <c r="A167" s="87" t="s">
        <v>394</v>
      </c>
      <c r="B167" s="90" t="s">
        <v>65</v>
      </c>
      <c r="C167" s="90" t="s">
        <v>826</v>
      </c>
      <c r="D167" s="99" t="s">
        <v>46</v>
      </c>
      <c r="E167" s="97" t="s">
        <v>7</v>
      </c>
      <c r="F167" s="100">
        <f>CÁLCULO!H579</f>
        <v>26</v>
      </c>
      <c r="G167" s="776">
        <v>0</v>
      </c>
      <c r="H167" s="777"/>
      <c r="I167" s="671">
        <v>0</v>
      </c>
      <c r="J167" s="664">
        <f>(F167*G167)</f>
        <v>0</v>
      </c>
    </row>
    <row r="168" spans="1:12" s="12" customFormat="1" ht="90" x14ac:dyDescent="0.25">
      <c r="A168" s="87" t="s">
        <v>395</v>
      </c>
      <c r="B168" s="90" t="s">
        <v>66</v>
      </c>
      <c r="C168" s="90" t="s">
        <v>827</v>
      </c>
      <c r="D168" s="99" t="s">
        <v>60</v>
      </c>
      <c r="E168" s="97" t="s">
        <v>7</v>
      </c>
      <c r="F168" s="100">
        <f>CÁLCULO!H581</f>
        <v>38</v>
      </c>
      <c r="G168" s="776">
        <v>0</v>
      </c>
      <c r="H168" s="777"/>
      <c r="I168" s="671">
        <v>0</v>
      </c>
      <c r="J168" s="664">
        <f>(F168*G168)</f>
        <v>0</v>
      </c>
    </row>
    <row r="169" spans="1:12" s="12" customFormat="1" ht="75" x14ac:dyDescent="0.25">
      <c r="A169" s="87" t="s">
        <v>396</v>
      </c>
      <c r="B169" s="90" t="s">
        <v>440</v>
      </c>
      <c r="C169" s="90" t="s">
        <v>828</v>
      </c>
      <c r="D169" s="99" t="s">
        <v>61</v>
      </c>
      <c r="E169" s="97" t="s">
        <v>7</v>
      </c>
      <c r="F169" s="100">
        <v>2</v>
      </c>
      <c r="G169" s="776">
        <v>0</v>
      </c>
      <c r="H169" s="777"/>
      <c r="I169" s="671">
        <v>0</v>
      </c>
      <c r="J169" s="664">
        <f>(F169*G169)</f>
        <v>0</v>
      </c>
    </row>
    <row r="170" spans="1:12" s="12" customFormat="1" x14ac:dyDescent="0.25">
      <c r="A170" s="87" t="s">
        <v>397</v>
      </c>
      <c r="B170" s="73" t="s">
        <v>582</v>
      </c>
      <c r="C170" s="73">
        <v>71217</v>
      </c>
      <c r="D170" s="24" t="s">
        <v>614</v>
      </c>
      <c r="E170" s="73" t="s">
        <v>2</v>
      </c>
      <c r="F170" s="422">
        <v>12</v>
      </c>
      <c r="G170" s="658">
        <v>0</v>
      </c>
      <c r="H170" s="658">
        <v>0</v>
      </c>
      <c r="I170" s="675">
        <v>0</v>
      </c>
      <c r="J170" s="664">
        <f>((G170+H170)*F170)*1.2665</f>
        <v>0</v>
      </c>
    </row>
    <row r="171" spans="1:12" s="12" customFormat="1" x14ac:dyDescent="0.25">
      <c r="A171" s="87" t="s">
        <v>398</v>
      </c>
      <c r="B171" s="73" t="s">
        <v>582</v>
      </c>
      <c r="C171" s="73">
        <v>71707</v>
      </c>
      <c r="D171" s="24" t="s">
        <v>615</v>
      </c>
      <c r="E171" s="73" t="s">
        <v>7</v>
      </c>
      <c r="F171" s="422">
        <v>2</v>
      </c>
      <c r="G171" s="658">
        <v>0</v>
      </c>
      <c r="H171" s="658">
        <v>0</v>
      </c>
      <c r="I171" s="675">
        <v>0</v>
      </c>
      <c r="J171" s="664">
        <f>((G171+H171)*F171)*1.2665</f>
        <v>0</v>
      </c>
    </row>
    <row r="172" spans="1:12" s="12" customFormat="1" x14ac:dyDescent="0.25">
      <c r="A172" s="87" t="s">
        <v>399</v>
      </c>
      <c r="B172" s="73" t="s">
        <v>582</v>
      </c>
      <c r="C172" s="73">
        <v>70506</v>
      </c>
      <c r="D172" s="24" t="s">
        <v>616</v>
      </c>
      <c r="E172" s="73" t="s">
        <v>7</v>
      </c>
      <c r="F172" s="422">
        <v>1</v>
      </c>
      <c r="G172" s="658">
        <v>0</v>
      </c>
      <c r="H172" s="658">
        <v>0</v>
      </c>
      <c r="I172" s="675">
        <v>0</v>
      </c>
      <c r="J172" s="664">
        <f t="shared" ref="J172" si="7">((G172+H172)*F172)*1.2665</f>
        <v>0</v>
      </c>
    </row>
    <row r="173" spans="1:12" s="12" customFormat="1" x14ac:dyDescent="0.25">
      <c r="A173" s="87" t="s">
        <v>400</v>
      </c>
      <c r="B173" s="73" t="s">
        <v>582</v>
      </c>
      <c r="C173" s="73">
        <v>70229</v>
      </c>
      <c r="D173" s="24" t="s">
        <v>617</v>
      </c>
      <c r="E173" s="73" t="s">
        <v>68</v>
      </c>
      <c r="F173" s="422">
        <v>10</v>
      </c>
      <c r="G173" s="658">
        <v>0</v>
      </c>
      <c r="H173" s="658">
        <v>0</v>
      </c>
      <c r="I173" s="675">
        <v>0</v>
      </c>
      <c r="J173" s="664">
        <f t="shared" ref="J173:J180" si="8">((G173+H173)*F173)*1.2665</f>
        <v>0</v>
      </c>
    </row>
    <row r="174" spans="1:12" s="12" customFormat="1" x14ac:dyDescent="0.25">
      <c r="A174" s="87" t="s">
        <v>401</v>
      </c>
      <c r="B174" s="73" t="s">
        <v>582</v>
      </c>
      <c r="C174" s="73">
        <v>81822</v>
      </c>
      <c r="D174" s="24" t="s">
        <v>618</v>
      </c>
      <c r="E174" s="73" t="s">
        <v>7</v>
      </c>
      <c r="F174" s="422">
        <f>CÁLCULO!H597</f>
        <v>66</v>
      </c>
      <c r="G174" s="658">
        <v>0</v>
      </c>
      <c r="H174" s="658">
        <v>0</v>
      </c>
      <c r="I174" s="675">
        <v>0</v>
      </c>
      <c r="J174" s="664">
        <f t="shared" si="8"/>
        <v>0</v>
      </c>
    </row>
    <row r="175" spans="1:12" s="12" customFormat="1" x14ac:dyDescent="0.25">
      <c r="A175" s="87" t="s">
        <v>402</v>
      </c>
      <c r="B175" s="73" t="s">
        <v>582</v>
      </c>
      <c r="C175" s="73">
        <v>70634</v>
      </c>
      <c r="D175" s="24" t="s">
        <v>619</v>
      </c>
      <c r="E175" s="73" t="s">
        <v>96</v>
      </c>
      <c r="F175" s="422">
        <f>CÁLCULO!H601</f>
        <v>9.120000000000001</v>
      </c>
      <c r="G175" s="658">
        <v>0</v>
      </c>
      <c r="H175" s="658">
        <v>0</v>
      </c>
      <c r="I175" s="675">
        <v>0</v>
      </c>
      <c r="J175" s="664">
        <f t="shared" si="8"/>
        <v>0</v>
      </c>
      <c r="K175" s="11"/>
    </row>
    <row r="176" spans="1:12" s="12" customFormat="1" x14ac:dyDescent="0.25">
      <c r="A176" s="87" t="s">
        <v>403</v>
      </c>
      <c r="B176" s="73" t="s">
        <v>582</v>
      </c>
      <c r="C176" s="73">
        <v>71381</v>
      </c>
      <c r="D176" s="24" t="s">
        <v>620</v>
      </c>
      <c r="E176" s="73" t="s">
        <v>7</v>
      </c>
      <c r="F176" s="422">
        <v>57</v>
      </c>
      <c r="G176" s="658">
        <v>0</v>
      </c>
      <c r="H176" s="658">
        <v>0</v>
      </c>
      <c r="I176" s="675">
        <v>0</v>
      </c>
      <c r="J176" s="664">
        <f t="shared" si="8"/>
        <v>0</v>
      </c>
    </row>
    <row r="177" spans="1:11" s="12" customFormat="1" x14ac:dyDescent="0.25">
      <c r="A177" s="87" t="s">
        <v>404</v>
      </c>
      <c r="B177" s="73" t="s">
        <v>582</v>
      </c>
      <c r="C177" s="73">
        <v>70509</v>
      </c>
      <c r="D177" s="24" t="s">
        <v>621</v>
      </c>
      <c r="E177" s="73" t="s">
        <v>2</v>
      </c>
      <c r="F177" s="619">
        <f>CÁLCULO!H606</f>
        <v>3240</v>
      </c>
      <c r="G177" s="658">
        <v>0</v>
      </c>
      <c r="H177" s="658">
        <v>0</v>
      </c>
      <c r="I177" s="675">
        <v>0</v>
      </c>
      <c r="J177" s="664">
        <f t="shared" si="8"/>
        <v>0</v>
      </c>
      <c r="K177" s="11"/>
    </row>
    <row r="178" spans="1:11" s="12" customFormat="1" x14ac:dyDescent="0.25">
      <c r="A178" s="87" t="s">
        <v>405</v>
      </c>
      <c r="B178" s="73" t="s">
        <v>582</v>
      </c>
      <c r="C178" s="73">
        <v>70510</v>
      </c>
      <c r="D178" s="24" t="s">
        <v>622</v>
      </c>
      <c r="E178" s="73" t="s">
        <v>2</v>
      </c>
      <c r="F178" s="620">
        <f>CÁLCULO!H609</f>
        <v>5640</v>
      </c>
      <c r="G178" s="658">
        <v>0</v>
      </c>
      <c r="H178" s="658">
        <v>0</v>
      </c>
      <c r="I178" s="675">
        <v>0</v>
      </c>
      <c r="J178" s="664">
        <f t="shared" si="8"/>
        <v>0</v>
      </c>
    </row>
    <row r="179" spans="1:11" s="12" customFormat="1" x14ac:dyDescent="0.25">
      <c r="A179" s="87" t="s">
        <v>406</v>
      </c>
      <c r="B179" s="73" t="s">
        <v>582</v>
      </c>
      <c r="C179" s="73">
        <v>70511</v>
      </c>
      <c r="D179" s="24" t="s">
        <v>623</v>
      </c>
      <c r="E179" s="73" t="s">
        <v>2</v>
      </c>
      <c r="F179" s="619">
        <f>CÁLCULO!H612</f>
        <v>1480</v>
      </c>
      <c r="G179" s="658">
        <v>0</v>
      </c>
      <c r="H179" s="658">
        <v>0</v>
      </c>
      <c r="I179" s="675">
        <v>0</v>
      </c>
      <c r="J179" s="664">
        <f t="shared" si="8"/>
        <v>0</v>
      </c>
    </row>
    <row r="180" spans="1:11" s="12" customFormat="1" ht="30" x14ac:dyDescent="0.25">
      <c r="A180" s="87" t="s">
        <v>697</v>
      </c>
      <c r="B180" s="73" t="s">
        <v>582</v>
      </c>
      <c r="C180" s="73">
        <v>71197</v>
      </c>
      <c r="D180" s="24" t="s">
        <v>624</v>
      </c>
      <c r="E180" s="73" t="s">
        <v>2</v>
      </c>
      <c r="F180" s="77">
        <v>1044</v>
      </c>
      <c r="G180" s="658">
        <v>0</v>
      </c>
      <c r="H180" s="658">
        <v>0</v>
      </c>
      <c r="I180" s="675">
        <v>0</v>
      </c>
      <c r="J180" s="664">
        <f t="shared" si="8"/>
        <v>0</v>
      </c>
    </row>
    <row r="181" spans="1:11" s="12" customFormat="1" ht="45" x14ac:dyDescent="0.25">
      <c r="A181" s="87" t="s">
        <v>698</v>
      </c>
      <c r="B181" s="73" t="s">
        <v>852</v>
      </c>
      <c r="C181" s="73">
        <v>91283</v>
      </c>
      <c r="D181" s="24" t="s">
        <v>69</v>
      </c>
      <c r="E181" s="73" t="s">
        <v>70</v>
      </c>
      <c r="F181" s="77">
        <v>40</v>
      </c>
      <c r="G181" s="776">
        <v>0</v>
      </c>
      <c r="H181" s="777"/>
      <c r="I181" s="675">
        <v>0</v>
      </c>
      <c r="J181" s="664">
        <f>(F181*G181)*1.2665</f>
        <v>0</v>
      </c>
    </row>
    <row r="182" spans="1:11" s="12" customFormat="1" ht="15.75" x14ac:dyDescent="0.25">
      <c r="A182" s="782" t="s">
        <v>0</v>
      </c>
      <c r="B182" s="783"/>
      <c r="C182" s="783"/>
      <c r="D182" s="783"/>
      <c r="E182" s="783"/>
      <c r="F182" s="783"/>
      <c r="G182" s="783"/>
      <c r="H182" s="783"/>
      <c r="I182" s="784"/>
      <c r="J182" s="661">
        <f>(SUM(J163:J181))</f>
        <v>0</v>
      </c>
    </row>
    <row r="183" spans="1:11" s="12" customFormat="1" x14ac:dyDescent="0.25">
      <c r="A183" s="785" t="s">
        <v>833</v>
      </c>
      <c r="B183" s="786"/>
      <c r="C183" s="786"/>
      <c r="D183" s="786"/>
      <c r="E183" s="786"/>
      <c r="F183" s="786"/>
      <c r="G183" s="786"/>
      <c r="H183" s="786"/>
      <c r="I183" s="786"/>
      <c r="J183" s="787"/>
    </row>
    <row r="184" spans="1:11" s="12" customFormat="1" x14ac:dyDescent="0.25">
      <c r="A184" s="35">
        <v>12</v>
      </c>
      <c r="B184" s="86" t="s">
        <v>67</v>
      </c>
      <c r="C184" s="101" t="s">
        <v>13</v>
      </c>
      <c r="D184" s="788" t="s">
        <v>6</v>
      </c>
      <c r="E184" s="789"/>
      <c r="F184" s="789"/>
      <c r="G184" s="789"/>
      <c r="H184" s="789"/>
      <c r="I184" s="789"/>
      <c r="J184" s="790"/>
    </row>
    <row r="185" spans="1:11" s="12" customFormat="1" x14ac:dyDescent="0.25">
      <c r="A185" s="35" t="s">
        <v>172</v>
      </c>
      <c r="B185" s="76" t="s">
        <v>506</v>
      </c>
      <c r="C185" s="97">
        <v>42825</v>
      </c>
      <c r="D185" s="580" t="s">
        <v>834</v>
      </c>
      <c r="E185" s="94" t="s">
        <v>2</v>
      </c>
      <c r="F185" s="417">
        <f>CÁLCULO!H622</f>
        <v>5.136000000000001</v>
      </c>
      <c r="G185" s="776">
        <v>0</v>
      </c>
      <c r="H185" s="777"/>
      <c r="I185" s="672">
        <v>0</v>
      </c>
      <c r="J185" s="664">
        <f>(F185*G185)</f>
        <v>0</v>
      </c>
    </row>
    <row r="186" spans="1:11" s="12" customFormat="1" x14ac:dyDescent="0.25">
      <c r="A186" s="35" t="s">
        <v>407</v>
      </c>
      <c r="B186" s="440" t="s">
        <v>852</v>
      </c>
      <c r="C186" s="403">
        <v>99063</v>
      </c>
      <c r="D186" s="580" t="s">
        <v>835</v>
      </c>
      <c r="E186" s="94" t="s">
        <v>2</v>
      </c>
      <c r="F186" s="417">
        <f>CÁLCULO!H628</f>
        <v>233</v>
      </c>
      <c r="G186" s="776">
        <v>0</v>
      </c>
      <c r="H186" s="777"/>
      <c r="I186" s="672">
        <v>0</v>
      </c>
      <c r="J186" s="664">
        <f>(F186*G186)*1.2665</f>
        <v>0</v>
      </c>
    </row>
    <row r="187" spans="1:11" s="12" customFormat="1" x14ac:dyDescent="0.25">
      <c r="A187" s="35" t="s">
        <v>799</v>
      </c>
      <c r="B187" s="76" t="s">
        <v>506</v>
      </c>
      <c r="C187" s="96">
        <v>47023</v>
      </c>
      <c r="D187" s="580" t="s">
        <v>836</v>
      </c>
      <c r="E187" s="97" t="s">
        <v>106</v>
      </c>
      <c r="F187" s="419">
        <f>CÁLCULO!H631</f>
        <v>539.5</v>
      </c>
      <c r="G187" s="776">
        <v>0</v>
      </c>
      <c r="H187" s="777"/>
      <c r="I187" s="672">
        <v>0</v>
      </c>
      <c r="J187" s="664">
        <f>(F187*G187)</f>
        <v>0</v>
      </c>
    </row>
    <row r="188" spans="1:11" s="12" customFormat="1" x14ac:dyDescent="0.25">
      <c r="A188" s="35" t="s">
        <v>813</v>
      </c>
      <c r="B188" s="440" t="s">
        <v>506</v>
      </c>
      <c r="C188" s="403">
        <v>45595</v>
      </c>
      <c r="D188" s="580" t="s">
        <v>680</v>
      </c>
      <c r="E188" s="94" t="s">
        <v>96</v>
      </c>
      <c r="F188" s="442">
        <f>CÁLCULO!H635</f>
        <v>932</v>
      </c>
      <c r="G188" s="776">
        <v>0</v>
      </c>
      <c r="H188" s="777"/>
      <c r="I188" s="672">
        <v>0</v>
      </c>
      <c r="J188" s="664">
        <f>(F188*G188)</f>
        <v>0</v>
      </c>
    </row>
    <row r="189" spans="1:11" s="12" customFormat="1" x14ac:dyDescent="0.25">
      <c r="A189" s="35" t="s">
        <v>838</v>
      </c>
      <c r="B189" s="440" t="s">
        <v>506</v>
      </c>
      <c r="C189" s="405">
        <v>45580</v>
      </c>
      <c r="D189" s="580" t="s">
        <v>679</v>
      </c>
      <c r="E189" s="97" t="s">
        <v>106</v>
      </c>
      <c r="F189" s="419">
        <f>CÁLCULO!H638</f>
        <v>46.6</v>
      </c>
      <c r="G189" s="776">
        <v>0</v>
      </c>
      <c r="H189" s="777"/>
      <c r="I189" s="672">
        <v>0</v>
      </c>
      <c r="J189" s="664">
        <f>(F189*G189)</f>
        <v>0</v>
      </c>
    </row>
    <row r="190" spans="1:11" s="12" customFormat="1" ht="60.75" customHeight="1" x14ac:dyDescent="0.25">
      <c r="A190" s="652" t="s">
        <v>839</v>
      </c>
      <c r="B190" s="76" t="s">
        <v>852</v>
      </c>
      <c r="C190" s="371">
        <v>90708</v>
      </c>
      <c r="D190" s="581" t="s">
        <v>841</v>
      </c>
      <c r="E190" s="97" t="s">
        <v>2</v>
      </c>
      <c r="F190" s="421">
        <f>CÁLCULO!H641</f>
        <v>324</v>
      </c>
      <c r="G190" s="794">
        <v>0</v>
      </c>
      <c r="H190" s="795"/>
      <c r="I190" s="668">
        <v>0</v>
      </c>
      <c r="J190" s="665">
        <f>(F190*G190)*1.2665</f>
        <v>0</v>
      </c>
    </row>
    <row r="191" spans="1:11" s="12" customFormat="1" ht="30" x14ac:dyDescent="0.25">
      <c r="A191" s="35" t="s">
        <v>840</v>
      </c>
      <c r="B191" s="440" t="s">
        <v>39</v>
      </c>
      <c r="C191" s="76" t="s">
        <v>34</v>
      </c>
      <c r="D191" s="626" t="s">
        <v>960</v>
      </c>
      <c r="E191" s="97" t="s">
        <v>179</v>
      </c>
      <c r="F191" s="421">
        <f>CÁLCULO!H645</f>
        <v>6</v>
      </c>
      <c r="G191" s="776">
        <v>0</v>
      </c>
      <c r="H191" s="777"/>
      <c r="I191" s="668">
        <v>0</v>
      </c>
      <c r="J191" s="664">
        <f>(F191*G191)*1.2665</f>
        <v>0</v>
      </c>
    </row>
    <row r="192" spans="1:11" s="12" customFormat="1" x14ac:dyDescent="0.25">
      <c r="A192" s="35" t="s">
        <v>842</v>
      </c>
      <c r="B192" s="440" t="s">
        <v>852</v>
      </c>
      <c r="C192" s="96">
        <v>79482</v>
      </c>
      <c r="D192" s="580" t="s">
        <v>837</v>
      </c>
      <c r="E192" s="97" t="s">
        <v>106</v>
      </c>
      <c r="F192" s="419">
        <f>CÁLCULO!H647</f>
        <v>260.35419999999999</v>
      </c>
      <c r="G192" s="776">
        <v>0</v>
      </c>
      <c r="H192" s="777"/>
      <c r="I192" s="672">
        <v>0</v>
      </c>
      <c r="J192" s="664">
        <f>(F192*G192)*1.2665</f>
        <v>0</v>
      </c>
    </row>
    <row r="193" spans="1:10" s="12" customFormat="1" x14ac:dyDescent="0.25">
      <c r="A193" s="35" t="s">
        <v>843</v>
      </c>
      <c r="B193" s="76" t="s">
        <v>506</v>
      </c>
      <c r="C193" s="403">
        <v>45205</v>
      </c>
      <c r="D193" s="583" t="s">
        <v>772</v>
      </c>
      <c r="E193" s="94" t="s">
        <v>751</v>
      </c>
      <c r="F193" s="442">
        <f>CÁLCULO!H653</f>
        <v>10018.429615999999</v>
      </c>
      <c r="G193" s="776">
        <v>0</v>
      </c>
      <c r="H193" s="777"/>
      <c r="I193" s="672">
        <v>0</v>
      </c>
      <c r="J193" s="664">
        <f>(F193*G193)</f>
        <v>0</v>
      </c>
    </row>
    <row r="194" spans="1:10" s="12" customFormat="1" x14ac:dyDescent="0.25">
      <c r="A194" s="35" t="s">
        <v>844</v>
      </c>
      <c r="B194" s="76" t="s">
        <v>506</v>
      </c>
      <c r="C194" s="96">
        <v>45435</v>
      </c>
      <c r="D194" s="580" t="s">
        <v>681</v>
      </c>
      <c r="E194" s="97" t="s">
        <v>106</v>
      </c>
      <c r="F194" s="419">
        <f>CÁLCULO!H660</f>
        <v>93.2</v>
      </c>
      <c r="G194" s="776">
        <v>0</v>
      </c>
      <c r="H194" s="777"/>
      <c r="I194" s="672">
        <v>0</v>
      </c>
      <c r="J194" s="664">
        <f>(F194*G194)</f>
        <v>0</v>
      </c>
    </row>
    <row r="195" spans="1:10" s="12" customFormat="1" ht="30" x14ac:dyDescent="0.25">
      <c r="A195" s="35" t="s">
        <v>845</v>
      </c>
      <c r="B195" s="440" t="s">
        <v>852</v>
      </c>
      <c r="C195" s="96">
        <v>90732</v>
      </c>
      <c r="D195" s="581" t="s">
        <v>853</v>
      </c>
      <c r="E195" s="97" t="s">
        <v>179</v>
      </c>
      <c r="F195" s="419">
        <f>CÁLCULO!H663</f>
        <v>9</v>
      </c>
      <c r="G195" s="776">
        <v>0</v>
      </c>
      <c r="H195" s="777"/>
      <c r="I195" s="672">
        <v>0</v>
      </c>
      <c r="J195" s="664">
        <f>(F195*G195)*1.2665</f>
        <v>0</v>
      </c>
    </row>
    <row r="196" spans="1:10" s="12" customFormat="1" ht="30" x14ac:dyDescent="0.25">
      <c r="A196" s="35" t="s">
        <v>846</v>
      </c>
      <c r="B196" s="76" t="s">
        <v>582</v>
      </c>
      <c r="C196" s="96">
        <v>150204</v>
      </c>
      <c r="D196" s="581" t="s">
        <v>858</v>
      </c>
      <c r="E196" s="97" t="s">
        <v>68</v>
      </c>
      <c r="F196" s="419">
        <f>CÁLCULO!H666</f>
        <v>3014</v>
      </c>
      <c r="G196" s="676">
        <v>0</v>
      </c>
      <c r="H196" s="677">
        <v>0</v>
      </c>
      <c r="I196" s="672">
        <v>0</v>
      </c>
      <c r="J196" s="664">
        <f>(F196*G196)*1.2665</f>
        <v>0</v>
      </c>
    </row>
    <row r="197" spans="1:10" s="12" customFormat="1" x14ac:dyDescent="0.25">
      <c r="A197" s="35" t="s">
        <v>847</v>
      </c>
      <c r="B197" s="76" t="s">
        <v>582</v>
      </c>
      <c r="C197" s="96">
        <v>261611</v>
      </c>
      <c r="D197" s="581" t="s">
        <v>928</v>
      </c>
      <c r="E197" s="97" t="s">
        <v>96</v>
      </c>
      <c r="F197" s="419">
        <f>CÁLCULO!H671</f>
        <v>142.79999999999998</v>
      </c>
      <c r="G197" s="676">
        <v>0</v>
      </c>
      <c r="H197" s="677">
        <v>0</v>
      </c>
      <c r="I197" s="672">
        <v>0</v>
      </c>
      <c r="J197" s="664">
        <f>(F197*(G197+H197))*1.2665</f>
        <v>0</v>
      </c>
    </row>
    <row r="198" spans="1:10" s="12" customFormat="1" ht="45" x14ac:dyDescent="0.25">
      <c r="A198" s="35" t="s">
        <v>848</v>
      </c>
      <c r="B198" s="440" t="s">
        <v>852</v>
      </c>
      <c r="C198" s="582">
        <v>98044</v>
      </c>
      <c r="D198" s="581" t="s">
        <v>854</v>
      </c>
      <c r="E198" s="390" t="s">
        <v>179</v>
      </c>
      <c r="F198" s="419">
        <f>CÁLCULO!H672</f>
        <v>3</v>
      </c>
      <c r="G198" s="776">
        <v>0</v>
      </c>
      <c r="H198" s="777"/>
      <c r="I198" s="672">
        <v>0</v>
      </c>
      <c r="J198" s="664">
        <f>(F198*G198)*1.2665</f>
        <v>0</v>
      </c>
    </row>
    <row r="199" spans="1:10" s="12" customFormat="1" ht="45" x14ac:dyDescent="0.25">
      <c r="A199" s="35" t="s">
        <v>849</v>
      </c>
      <c r="B199" s="440" t="s">
        <v>852</v>
      </c>
      <c r="C199" s="371">
        <v>98045</v>
      </c>
      <c r="D199" s="581" t="s">
        <v>855</v>
      </c>
      <c r="E199" s="97" t="s">
        <v>2</v>
      </c>
      <c r="F199" s="421">
        <f>CÁLCULO!H675</f>
        <v>5</v>
      </c>
      <c r="G199" s="776">
        <v>0</v>
      </c>
      <c r="H199" s="777"/>
      <c r="I199" s="672">
        <v>0</v>
      </c>
      <c r="J199" s="664">
        <v>0</v>
      </c>
    </row>
    <row r="200" spans="1:10" s="12" customFormat="1" ht="30" x14ac:dyDescent="0.25">
      <c r="A200" s="35" t="s">
        <v>929</v>
      </c>
      <c r="B200" s="440" t="s">
        <v>852</v>
      </c>
      <c r="C200" s="371">
        <v>98050</v>
      </c>
      <c r="D200" s="581" t="s">
        <v>856</v>
      </c>
      <c r="E200" s="97" t="s">
        <v>2</v>
      </c>
      <c r="F200" s="421">
        <f>CÁLCULO!H678</f>
        <v>5</v>
      </c>
      <c r="G200" s="776">
        <v>0</v>
      </c>
      <c r="H200" s="777"/>
      <c r="I200" s="672">
        <v>0</v>
      </c>
      <c r="J200" s="664">
        <v>0</v>
      </c>
    </row>
    <row r="201" spans="1:10" s="12" customFormat="1" ht="30" x14ac:dyDescent="0.25">
      <c r="A201" s="35" t="s">
        <v>954</v>
      </c>
      <c r="B201" s="440" t="s">
        <v>852</v>
      </c>
      <c r="C201" s="371">
        <v>98114</v>
      </c>
      <c r="D201" s="581" t="s">
        <v>857</v>
      </c>
      <c r="E201" s="97" t="s">
        <v>179</v>
      </c>
      <c r="F201" s="421">
        <f>CÁLCULO!H681</f>
        <v>5</v>
      </c>
      <c r="G201" s="776">
        <v>0</v>
      </c>
      <c r="H201" s="777"/>
      <c r="I201" s="672">
        <v>0</v>
      </c>
      <c r="J201" s="664">
        <f>(F201*G201)*1.2665</f>
        <v>0</v>
      </c>
    </row>
    <row r="202" spans="1:10" s="12" customFormat="1" x14ac:dyDescent="0.25">
      <c r="A202" s="35" t="s">
        <v>991</v>
      </c>
      <c r="B202" s="440" t="s">
        <v>506</v>
      </c>
      <c r="C202" s="371">
        <v>45035</v>
      </c>
      <c r="D202" s="581" t="s">
        <v>995</v>
      </c>
      <c r="E202" s="97" t="s">
        <v>96</v>
      </c>
      <c r="F202" s="421">
        <f>CÁLCULO!H684</f>
        <v>6.8</v>
      </c>
      <c r="G202" s="776">
        <v>0</v>
      </c>
      <c r="H202" s="777"/>
      <c r="I202" s="672">
        <v>0</v>
      </c>
      <c r="J202" s="664">
        <f>(F202*G202)</f>
        <v>0</v>
      </c>
    </row>
    <row r="203" spans="1:10" s="12" customFormat="1" ht="30" x14ac:dyDescent="0.25">
      <c r="A203" s="35" t="s">
        <v>992</v>
      </c>
      <c r="B203" s="440" t="s">
        <v>506</v>
      </c>
      <c r="C203" s="371">
        <v>45045</v>
      </c>
      <c r="D203" s="581" t="s">
        <v>996</v>
      </c>
      <c r="E203" s="97" t="s">
        <v>68</v>
      </c>
      <c r="F203" s="421">
        <f>CÁLCULO!H687</f>
        <v>56.664439999999999</v>
      </c>
      <c r="G203" s="776">
        <v>0</v>
      </c>
      <c r="H203" s="777"/>
      <c r="I203" s="672">
        <v>0</v>
      </c>
      <c r="J203" s="664">
        <f>(F203*G203)</f>
        <v>0</v>
      </c>
    </row>
    <row r="204" spans="1:10" s="12" customFormat="1" x14ac:dyDescent="0.25">
      <c r="A204" s="35" t="s">
        <v>993</v>
      </c>
      <c r="B204" s="440" t="s">
        <v>506</v>
      </c>
      <c r="C204" s="371">
        <v>45052</v>
      </c>
      <c r="D204" s="581" t="s">
        <v>714</v>
      </c>
      <c r="E204" s="97" t="s">
        <v>106</v>
      </c>
      <c r="F204" s="421">
        <f>CÁLCULO!H692</f>
        <v>1.2480000000000002</v>
      </c>
      <c r="G204" s="776">
        <v>0</v>
      </c>
      <c r="H204" s="777"/>
      <c r="I204" s="672">
        <v>0</v>
      </c>
      <c r="J204" s="664">
        <f>(F204*G204)</f>
        <v>0</v>
      </c>
    </row>
    <row r="205" spans="1:10" s="12" customFormat="1" ht="45" x14ac:dyDescent="0.25">
      <c r="A205" s="35" t="s">
        <v>994</v>
      </c>
      <c r="B205" s="440" t="s">
        <v>852</v>
      </c>
      <c r="C205" s="371">
        <v>97127</v>
      </c>
      <c r="D205" s="581" t="s">
        <v>997</v>
      </c>
      <c r="E205" s="97" t="s">
        <v>2</v>
      </c>
      <c r="F205" s="421">
        <f>CÁLCULO!H695</f>
        <v>360</v>
      </c>
      <c r="G205" s="776">
        <v>0</v>
      </c>
      <c r="H205" s="777"/>
      <c r="I205" s="672">
        <v>0</v>
      </c>
      <c r="J205" s="664">
        <f>(F205*G205)*1.2665</f>
        <v>0</v>
      </c>
    </row>
    <row r="206" spans="1:10" s="12" customFormat="1" x14ac:dyDescent="0.25">
      <c r="A206" s="35" t="s">
        <v>999</v>
      </c>
      <c r="B206" s="440" t="s">
        <v>851</v>
      </c>
      <c r="C206" s="371">
        <v>9898</v>
      </c>
      <c r="D206" s="581" t="s">
        <v>998</v>
      </c>
      <c r="E206" s="97" t="s">
        <v>2</v>
      </c>
      <c r="F206" s="421">
        <f>CÁLCULO!H698</f>
        <v>360</v>
      </c>
      <c r="G206" s="776">
        <v>0</v>
      </c>
      <c r="H206" s="777"/>
      <c r="I206" s="672">
        <v>0</v>
      </c>
      <c r="J206" s="664">
        <f>(F206*G206)*1.2665</f>
        <v>0</v>
      </c>
    </row>
    <row r="207" spans="1:10" s="12" customFormat="1" ht="15.75" x14ac:dyDescent="0.25">
      <c r="A207" s="782" t="s">
        <v>0</v>
      </c>
      <c r="B207" s="783"/>
      <c r="C207" s="783"/>
      <c r="D207" s="783"/>
      <c r="E207" s="783"/>
      <c r="F207" s="783"/>
      <c r="G207" s="783"/>
      <c r="H207" s="783"/>
      <c r="I207" s="784"/>
      <c r="J207" s="661">
        <f>(SUM(J185:J206))</f>
        <v>0</v>
      </c>
    </row>
    <row r="208" spans="1:10" s="12" customFormat="1" x14ac:dyDescent="0.25">
      <c r="A208" s="785" t="s">
        <v>968</v>
      </c>
      <c r="B208" s="786"/>
      <c r="C208" s="786"/>
      <c r="D208" s="786"/>
      <c r="E208" s="786"/>
      <c r="F208" s="786"/>
      <c r="G208" s="786"/>
      <c r="H208" s="786"/>
      <c r="I208" s="786"/>
      <c r="J208" s="787"/>
    </row>
    <row r="209" spans="1:10" s="12" customFormat="1" x14ac:dyDescent="0.25">
      <c r="A209" s="35">
        <v>13</v>
      </c>
      <c r="B209" s="86" t="s">
        <v>67</v>
      </c>
      <c r="C209" s="101" t="s">
        <v>13</v>
      </c>
      <c r="D209" s="788" t="s">
        <v>6</v>
      </c>
      <c r="E209" s="789"/>
      <c r="F209" s="789"/>
      <c r="G209" s="789"/>
      <c r="H209" s="789"/>
      <c r="I209" s="789"/>
      <c r="J209" s="790"/>
    </row>
    <row r="210" spans="1:10" s="12" customFormat="1" x14ac:dyDescent="0.25">
      <c r="A210" s="87" t="s">
        <v>1013</v>
      </c>
      <c r="B210" s="440" t="s">
        <v>506</v>
      </c>
      <c r="C210" s="78">
        <v>40865</v>
      </c>
      <c r="D210" s="26" t="s">
        <v>797</v>
      </c>
      <c r="E210" s="97" t="s">
        <v>96</v>
      </c>
      <c r="F210" s="420">
        <f>CÁLCULO!H702</f>
        <v>48095.96</v>
      </c>
      <c r="G210" s="776">
        <v>0</v>
      </c>
      <c r="H210" s="777"/>
      <c r="I210" s="672">
        <v>0</v>
      </c>
      <c r="J210" s="664">
        <f>(F210*G210)</f>
        <v>0</v>
      </c>
    </row>
    <row r="211" spans="1:10" s="12" customFormat="1" x14ac:dyDescent="0.25">
      <c r="A211" s="87" t="s">
        <v>1014</v>
      </c>
      <c r="B211" s="440" t="s">
        <v>506</v>
      </c>
      <c r="C211" s="405">
        <v>40880</v>
      </c>
      <c r="D211" s="26" t="s">
        <v>795</v>
      </c>
      <c r="E211" s="97" t="s">
        <v>96</v>
      </c>
      <c r="F211" s="420">
        <f>CÁLCULO!H710</f>
        <v>4129.1900000000005</v>
      </c>
      <c r="G211" s="776">
        <v>0</v>
      </c>
      <c r="H211" s="777"/>
      <c r="I211" s="672">
        <v>0</v>
      </c>
      <c r="J211" s="664">
        <f>(F211*G211)</f>
        <v>0</v>
      </c>
    </row>
    <row r="212" spans="1:10" s="12" customFormat="1" x14ac:dyDescent="0.25">
      <c r="A212" s="87" t="s">
        <v>1015</v>
      </c>
      <c r="B212" s="440" t="s">
        <v>506</v>
      </c>
      <c r="C212" s="405">
        <v>40885</v>
      </c>
      <c r="D212" s="26" t="s">
        <v>798</v>
      </c>
      <c r="E212" s="97" t="s">
        <v>96</v>
      </c>
      <c r="F212" s="420">
        <f>CÁLCULO!H713</f>
        <v>44176.5</v>
      </c>
      <c r="G212" s="776">
        <v>0</v>
      </c>
      <c r="H212" s="777"/>
      <c r="I212" s="672">
        <v>0</v>
      </c>
      <c r="J212" s="664">
        <f>(F212*G212)</f>
        <v>0</v>
      </c>
    </row>
    <row r="213" spans="1:10" s="12" customFormat="1" x14ac:dyDescent="0.25">
      <c r="A213" s="87" t="s">
        <v>1016</v>
      </c>
      <c r="B213" s="440" t="s">
        <v>610</v>
      </c>
      <c r="C213" s="405" t="str">
        <f>COMPOSIÇÃO!A213</f>
        <v>CP. 11</v>
      </c>
      <c r="D213" s="26" t="str">
        <f>COMPOSIÇÃO!B213</f>
        <v>MONUMENTO O ESPANHOL</v>
      </c>
      <c r="E213" s="97" t="s">
        <v>179</v>
      </c>
      <c r="F213" s="420">
        <v>1</v>
      </c>
      <c r="G213" s="776">
        <v>0</v>
      </c>
      <c r="H213" s="777"/>
      <c r="I213" s="672">
        <v>0</v>
      </c>
      <c r="J213" s="664">
        <f>(F213*G213)</f>
        <v>0</v>
      </c>
    </row>
    <row r="214" spans="1:10" s="74" customFormat="1" ht="19.5" customHeight="1" x14ac:dyDescent="0.25">
      <c r="A214" s="87" t="s">
        <v>1017</v>
      </c>
      <c r="B214" s="76" t="s">
        <v>886</v>
      </c>
      <c r="C214" s="76">
        <v>3806402</v>
      </c>
      <c r="D214" s="541" t="s">
        <v>773</v>
      </c>
      <c r="E214" s="97" t="s">
        <v>96</v>
      </c>
      <c r="F214" s="423">
        <f>CÁLCULO!H784</f>
        <v>3612</v>
      </c>
      <c r="G214" s="776">
        <v>0</v>
      </c>
      <c r="H214" s="777"/>
      <c r="I214" s="672">
        <v>0</v>
      </c>
      <c r="J214" s="664">
        <f>(F214*G214)*1.2665</f>
        <v>0</v>
      </c>
    </row>
    <row r="215" spans="1:10" s="74" customFormat="1" ht="19.5" customHeight="1" x14ac:dyDescent="0.25">
      <c r="A215" s="87" t="s">
        <v>1018</v>
      </c>
      <c r="B215" s="76" t="s">
        <v>582</v>
      </c>
      <c r="C215" s="76">
        <v>270810</v>
      </c>
      <c r="D215" s="541" t="s">
        <v>969</v>
      </c>
      <c r="E215" s="97" t="s">
        <v>179</v>
      </c>
      <c r="F215" s="423">
        <f>CÁLCULO!H787</f>
        <v>5</v>
      </c>
      <c r="G215" s="678">
        <v>0</v>
      </c>
      <c r="H215" s="678">
        <v>0</v>
      </c>
      <c r="I215" s="672">
        <v>0</v>
      </c>
      <c r="J215" s="664">
        <f>(F215*(H215+G215))*1.2665</f>
        <v>0</v>
      </c>
    </row>
    <row r="216" spans="1:10" s="12" customFormat="1" ht="15.75" x14ac:dyDescent="0.25">
      <c r="A216" s="782" t="s">
        <v>0</v>
      </c>
      <c r="B216" s="783"/>
      <c r="C216" s="783"/>
      <c r="D216" s="783"/>
      <c r="E216" s="783"/>
      <c r="F216" s="783"/>
      <c r="G216" s="783"/>
      <c r="H216" s="783"/>
      <c r="I216" s="784"/>
      <c r="J216" s="661">
        <f>(SUM(J210:J215))</f>
        <v>0</v>
      </c>
    </row>
    <row r="217" spans="1:10" s="12" customFormat="1" x14ac:dyDescent="0.25">
      <c r="A217" s="814" t="s">
        <v>1024</v>
      </c>
      <c r="B217" s="815"/>
      <c r="C217" s="815"/>
      <c r="D217" s="815"/>
      <c r="E217" s="815"/>
      <c r="F217" s="815"/>
      <c r="G217" s="815"/>
      <c r="H217" s="815"/>
      <c r="I217" s="815"/>
      <c r="J217" s="816"/>
    </row>
    <row r="218" spans="1:10" s="12" customFormat="1" ht="16.5" thickBot="1" x14ac:dyDescent="0.3">
      <c r="A218" s="811" t="s">
        <v>1025</v>
      </c>
      <c r="B218" s="812"/>
      <c r="C218" s="812"/>
      <c r="D218" s="812"/>
      <c r="E218" s="812"/>
      <c r="F218" s="812"/>
      <c r="G218" s="812"/>
      <c r="H218" s="812"/>
      <c r="I218" s="813"/>
      <c r="J218" s="679">
        <f>J26+J30+J38+J46+J54+J85+J101+J110+J132+J160+J182+J216+J207</f>
        <v>0</v>
      </c>
    </row>
    <row r="219" spans="1:10" s="12" customFormat="1" x14ac:dyDescent="0.25">
      <c r="A219" s="32"/>
      <c r="B219" s="33"/>
      <c r="C219" s="33"/>
      <c r="D219" s="17"/>
      <c r="E219" s="43"/>
      <c r="F219" s="425"/>
      <c r="G219" s="104"/>
      <c r="H219" s="44"/>
      <c r="I219" s="532"/>
      <c r="J219" s="59"/>
    </row>
    <row r="220" spans="1:10" s="12" customFormat="1" x14ac:dyDescent="0.25">
      <c r="A220" s="34"/>
      <c r="B220" s="15"/>
      <c r="C220" s="15"/>
      <c r="D220" s="10"/>
      <c r="E220" s="37"/>
      <c r="F220" s="424"/>
      <c r="G220" s="103"/>
      <c r="H220" s="38"/>
      <c r="I220" s="531"/>
      <c r="J220" s="58"/>
    </row>
    <row r="221" spans="1:10" s="12" customFormat="1" x14ac:dyDescent="0.25">
      <c r="A221" s="34"/>
      <c r="B221" s="15"/>
      <c r="C221" s="37" t="s">
        <v>72</v>
      </c>
      <c r="D221" s="10"/>
      <c r="E221" s="37"/>
      <c r="F221" s="424" t="s">
        <v>72</v>
      </c>
      <c r="G221" s="37"/>
      <c r="H221" s="38"/>
      <c r="I221" s="531"/>
      <c r="J221" s="58"/>
    </row>
    <row r="222" spans="1:10" s="12" customFormat="1" x14ac:dyDescent="0.25">
      <c r="A222" s="34"/>
      <c r="B222" s="15"/>
      <c r="C222" s="70" t="s">
        <v>23</v>
      </c>
      <c r="D222" s="10"/>
      <c r="E222" s="37"/>
      <c r="F222" s="426" t="s">
        <v>464</v>
      </c>
      <c r="G222" s="375"/>
      <c r="H222" s="38"/>
      <c r="I222" s="531"/>
      <c r="J222" s="58"/>
    </row>
    <row r="223" spans="1:10" s="12" customFormat="1" x14ac:dyDescent="0.25">
      <c r="A223" s="40"/>
      <c r="B223" s="41"/>
      <c r="C223" s="70" t="s">
        <v>24</v>
      </c>
      <c r="D223" s="10"/>
      <c r="E223" s="37"/>
      <c r="F223" s="426" t="s">
        <v>25</v>
      </c>
      <c r="G223" s="375"/>
      <c r="H223" s="41"/>
      <c r="I223" s="533"/>
      <c r="J223" s="60"/>
    </row>
    <row r="224" spans="1:10" s="12" customFormat="1" x14ac:dyDescent="0.25">
      <c r="A224" s="34"/>
      <c r="B224" s="41"/>
      <c r="C224" s="70" t="s">
        <v>469</v>
      </c>
      <c r="D224" s="10"/>
      <c r="E224" s="37"/>
      <c r="F224" s="426" t="s">
        <v>465</v>
      </c>
      <c r="G224" s="375"/>
      <c r="H224" s="41"/>
      <c r="I224" s="533"/>
      <c r="J224" s="60"/>
    </row>
    <row r="225" spans="1:11" s="12" customFormat="1" x14ac:dyDescent="0.25">
      <c r="A225" s="34"/>
      <c r="B225" s="41"/>
      <c r="C225" s="15"/>
      <c r="D225" s="10"/>
      <c r="E225" s="37"/>
      <c r="F225" s="427"/>
      <c r="G225" s="38"/>
      <c r="H225" s="41"/>
      <c r="I225" s="533"/>
      <c r="J225" s="60"/>
    </row>
    <row r="226" spans="1:11" s="12" customFormat="1" x14ac:dyDescent="0.25">
      <c r="A226" s="34"/>
      <c r="B226" s="41"/>
      <c r="C226" s="37" t="s">
        <v>72</v>
      </c>
      <c r="D226" s="10"/>
      <c r="E226" s="37"/>
      <c r="F226" s="424" t="s">
        <v>72</v>
      </c>
      <c r="G226" s="37"/>
      <c r="H226" s="41"/>
      <c r="I226" s="533"/>
      <c r="J226" s="60"/>
    </row>
    <row r="227" spans="1:11" s="12" customFormat="1" x14ac:dyDescent="0.25">
      <c r="A227" s="40" t="s">
        <v>47</v>
      </c>
      <c r="B227" s="41"/>
      <c r="C227" s="70" t="s">
        <v>466</v>
      </c>
      <c r="D227" s="10"/>
      <c r="E227" s="37"/>
      <c r="F227" s="428" t="s">
        <v>502</v>
      </c>
      <c r="G227" s="374"/>
      <c r="H227" s="41"/>
      <c r="I227" s="533"/>
      <c r="J227" s="60"/>
    </row>
    <row r="228" spans="1:11" s="12" customFormat="1" x14ac:dyDescent="0.25">
      <c r="A228" s="69"/>
      <c r="B228" s="70"/>
      <c r="C228" s="70" t="s">
        <v>25</v>
      </c>
      <c r="D228" s="10"/>
      <c r="E228" s="37"/>
      <c r="F228" s="426" t="s">
        <v>504</v>
      </c>
      <c r="G228" s="375"/>
      <c r="H228" s="70"/>
      <c r="I228" s="534"/>
      <c r="J228" s="60"/>
    </row>
    <row r="229" spans="1:11" s="12" customFormat="1" ht="15.75" thickBot="1" x14ac:dyDescent="0.3">
      <c r="A229" s="67"/>
      <c r="B229" s="68"/>
      <c r="C229" s="68" t="s">
        <v>468</v>
      </c>
      <c r="D229" s="42"/>
      <c r="E229" s="68"/>
      <c r="F229" s="429" t="s">
        <v>467</v>
      </c>
      <c r="G229" s="68"/>
      <c r="H229" s="68"/>
      <c r="I229" s="535"/>
      <c r="J229" s="61"/>
    </row>
    <row r="230" spans="1:11" s="12" customFormat="1" x14ac:dyDescent="0.25">
      <c r="A230" s="108"/>
      <c r="B230" s="108"/>
      <c r="C230" s="108"/>
      <c r="D230" s="108"/>
      <c r="E230" s="108"/>
      <c r="F230" s="430"/>
      <c r="G230" s="109"/>
      <c r="H230" s="108"/>
      <c r="I230" s="536"/>
      <c r="J230" s="110"/>
      <c r="K230" s="10"/>
    </row>
    <row r="231" spans="1:11" s="12" customFormat="1" x14ac:dyDescent="0.25">
      <c r="A231" s="70"/>
      <c r="B231" s="70"/>
      <c r="C231" s="70"/>
      <c r="D231" s="540"/>
      <c r="E231" s="70"/>
      <c r="F231" s="426"/>
      <c r="G231" s="105"/>
      <c r="H231" s="70"/>
      <c r="I231" s="534"/>
      <c r="J231" s="111"/>
      <c r="K231" s="10"/>
    </row>
    <row r="232" spans="1:11" s="12" customFormat="1" x14ac:dyDescent="0.25">
      <c r="A232" s="70"/>
      <c r="B232" s="70"/>
      <c r="C232" s="70"/>
      <c r="D232" s="70"/>
      <c r="E232" s="70"/>
      <c r="F232" s="426"/>
      <c r="G232" s="105"/>
      <c r="H232" s="70"/>
      <c r="I232" s="534"/>
      <c r="J232" s="111"/>
      <c r="K232" s="10"/>
    </row>
    <row r="233" spans="1:11" s="12" customFormat="1" x14ac:dyDescent="0.25">
      <c r="A233" s="70"/>
      <c r="B233" s="70"/>
      <c r="C233" s="70"/>
      <c r="D233" s="70"/>
      <c r="E233" s="70"/>
      <c r="F233" s="426"/>
      <c r="G233" s="105"/>
      <c r="H233" s="70"/>
      <c r="I233" s="534"/>
      <c r="J233" s="111"/>
      <c r="K233" s="10"/>
    </row>
    <row r="234" spans="1:11" s="12" customFormat="1" x14ac:dyDescent="0.25">
      <c r="A234" s="70"/>
      <c r="B234" s="70"/>
      <c r="C234" s="70"/>
      <c r="D234" s="70"/>
      <c r="E234" s="70"/>
      <c r="F234" s="426"/>
      <c r="G234" s="105"/>
      <c r="H234" s="70"/>
      <c r="I234" s="534"/>
      <c r="J234" s="111"/>
      <c r="K234" s="10"/>
    </row>
    <row r="235" spans="1:11" s="12" customFormat="1" x14ac:dyDescent="0.25">
      <c r="A235" s="70"/>
      <c r="B235" s="70"/>
      <c r="C235" s="70"/>
      <c r="D235" s="70"/>
      <c r="E235" s="70"/>
      <c r="F235" s="426"/>
      <c r="G235" s="105"/>
      <c r="H235" s="70"/>
      <c r="I235" s="534"/>
      <c r="J235" s="111"/>
      <c r="K235" s="10"/>
    </row>
    <row r="236" spans="1:11" s="12" customFormat="1" x14ac:dyDescent="0.25">
      <c r="A236" s="70"/>
      <c r="B236" s="70"/>
      <c r="C236" s="70"/>
      <c r="D236" s="70"/>
      <c r="E236" s="70"/>
      <c r="F236" s="426"/>
      <c r="G236" s="105"/>
      <c r="H236" s="70"/>
      <c r="I236" s="534"/>
      <c r="J236" s="111"/>
      <c r="K236" s="10"/>
    </row>
    <row r="237" spans="1:11" s="12" customFormat="1" x14ac:dyDescent="0.25">
      <c r="A237" s="70"/>
      <c r="B237" s="70"/>
      <c r="C237" s="70"/>
      <c r="D237" s="70"/>
      <c r="E237" s="70"/>
      <c r="F237" s="426"/>
      <c r="G237" s="105"/>
      <c r="H237" s="70"/>
      <c r="I237" s="534"/>
      <c r="J237" s="111"/>
      <c r="K237" s="10"/>
    </row>
    <row r="238" spans="1:11" s="12" customFormat="1" x14ac:dyDescent="0.25">
      <c r="A238" s="70"/>
      <c r="B238" s="70"/>
      <c r="C238" s="70"/>
      <c r="D238" s="70"/>
      <c r="E238" s="70"/>
      <c r="F238" s="426"/>
      <c r="G238" s="105"/>
      <c r="H238" s="70"/>
      <c r="I238" s="534"/>
      <c r="J238" s="111"/>
      <c r="K238" s="10"/>
    </row>
    <row r="239" spans="1:11" s="12" customFormat="1" x14ac:dyDescent="0.25">
      <c r="A239" s="70"/>
      <c r="B239" s="70"/>
      <c r="C239" s="70"/>
      <c r="D239" s="70"/>
      <c r="E239" s="70"/>
      <c r="F239" s="426"/>
      <c r="G239" s="105"/>
      <c r="H239" s="70"/>
      <c r="I239" s="534"/>
      <c r="J239" s="111"/>
      <c r="K239" s="10"/>
    </row>
    <row r="240" spans="1:11" s="12" customFormat="1" x14ac:dyDescent="0.25">
      <c r="A240" s="70"/>
      <c r="B240" s="70"/>
      <c r="C240" s="70"/>
      <c r="D240" s="70"/>
      <c r="E240" s="70"/>
      <c r="F240" s="426"/>
      <c r="G240" s="105"/>
      <c r="H240" s="70"/>
      <c r="I240" s="534"/>
      <c r="J240" s="111"/>
      <c r="K240" s="10"/>
    </row>
    <row r="241" spans="1:11" s="12" customFormat="1" x14ac:dyDescent="0.25">
      <c r="A241" s="70"/>
      <c r="B241" s="70"/>
      <c r="C241" s="70"/>
      <c r="D241" s="70"/>
      <c r="E241" s="70"/>
      <c r="F241" s="426"/>
      <c r="G241" s="105"/>
      <c r="H241" s="70"/>
      <c r="I241" s="534"/>
      <c r="J241" s="111"/>
      <c r="K241" s="10"/>
    </row>
    <row r="242" spans="1:11" s="12" customFormat="1" x14ac:dyDescent="0.25">
      <c r="A242" s="70"/>
      <c r="B242" s="70"/>
      <c r="C242" s="70"/>
      <c r="D242" s="70"/>
      <c r="E242" s="70"/>
      <c r="F242" s="426"/>
      <c r="G242" s="105"/>
      <c r="H242" s="70"/>
      <c r="I242" s="534"/>
      <c r="J242" s="111"/>
      <c r="K242" s="10"/>
    </row>
    <row r="243" spans="1:11" s="12" customFormat="1" x14ac:dyDescent="0.25">
      <c r="A243" s="70"/>
      <c r="B243" s="70"/>
      <c r="C243" s="70"/>
      <c r="D243" s="70"/>
      <c r="E243" s="70"/>
      <c r="F243" s="426"/>
      <c r="G243" s="105"/>
      <c r="H243" s="70"/>
      <c r="I243" s="534"/>
      <c r="J243" s="111"/>
      <c r="K243" s="10"/>
    </row>
    <row r="244" spans="1:11" s="12" customFormat="1" x14ac:dyDescent="0.25">
      <c r="A244" s="70"/>
      <c r="B244" s="70"/>
      <c r="C244" s="70"/>
      <c r="D244" s="70"/>
      <c r="E244" s="70"/>
      <c r="F244" s="426"/>
      <c r="G244" s="105"/>
      <c r="H244" s="70"/>
      <c r="I244" s="534"/>
      <c r="J244" s="111"/>
      <c r="K244" s="10"/>
    </row>
    <row r="245" spans="1:11" s="12" customFormat="1" x14ac:dyDescent="0.25">
      <c r="A245" s="70"/>
      <c r="B245" s="70"/>
      <c r="C245" s="70"/>
      <c r="D245" s="70"/>
      <c r="E245" s="70"/>
      <c r="F245" s="426"/>
      <c r="G245" s="105"/>
      <c r="H245" s="70"/>
      <c r="I245" s="534"/>
      <c r="J245" s="111"/>
      <c r="K245" s="10"/>
    </row>
    <row r="246" spans="1:11" s="12" customFormat="1" x14ac:dyDescent="0.25">
      <c r="A246" s="70"/>
      <c r="B246" s="70"/>
      <c r="C246" s="70"/>
      <c r="D246" s="70"/>
      <c r="E246" s="70"/>
      <c r="F246" s="426"/>
      <c r="G246" s="105"/>
      <c r="H246" s="70"/>
      <c r="I246" s="534"/>
      <c r="J246" s="111"/>
      <c r="K246" s="10"/>
    </row>
    <row r="247" spans="1:11" s="12" customFormat="1" x14ac:dyDescent="0.25">
      <c r="A247" s="70"/>
      <c r="B247" s="70"/>
      <c r="C247" s="70"/>
      <c r="D247" s="70"/>
      <c r="E247" s="70"/>
      <c r="F247" s="426"/>
      <c r="G247" s="105"/>
      <c r="H247" s="70"/>
      <c r="I247" s="534"/>
      <c r="J247" s="111"/>
      <c r="K247" s="10"/>
    </row>
    <row r="248" spans="1:11" s="12" customFormat="1" x14ac:dyDescent="0.25">
      <c r="A248" s="70"/>
      <c r="B248" s="70"/>
      <c r="C248" s="70"/>
      <c r="D248" s="70"/>
      <c r="E248" s="70"/>
      <c r="F248" s="426"/>
      <c r="G248" s="105"/>
      <c r="H248" s="70"/>
      <c r="I248" s="534"/>
      <c r="J248" s="111"/>
      <c r="K248" s="10"/>
    </row>
    <row r="249" spans="1:11" s="12" customFormat="1" x14ac:dyDescent="0.25">
      <c r="A249" s="70"/>
      <c r="B249" s="70"/>
      <c r="C249" s="70"/>
      <c r="D249" s="70"/>
      <c r="E249" s="70"/>
      <c r="F249" s="426"/>
      <c r="G249" s="105"/>
      <c r="H249" s="70"/>
      <c r="I249" s="534"/>
      <c r="J249" s="111"/>
      <c r="K249" s="10"/>
    </row>
    <row r="250" spans="1:11" s="12" customFormat="1" x14ac:dyDescent="0.25">
      <c r="A250" s="70"/>
      <c r="B250" s="70"/>
      <c r="C250" s="70"/>
      <c r="D250" s="70"/>
      <c r="E250" s="70"/>
      <c r="F250" s="426"/>
      <c r="G250" s="105"/>
      <c r="H250" s="70"/>
      <c r="I250" s="534"/>
      <c r="J250" s="111"/>
      <c r="K250" s="10"/>
    </row>
    <row r="251" spans="1:11" s="12" customFormat="1" x14ac:dyDescent="0.25">
      <c r="A251" s="70"/>
      <c r="B251" s="70"/>
      <c r="C251" s="70"/>
      <c r="D251" s="70"/>
      <c r="E251" s="70"/>
      <c r="F251" s="426"/>
      <c r="G251" s="105"/>
      <c r="H251" s="70"/>
      <c r="I251" s="534"/>
      <c r="J251" s="111"/>
      <c r="K251" s="10"/>
    </row>
    <row r="252" spans="1:11" s="12" customFormat="1" ht="30" customHeight="1" x14ac:dyDescent="0.25">
      <c r="A252" s="70"/>
      <c r="B252" s="70"/>
      <c r="C252" s="70"/>
      <c r="D252" s="70"/>
      <c r="E252" s="70"/>
      <c r="F252" s="426"/>
      <c r="G252" s="105"/>
      <c r="H252" s="70"/>
      <c r="I252" s="534"/>
      <c r="J252" s="111"/>
      <c r="K252" s="10"/>
    </row>
    <row r="253" spans="1:11" s="12" customFormat="1" x14ac:dyDescent="0.25">
      <c r="A253" s="70"/>
      <c r="B253" s="70"/>
      <c r="C253" s="70"/>
      <c r="D253" s="70"/>
      <c r="E253" s="70"/>
      <c r="F253" s="426"/>
      <c r="G253" s="105"/>
      <c r="H253" s="70"/>
      <c r="I253" s="534"/>
      <c r="J253" s="111"/>
      <c r="K253" s="10"/>
    </row>
    <row r="254" spans="1:11" s="12" customFormat="1" x14ac:dyDescent="0.25">
      <c r="A254" s="70"/>
      <c r="B254" s="70"/>
      <c r="C254" s="70"/>
      <c r="D254" s="70"/>
      <c r="E254" s="70"/>
      <c r="F254" s="426"/>
      <c r="G254" s="105"/>
      <c r="H254" s="70"/>
      <c r="I254" s="534"/>
      <c r="J254" s="111"/>
      <c r="K254" s="10"/>
    </row>
    <row r="255" spans="1:11" s="12" customFormat="1" x14ac:dyDescent="0.25">
      <c r="A255" s="70"/>
      <c r="B255" s="70"/>
      <c r="C255" s="70"/>
      <c r="D255" s="70"/>
      <c r="E255" s="70"/>
      <c r="F255" s="426"/>
      <c r="G255" s="105"/>
      <c r="H255" s="70"/>
      <c r="I255" s="534"/>
      <c r="J255" s="111"/>
      <c r="K255" s="10"/>
    </row>
    <row r="256" spans="1:11" s="12" customFormat="1" x14ac:dyDescent="0.25">
      <c r="A256" s="70"/>
      <c r="B256" s="70"/>
      <c r="C256" s="70"/>
      <c r="D256" s="70"/>
      <c r="E256" s="70"/>
      <c r="F256" s="426"/>
      <c r="G256" s="105"/>
      <c r="H256" s="70"/>
      <c r="I256" s="534"/>
      <c r="J256" s="111"/>
      <c r="K256" s="10"/>
    </row>
    <row r="257" spans="1:11" s="12" customFormat="1" x14ac:dyDescent="0.25">
      <c r="A257" s="70"/>
      <c r="B257" s="70"/>
      <c r="C257" s="70"/>
      <c r="D257" s="70"/>
      <c r="E257" s="70"/>
      <c r="F257" s="426"/>
      <c r="G257" s="105"/>
      <c r="H257" s="70"/>
      <c r="I257" s="534"/>
      <c r="J257" s="111"/>
      <c r="K257" s="10"/>
    </row>
    <row r="258" spans="1:11" s="12" customFormat="1" x14ac:dyDescent="0.25">
      <c r="A258" s="70"/>
      <c r="B258" s="70"/>
      <c r="C258" s="70"/>
      <c r="D258" s="70"/>
      <c r="E258" s="70"/>
      <c r="F258" s="426"/>
      <c r="G258" s="105"/>
      <c r="H258" s="70"/>
      <c r="I258" s="534"/>
      <c r="J258" s="111"/>
      <c r="K258" s="10"/>
    </row>
    <row r="259" spans="1:11" s="12" customFormat="1" x14ac:dyDescent="0.25">
      <c r="A259" s="70"/>
      <c r="B259" s="70"/>
      <c r="C259" s="70"/>
      <c r="D259" s="70"/>
      <c r="E259" s="70"/>
      <c r="F259" s="426"/>
      <c r="G259" s="105"/>
      <c r="H259" s="70"/>
      <c r="I259" s="534"/>
      <c r="J259" s="111"/>
      <c r="K259" s="10"/>
    </row>
    <row r="260" spans="1:11" s="12" customFormat="1" x14ac:dyDescent="0.25">
      <c r="A260" s="70"/>
      <c r="B260" s="70"/>
      <c r="C260" s="70"/>
      <c r="D260" s="70"/>
      <c r="E260" s="70"/>
      <c r="F260" s="426"/>
      <c r="G260" s="105"/>
      <c r="H260" s="70"/>
      <c r="I260" s="534"/>
      <c r="J260" s="111"/>
      <c r="K260" s="10"/>
    </row>
    <row r="261" spans="1:11" s="12" customFormat="1" x14ac:dyDescent="0.25">
      <c r="A261" s="70"/>
      <c r="B261" s="70"/>
      <c r="C261" s="70"/>
      <c r="D261" s="70"/>
      <c r="E261" s="70"/>
      <c r="F261" s="426"/>
      <c r="G261" s="105"/>
      <c r="H261" s="70"/>
      <c r="I261" s="534"/>
      <c r="J261" s="111"/>
      <c r="K261" s="10"/>
    </row>
    <row r="262" spans="1:11" s="12" customFormat="1" x14ac:dyDescent="0.25">
      <c r="A262" s="70"/>
      <c r="B262" s="70"/>
      <c r="C262" s="70"/>
      <c r="D262" s="70"/>
      <c r="E262" s="70"/>
      <c r="F262" s="426"/>
      <c r="G262" s="105"/>
      <c r="H262" s="70"/>
      <c r="I262" s="534"/>
      <c r="J262" s="111"/>
      <c r="K262" s="10"/>
    </row>
    <row r="263" spans="1:11" s="12" customFormat="1" x14ac:dyDescent="0.25">
      <c r="A263" s="70"/>
      <c r="B263" s="70"/>
      <c r="C263" s="70"/>
      <c r="D263" s="70"/>
      <c r="E263" s="70"/>
      <c r="F263" s="426"/>
      <c r="G263" s="105"/>
      <c r="H263" s="70"/>
      <c r="I263" s="534"/>
      <c r="J263" s="111"/>
      <c r="K263" s="10"/>
    </row>
    <row r="264" spans="1:11" s="12" customFormat="1" x14ac:dyDescent="0.25">
      <c r="A264" s="70"/>
      <c r="B264" s="70"/>
      <c r="C264" s="70"/>
      <c r="D264" s="70"/>
      <c r="E264" s="70"/>
      <c r="F264" s="426"/>
      <c r="G264" s="105"/>
      <c r="H264" s="70"/>
      <c r="I264" s="534"/>
      <c r="J264" s="111"/>
      <c r="K264" s="10"/>
    </row>
    <row r="265" spans="1:11" s="12" customFormat="1" x14ac:dyDescent="0.25">
      <c r="A265" s="70"/>
      <c r="B265" s="70"/>
      <c r="C265" s="70"/>
      <c r="D265" s="70"/>
      <c r="E265" s="70"/>
      <c r="F265" s="426"/>
      <c r="G265" s="105"/>
      <c r="H265" s="70"/>
      <c r="I265" s="534"/>
      <c r="J265" s="111"/>
      <c r="K265" s="10"/>
    </row>
    <row r="266" spans="1:11" s="12" customFormat="1" x14ac:dyDescent="0.25">
      <c r="A266" s="70"/>
      <c r="B266" s="70"/>
      <c r="C266" s="70"/>
      <c r="D266" s="70"/>
      <c r="E266" s="70"/>
      <c r="F266" s="426"/>
      <c r="G266" s="105"/>
      <c r="H266" s="70"/>
      <c r="I266" s="534"/>
      <c r="J266" s="111"/>
      <c r="K266" s="10"/>
    </row>
    <row r="267" spans="1:11" s="12" customFormat="1" x14ac:dyDescent="0.25">
      <c r="A267" s="70"/>
      <c r="B267" s="70"/>
      <c r="C267" s="70"/>
      <c r="D267" s="70"/>
      <c r="E267" s="70"/>
      <c r="F267" s="426"/>
      <c r="G267" s="105"/>
      <c r="H267" s="70"/>
      <c r="I267" s="534"/>
      <c r="J267" s="111"/>
      <c r="K267" s="10"/>
    </row>
    <row r="268" spans="1:11" s="12" customFormat="1" x14ac:dyDescent="0.25">
      <c r="A268" s="70"/>
      <c r="B268" s="70"/>
      <c r="C268" s="70"/>
      <c r="D268" s="70"/>
      <c r="E268" s="70"/>
      <c r="F268" s="426"/>
      <c r="G268" s="105"/>
      <c r="H268" s="70"/>
      <c r="I268" s="534"/>
      <c r="J268" s="111"/>
      <c r="K268" s="10"/>
    </row>
    <row r="269" spans="1:11" s="12" customFormat="1" x14ac:dyDescent="0.25">
      <c r="A269" s="70"/>
      <c r="B269" s="70"/>
      <c r="C269" s="70"/>
      <c r="D269" s="70"/>
      <c r="E269" s="70"/>
      <c r="F269" s="426"/>
      <c r="G269" s="105"/>
      <c r="H269" s="70"/>
      <c r="I269" s="534"/>
      <c r="J269" s="111"/>
      <c r="K269" s="10"/>
    </row>
    <row r="270" spans="1:11" s="12" customFormat="1" x14ac:dyDescent="0.25">
      <c r="A270" s="70"/>
      <c r="B270" s="70"/>
      <c r="C270" s="70"/>
      <c r="D270" s="70"/>
      <c r="E270" s="70"/>
      <c r="F270" s="426"/>
      <c r="G270" s="105"/>
      <c r="H270" s="70"/>
      <c r="I270" s="534"/>
      <c r="J270" s="111"/>
      <c r="K270" s="10"/>
    </row>
    <row r="271" spans="1:11" s="12" customFormat="1" x14ac:dyDescent="0.25">
      <c r="A271" s="70"/>
      <c r="B271" s="70"/>
      <c r="C271" s="70"/>
      <c r="D271" s="70"/>
      <c r="E271" s="70"/>
      <c r="F271" s="426"/>
      <c r="G271" s="105"/>
      <c r="H271" s="70"/>
      <c r="I271" s="534"/>
      <c r="J271" s="111"/>
      <c r="K271" s="10"/>
    </row>
    <row r="272" spans="1:11" s="12" customFormat="1" x14ac:dyDescent="0.25">
      <c r="A272" s="70"/>
      <c r="B272" s="70"/>
      <c r="C272" s="70"/>
      <c r="D272" s="70"/>
      <c r="E272" s="70"/>
      <c r="F272" s="426"/>
      <c r="G272" s="105"/>
      <c r="H272" s="70"/>
      <c r="I272" s="534"/>
      <c r="J272" s="111"/>
      <c r="K272" s="10"/>
    </row>
    <row r="273" spans="1:11" s="12" customFormat="1" x14ac:dyDescent="0.25">
      <c r="A273" s="70"/>
      <c r="B273" s="70"/>
      <c r="C273" s="70"/>
      <c r="D273" s="70"/>
      <c r="E273" s="70"/>
      <c r="F273" s="426"/>
      <c r="G273" s="105"/>
      <c r="H273" s="70"/>
      <c r="I273" s="534"/>
      <c r="J273" s="111"/>
      <c r="K273" s="10"/>
    </row>
    <row r="274" spans="1:11" s="12" customFormat="1" x14ac:dyDescent="0.25">
      <c r="A274" s="70"/>
      <c r="B274" s="70"/>
      <c r="C274" s="70"/>
      <c r="D274" s="70"/>
      <c r="E274" s="70"/>
      <c r="F274" s="426"/>
      <c r="G274" s="105"/>
      <c r="H274" s="70"/>
      <c r="I274" s="534"/>
      <c r="J274" s="111"/>
      <c r="K274" s="10"/>
    </row>
    <row r="275" spans="1:11" s="12" customFormat="1" x14ac:dyDescent="0.25">
      <c r="A275" s="70"/>
      <c r="B275" s="70"/>
      <c r="C275" s="70"/>
      <c r="D275" s="70"/>
      <c r="E275" s="70"/>
      <c r="F275" s="426"/>
      <c r="G275" s="105"/>
      <c r="H275" s="70"/>
      <c r="I275" s="534"/>
      <c r="J275" s="111"/>
      <c r="K275" s="10"/>
    </row>
    <row r="276" spans="1:11" s="12" customFormat="1" x14ac:dyDescent="0.25">
      <c r="A276" s="70"/>
      <c r="B276" s="70"/>
      <c r="C276" s="70"/>
      <c r="D276" s="70"/>
      <c r="E276" s="70"/>
      <c r="F276" s="426"/>
      <c r="G276" s="105"/>
      <c r="H276" s="70"/>
      <c r="I276" s="534"/>
      <c r="J276" s="111"/>
      <c r="K276" s="10"/>
    </row>
    <row r="277" spans="1:11" s="12" customFormat="1" x14ac:dyDescent="0.25">
      <c r="A277" s="70"/>
      <c r="B277" s="70"/>
      <c r="C277" s="70"/>
      <c r="D277" s="70"/>
      <c r="E277" s="70"/>
      <c r="F277" s="426"/>
      <c r="G277" s="105"/>
      <c r="H277" s="70"/>
      <c r="I277" s="534"/>
      <c r="J277" s="111"/>
      <c r="K277" s="10"/>
    </row>
    <row r="278" spans="1:11" s="12" customFormat="1" x14ac:dyDescent="0.25">
      <c r="A278" s="70"/>
      <c r="B278" s="70"/>
      <c r="C278" s="70"/>
      <c r="D278" s="70"/>
      <c r="E278" s="70"/>
      <c r="F278" s="426"/>
      <c r="G278" s="105"/>
      <c r="H278" s="70"/>
      <c r="I278" s="534"/>
      <c r="J278" s="111"/>
      <c r="K278" s="10"/>
    </row>
    <row r="279" spans="1:11" s="12" customFormat="1" x14ac:dyDescent="0.25">
      <c r="A279" s="70"/>
      <c r="B279" s="70"/>
      <c r="C279" s="70"/>
      <c r="D279" s="70"/>
      <c r="E279" s="70"/>
      <c r="F279" s="426"/>
      <c r="G279" s="105"/>
      <c r="H279" s="70"/>
      <c r="I279" s="534"/>
      <c r="J279" s="111"/>
      <c r="K279" s="10"/>
    </row>
    <row r="280" spans="1:11" s="12" customFormat="1" x14ac:dyDescent="0.25">
      <c r="A280" s="70"/>
      <c r="B280" s="70"/>
      <c r="C280" s="70"/>
      <c r="D280" s="70"/>
      <c r="E280" s="70"/>
      <c r="F280" s="426"/>
      <c r="G280" s="105"/>
      <c r="H280" s="70"/>
      <c r="I280" s="534"/>
      <c r="J280" s="111"/>
      <c r="K280" s="10"/>
    </row>
    <row r="281" spans="1:11" s="12" customFormat="1" x14ac:dyDescent="0.25">
      <c r="A281" s="10"/>
      <c r="B281" s="10"/>
      <c r="C281" s="10"/>
      <c r="D281" s="10"/>
      <c r="E281" s="10"/>
      <c r="F281" s="424"/>
      <c r="G281" s="103"/>
      <c r="H281" s="10"/>
      <c r="I281" s="531"/>
      <c r="J281" s="112"/>
      <c r="K281" s="10"/>
    </row>
    <row r="282" spans="1:11" s="12" customFormat="1" x14ac:dyDescent="0.25">
      <c r="A282" s="10"/>
      <c r="B282" s="10"/>
      <c r="C282" s="10"/>
      <c r="D282" s="10"/>
      <c r="E282" s="10"/>
      <c r="F282" s="424"/>
      <c r="G282" s="103"/>
      <c r="H282" s="10"/>
      <c r="I282" s="531"/>
      <c r="J282" s="112"/>
      <c r="K282" s="10"/>
    </row>
    <row r="283" spans="1:11" s="12" customFormat="1" x14ac:dyDescent="0.25">
      <c r="A283" s="10"/>
      <c r="B283" s="10"/>
      <c r="C283" s="10"/>
      <c r="D283" s="10"/>
      <c r="E283" s="10"/>
      <c r="F283" s="424"/>
      <c r="G283" s="103"/>
      <c r="H283" s="10"/>
      <c r="I283" s="531"/>
      <c r="J283" s="112"/>
      <c r="K283" s="10"/>
    </row>
    <row r="284" spans="1:11" s="12" customFormat="1" x14ac:dyDescent="0.25">
      <c r="A284" s="10"/>
      <c r="B284" s="10"/>
      <c r="C284" s="10"/>
      <c r="D284" s="10"/>
      <c r="E284" s="10"/>
      <c r="F284" s="424"/>
      <c r="G284" s="103"/>
      <c r="H284" s="10"/>
      <c r="I284" s="531"/>
      <c r="J284" s="112"/>
      <c r="K284" s="10"/>
    </row>
    <row r="285" spans="1:11" s="12" customFormat="1" x14ac:dyDescent="0.25">
      <c r="A285" s="10"/>
      <c r="B285" s="10"/>
      <c r="C285" s="10"/>
      <c r="D285" s="10"/>
      <c r="E285" s="10"/>
      <c r="F285" s="424"/>
      <c r="G285" s="103"/>
      <c r="H285" s="10"/>
      <c r="I285" s="531"/>
      <c r="J285" s="112"/>
      <c r="K285" s="10"/>
    </row>
    <row r="286" spans="1:11" s="12" customFormat="1" x14ac:dyDescent="0.25">
      <c r="A286" s="10"/>
      <c r="B286" s="10"/>
      <c r="C286" s="10"/>
      <c r="D286" s="10"/>
      <c r="E286" s="10"/>
      <c r="F286" s="424"/>
      <c r="G286" s="103"/>
      <c r="H286" s="10"/>
      <c r="I286" s="531"/>
      <c r="J286" s="112"/>
      <c r="K286" s="10"/>
    </row>
    <row r="287" spans="1:11" s="12" customFormat="1" x14ac:dyDescent="0.25">
      <c r="A287" s="10"/>
      <c r="B287" s="10"/>
      <c r="C287" s="10"/>
      <c r="D287" s="10"/>
      <c r="E287" s="10"/>
      <c r="F287" s="424"/>
      <c r="G287" s="103"/>
      <c r="H287" s="10"/>
      <c r="I287" s="531"/>
      <c r="J287" s="112"/>
      <c r="K287" s="10"/>
    </row>
    <row r="288" spans="1:11" s="12" customFormat="1" x14ac:dyDescent="0.25">
      <c r="A288" s="10"/>
      <c r="B288" s="10"/>
      <c r="C288" s="10"/>
      <c r="D288" s="10"/>
      <c r="E288" s="10"/>
      <c r="F288" s="424"/>
      <c r="G288" s="103"/>
      <c r="H288" s="10"/>
      <c r="I288" s="531"/>
      <c r="J288" s="112"/>
      <c r="K288" s="10"/>
    </row>
    <row r="289" spans="1:12" s="12" customFormat="1" x14ac:dyDescent="0.25">
      <c r="A289" s="10"/>
      <c r="B289" s="10"/>
      <c r="C289" s="10"/>
      <c r="D289" s="10"/>
      <c r="E289" s="10"/>
      <c r="F289" s="424"/>
      <c r="G289" s="103"/>
      <c r="H289" s="10"/>
      <c r="I289" s="531"/>
      <c r="J289" s="112"/>
      <c r="K289" s="10"/>
    </row>
    <row r="290" spans="1:12" s="12" customFormat="1" x14ac:dyDescent="0.25">
      <c r="A290" s="10"/>
      <c r="B290" s="10"/>
      <c r="C290" s="10"/>
      <c r="D290" s="10"/>
      <c r="E290" s="10"/>
      <c r="F290" s="424"/>
      <c r="G290" s="103"/>
      <c r="H290" s="10"/>
      <c r="I290" s="531"/>
      <c r="J290" s="112"/>
      <c r="K290" s="10"/>
    </row>
    <row r="291" spans="1:12" s="12" customFormat="1" x14ac:dyDescent="0.25">
      <c r="A291" s="10"/>
      <c r="B291" s="10"/>
      <c r="C291" s="10"/>
      <c r="D291" s="10"/>
      <c r="E291" s="10"/>
      <c r="F291" s="424"/>
      <c r="G291" s="103"/>
      <c r="H291" s="10"/>
      <c r="I291" s="531"/>
      <c r="J291" s="112"/>
      <c r="K291" s="10"/>
    </row>
    <row r="292" spans="1:12" s="12" customFormat="1" x14ac:dyDescent="0.25">
      <c r="A292" s="10"/>
      <c r="B292" s="10"/>
      <c r="C292" s="10"/>
      <c r="D292" s="10"/>
      <c r="E292" s="10"/>
      <c r="F292" s="424"/>
      <c r="G292" s="103"/>
      <c r="H292" s="10"/>
      <c r="I292" s="531"/>
      <c r="J292" s="112"/>
      <c r="K292" s="10"/>
    </row>
    <row r="293" spans="1:12" s="12" customFormat="1" x14ac:dyDescent="0.25">
      <c r="A293" s="10"/>
      <c r="B293" s="10"/>
      <c r="C293" s="10"/>
      <c r="D293" s="10"/>
      <c r="E293" s="10"/>
      <c r="F293" s="424"/>
      <c r="G293" s="103"/>
      <c r="H293" s="10"/>
      <c r="I293" s="531"/>
      <c r="J293" s="112"/>
      <c r="K293" s="10"/>
    </row>
    <row r="294" spans="1:12" s="11" customFormat="1" x14ac:dyDescent="0.25">
      <c r="A294" s="113"/>
      <c r="B294" s="113"/>
      <c r="C294" s="113"/>
      <c r="D294" s="113"/>
      <c r="E294" s="113"/>
      <c r="F294" s="431"/>
      <c r="G294" s="114"/>
      <c r="H294" s="113"/>
      <c r="I294" s="531"/>
      <c r="J294" s="115"/>
      <c r="K294" s="113"/>
    </row>
    <row r="295" spans="1:12" s="12" customFormat="1" x14ac:dyDescent="0.25">
      <c r="A295" s="10"/>
      <c r="B295" s="10"/>
      <c r="C295" s="10"/>
      <c r="D295" s="10"/>
      <c r="E295" s="10"/>
      <c r="F295" s="424"/>
      <c r="G295" s="103"/>
      <c r="H295" s="10"/>
      <c r="I295" s="531"/>
      <c r="J295" s="112"/>
      <c r="K295" s="10"/>
    </row>
    <row r="296" spans="1:12" s="11" customFormat="1" x14ac:dyDescent="0.25">
      <c r="A296" s="113"/>
      <c r="B296" s="113"/>
      <c r="C296" s="113"/>
      <c r="D296" s="113"/>
      <c r="E296" s="113"/>
      <c r="F296" s="431"/>
      <c r="G296" s="114"/>
      <c r="H296" s="113"/>
      <c r="I296" s="531"/>
      <c r="J296" s="115"/>
      <c r="K296" s="113"/>
    </row>
    <row r="297" spans="1:12" s="12" customFormat="1" x14ac:dyDescent="0.25">
      <c r="A297" s="10"/>
      <c r="B297" s="10"/>
      <c r="C297" s="10"/>
      <c r="D297" s="10"/>
      <c r="E297" s="10"/>
      <c r="F297" s="424"/>
      <c r="G297" s="103"/>
      <c r="H297" s="10"/>
      <c r="I297" s="531"/>
      <c r="J297" s="112"/>
      <c r="K297" s="10"/>
    </row>
    <row r="298" spans="1:12" s="12" customFormat="1" x14ac:dyDescent="0.25">
      <c r="A298" s="10"/>
      <c r="B298" s="10"/>
      <c r="C298" s="10"/>
      <c r="D298" s="10"/>
      <c r="E298" s="10"/>
      <c r="F298" s="424"/>
      <c r="G298" s="103"/>
      <c r="H298" s="10"/>
      <c r="I298" s="531"/>
      <c r="J298" s="112"/>
      <c r="K298" s="10"/>
    </row>
    <row r="299" spans="1:12" s="12" customFormat="1" x14ac:dyDescent="0.25">
      <c r="A299" s="10"/>
      <c r="B299" s="10"/>
      <c r="C299" s="10"/>
      <c r="D299" s="10"/>
      <c r="E299" s="10"/>
      <c r="F299" s="424"/>
      <c r="G299" s="103"/>
      <c r="H299" s="10"/>
      <c r="I299" s="531"/>
      <c r="J299" s="112"/>
      <c r="K299" s="10"/>
    </row>
    <row r="300" spans="1:12" s="12" customFormat="1" x14ac:dyDescent="0.25">
      <c r="A300" s="10"/>
      <c r="B300" s="10"/>
      <c r="C300" s="10"/>
      <c r="D300" s="10"/>
      <c r="E300" s="10"/>
      <c r="F300" s="424"/>
      <c r="G300" s="103"/>
      <c r="H300" s="10"/>
      <c r="I300" s="531"/>
      <c r="J300" s="112"/>
      <c r="K300" s="10"/>
    </row>
    <row r="301" spans="1:12" s="12" customFormat="1" x14ac:dyDescent="0.25">
      <c r="A301" s="10"/>
      <c r="B301" s="10"/>
      <c r="C301" s="10"/>
      <c r="D301" s="10"/>
      <c r="E301" s="10"/>
      <c r="F301" s="424"/>
      <c r="G301" s="103"/>
      <c r="H301" s="10"/>
      <c r="I301" s="531"/>
      <c r="J301" s="112"/>
      <c r="K301" s="10"/>
    </row>
    <row r="302" spans="1:12" s="12" customFormat="1" x14ac:dyDescent="0.25">
      <c r="A302" s="10"/>
      <c r="B302" s="10"/>
      <c r="C302" s="10"/>
      <c r="D302" s="10"/>
      <c r="E302" s="10"/>
      <c r="F302" s="424"/>
      <c r="G302" s="103"/>
      <c r="H302" s="10"/>
      <c r="I302" s="531"/>
      <c r="J302" s="112"/>
      <c r="K302" s="10"/>
    </row>
    <row r="303" spans="1:12" s="12" customFormat="1" x14ac:dyDescent="0.25">
      <c r="A303" s="10"/>
      <c r="B303" s="10"/>
      <c r="C303" s="10"/>
      <c r="D303" s="10"/>
      <c r="E303" s="10"/>
      <c r="F303" s="424"/>
      <c r="G303" s="103"/>
      <c r="H303" s="10"/>
      <c r="I303" s="531"/>
      <c r="J303" s="112"/>
      <c r="K303" s="10"/>
    </row>
    <row r="304" spans="1:12" s="12" customFormat="1" x14ac:dyDescent="0.25">
      <c r="F304" s="432"/>
      <c r="G304" s="106"/>
      <c r="I304" s="514"/>
      <c r="J304" s="62"/>
      <c r="L304" s="39"/>
    </row>
    <row r="305" spans="6:10" s="12" customFormat="1" x14ac:dyDescent="0.25">
      <c r="F305" s="432"/>
      <c r="G305" s="106"/>
      <c r="I305" s="514"/>
      <c r="J305" s="62"/>
    </row>
    <row r="306" spans="6:10" s="12" customFormat="1" x14ac:dyDescent="0.25">
      <c r="F306" s="432"/>
      <c r="G306" s="106"/>
      <c r="I306" s="514"/>
      <c r="J306" s="62"/>
    </row>
    <row r="307" spans="6:10" s="12" customFormat="1" x14ac:dyDescent="0.25">
      <c r="F307" s="432"/>
      <c r="G307" s="106"/>
      <c r="I307" s="514"/>
      <c r="J307" s="62"/>
    </row>
    <row r="308" spans="6:10" s="12" customFormat="1" x14ac:dyDescent="0.25">
      <c r="F308" s="432"/>
      <c r="G308" s="106"/>
      <c r="I308" s="514"/>
      <c r="J308" s="62"/>
    </row>
    <row r="309" spans="6:10" s="12" customFormat="1" x14ac:dyDescent="0.25">
      <c r="F309" s="432"/>
      <c r="G309" s="106"/>
      <c r="I309" s="514"/>
      <c r="J309" s="62"/>
    </row>
    <row r="310" spans="6:10" s="12" customFormat="1" x14ac:dyDescent="0.25">
      <c r="F310" s="432"/>
      <c r="G310" s="106"/>
      <c r="I310" s="514"/>
      <c r="J310" s="62"/>
    </row>
    <row r="311" spans="6:10" s="12" customFormat="1" x14ac:dyDescent="0.25">
      <c r="F311" s="432"/>
      <c r="G311" s="106"/>
      <c r="I311" s="514"/>
      <c r="J311" s="62"/>
    </row>
    <row r="312" spans="6:10" s="12" customFormat="1" x14ac:dyDescent="0.25">
      <c r="F312" s="432"/>
      <c r="G312" s="106"/>
      <c r="I312" s="514"/>
      <c r="J312" s="62"/>
    </row>
    <row r="313" spans="6:10" s="12" customFormat="1" x14ac:dyDescent="0.25">
      <c r="F313" s="432"/>
      <c r="G313" s="106"/>
      <c r="I313" s="514"/>
      <c r="J313" s="62"/>
    </row>
    <row r="314" spans="6:10" s="12" customFormat="1" x14ac:dyDescent="0.25">
      <c r="F314" s="432"/>
      <c r="G314" s="106"/>
      <c r="I314" s="514"/>
      <c r="J314" s="62"/>
    </row>
    <row r="315" spans="6:10" s="12" customFormat="1" x14ac:dyDescent="0.25">
      <c r="F315" s="432"/>
      <c r="G315" s="106"/>
      <c r="I315" s="514"/>
      <c r="J315" s="62"/>
    </row>
    <row r="316" spans="6:10" s="12" customFormat="1" x14ac:dyDescent="0.25">
      <c r="F316" s="432"/>
      <c r="G316" s="106"/>
      <c r="I316" s="514"/>
      <c r="J316" s="62"/>
    </row>
    <row r="317" spans="6:10" s="12" customFormat="1" x14ac:dyDescent="0.25">
      <c r="F317" s="432"/>
      <c r="G317" s="106"/>
      <c r="I317" s="514"/>
      <c r="J317" s="62"/>
    </row>
    <row r="318" spans="6:10" s="12" customFormat="1" x14ac:dyDescent="0.25">
      <c r="F318" s="432"/>
      <c r="G318" s="106"/>
      <c r="I318" s="514"/>
      <c r="J318" s="62"/>
    </row>
    <row r="319" spans="6:10" s="12" customFormat="1" x14ac:dyDescent="0.25">
      <c r="F319" s="432"/>
      <c r="G319" s="106"/>
      <c r="I319" s="514"/>
      <c r="J319" s="62"/>
    </row>
    <row r="320" spans="6:10" s="12" customFormat="1" x14ac:dyDescent="0.25">
      <c r="F320" s="432"/>
      <c r="G320" s="106"/>
      <c r="I320" s="514"/>
      <c r="J320" s="62"/>
    </row>
    <row r="321" spans="1:10" s="12" customFormat="1" x14ac:dyDescent="0.25">
      <c r="F321" s="432"/>
      <c r="G321" s="106"/>
      <c r="I321" s="514"/>
      <c r="J321" s="62"/>
    </row>
    <row r="322" spans="1:10" s="12" customFormat="1" x14ac:dyDescent="0.25">
      <c r="F322" s="432"/>
      <c r="G322" s="106"/>
      <c r="I322" s="514"/>
      <c r="J322" s="62"/>
    </row>
    <row r="323" spans="1:10" s="12" customFormat="1" x14ac:dyDescent="0.25">
      <c r="F323" s="432"/>
      <c r="G323" s="106"/>
      <c r="I323" s="514"/>
      <c r="J323" s="62"/>
    </row>
    <row r="324" spans="1:10" s="12" customFormat="1" x14ac:dyDescent="0.25">
      <c r="F324" s="432"/>
      <c r="G324" s="106"/>
      <c r="I324" s="514"/>
      <c r="J324" s="62"/>
    </row>
    <row r="325" spans="1:10" s="12" customFormat="1" x14ac:dyDescent="0.25">
      <c r="A325" s="16"/>
      <c r="B325" s="16"/>
      <c r="C325" s="16"/>
      <c r="E325" s="14"/>
      <c r="F325" s="432"/>
      <c r="G325" s="106"/>
      <c r="H325" s="9"/>
      <c r="I325" s="514"/>
      <c r="J325" s="62"/>
    </row>
    <row r="326" spans="1:10" s="12" customFormat="1" x14ac:dyDescent="0.25">
      <c r="A326" s="16"/>
      <c r="B326" s="16"/>
      <c r="C326" s="16"/>
      <c r="E326" s="14"/>
      <c r="F326" s="432"/>
      <c r="G326" s="106"/>
      <c r="H326" s="9"/>
      <c r="I326" s="514"/>
      <c r="J326" s="62"/>
    </row>
    <row r="327" spans="1:10" s="12" customFormat="1" x14ac:dyDescent="0.25">
      <c r="A327" s="16"/>
      <c r="B327" s="16"/>
      <c r="C327" s="16"/>
      <c r="E327" s="14"/>
      <c r="F327" s="432"/>
      <c r="G327" s="106"/>
      <c r="H327" s="9"/>
      <c r="I327" s="514"/>
      <c r="J327" s="62"/>
    </row>
    <row r="328" spans="1:10" s="12" customFormat="1" x14ac:dyDescent="0.25">
      <c r="A328" s="16"/>
      <c r="B328" s="16"/>
      <c r="C328" s="16"/>
      <c r="E328" s="14"/>
      <c r="F328" s="432"/>
      <c r="G328" s="106"/>
      <c r="H328" s="9"/>
      <c r="I328" s="514"/>
      <c r="J328" s="62"/>
    </row>
    <row r="329" spans="1:10" s="12" customFormat="1" x14ac:dyDescent="0.25">
      <c r="A329" s="16"/>
      <c r="B329" s="16"/>
      <c r="C329" s="16"/>
      <c r="E329" s="14"/>
      <c r="F329" s="432"/>
      <c r="G329" s="106"/>
      <c r="H329" s="9"/>
      <c r="I329" s="514"/>
      <c r="J329" s="62"/>
    </row>
    <row r="330" spans="1:10" s="12" customFormat="1" x14ac:dyDescent="0.25">
      <c r="A330" s="16"/>
      <c r="B330" s="16"/>
      <c r="C330" s="16"/>
      <c r="E330" s="14"/>
      <c r="F330" s="432"/>
      <c r="G330" s="106"/>
      <c r="H330" s="9"/>
      <c r="I330" s="514"/>
      <c r="J330" s="62"/>
    </row>
    <row r="331" spans="1:10" s="12" customFormat="1" x14ac:dyDescent="0.25">
      <c r="A331" s="16"/>
      <c r="B331" s="16"/>
      <c r="C331" s="16"/>
      <c r="E331" s="14"/>
      <c r="F331" s="432"/>
      <c r="G331" s="106"/>
      <c r="H331" s="9"/>
      <c r="I331" s="514"/>
      <c r="J331" s="62"/>
    </row>
    <row r="332" spans="1:10" s="12" customFormat="1" x14ac:dyDescent="0.25">
      <c r="A332" s="16"/>
      <c r="B332" s="16"/>
      <c r="C332" s="16"/>
      <c r="E332" s="14"/>
      <c r="F332" s="432"/>
      <c r="G332" s="106"/>
      <c r="H332" s="9"/>
      <c r="I332" s="514"/>
      <c r="J332" s="62"/>
    </row>
    <row r="333" spans="1:10" s="12" customFormat="1" x14ac:dyDescent="0.25">
      <c r="A333" s="16"/>
      <c r="B333" s="16"/>
      <c r="C333" s="16"/>
      <c r="E333" s="14"/>
      <c r="F333" s="432"/>
      <c r="G333" s="106"/>
      <c r="H333" s="9"/>
      <c r="I333" s="514"/>
      <c r="J333" s="62"/>
    </row>
    <row r="334" spans="1:10" s="12" customFormat="1" x14ac:dyDescent="0.25">
      <c r="A334" s="16"/>
      <c r="B334" s="16"/>
      <c r="C334" s="16"/>
      <c r="E334" s="14"/>
      <c r="F334" s="432"/>
      <c r="G334" s="106"/>
      <c r="H334" s="9"/>
      <c r="I334" s="514"/>
      <c r="J334" s="62"/>
    </row>
    <row r="335" spans="1:10" s="12" customFormat="1" x14ac:dyDescent="0.25">
      <c r="A335" s="16"/>
      <c r="B335" s="16"/>
      <c r="C335" s="16"/>
      <c r="E335" s="14"/>
      <c r="F335" s="432"/>
      <c r="G335" s="106"/>
      <c r="H335" s="9"/>
      <c r="I335" s="514"/>
      <c r="J335" s="62"/>
    </row>
    <row r="336" spans="1:10" s="12" customFormat="1" x14ac:dyDescent="0.25">
      <c r="A336" s="16"/>
      <c r="B336" s="16"/>
      <c r="C336" s="16"/>
      <c r="E336" s="14"/>
      <c r="F336" s="432"/>
      <c r="G336" s="106"/>
      <c r="H336" s="9"/>
      <c r="I336" s="514"/>
      <c r="J336" s="62"/>
    </row>
    <row r="337" spans="1:10" s="12" customFormat="1" x14ac:dyDescent="0.25">
      <c r="A337" s="16"/>
      <c r="B337" s="16"/>
      <c r="C337" s="16"/>
      <c r="E337" s="14"/>
      <c r="F337" s="432"/>
      <c r="G337" s="106"/>
      <c r="H337" s="9"/>
      <c r="I337" s="514"/>
      <c r="J337" s="62"/>
    </row>
    <row r="338" spans="1:10" s="12" customFormat="1" x14ac:dyDescent="0.25">
      <c r="A338" s="16"/>
      <c r="B338" s="16"/>
      <c r="C338" s="16"/>
      <c r="E338" s="14"/>
      <c r="F338" s="432"/>
      <c r="G338" s="106"/>
      <c r="H338" s="9"/>
      <c r="I338" s="514"/>
      <c r="J338" s="62"/>
    </row>
    <row r="339" spans="1:10" s="12" customFormat="1" x14ac:dyDescent="0.25">
      <c r="A339" s="16"/>
      <c r="B339" s="16"/>
      <c r="C339" s="16"/>
      <c r="E339" s="14"/>
      <c r="F339" s="432"/>
      <c r="G339" s="106"/>
      <c r="H339" s="9"/>
      <c r="I339" s="514"/>
      <c r="J339" s="62"/>
    </row>
    <row r="340" spans="1:10" s="12" customFormat="1" x14ac:dyDescent="0.25">
      <c r="A340" s="16"/>
      <c r="B340" s="16"/>
      <c r="C340" s="16"/>
      <c r="E340" s="14"/>
      <c r="F340" s="432"/>
      <c r="G340" s="106"/>
      <c r="H340" s="9"/>
      <c r="I340" s="514"/>
      <c r="J340" s="62"/>
    </row>
    <row r="341" spans="1:10" s="12" customFormat="1" x14ac:dyDescent="0.25">
      <c r="A341" s="16"/>
      <c r="B341" s="16"/>
      <c r="C341" s="16"/>
      <c r="E341" s="14"/>
      <c r="F341" s="432"/>
      <c r="G341" s="106"/>
      <c r="H341" s="9"/>
      <c r="I341" s="514"/>
      <c r="J341" s="62"/>
    </row>
    <row r="342" spans="1:10" s="12" customFormat="1" x14ac:dyDescent="0.25">
      <c r="A342" s="16"/>
      <c r="B342" s="16"/>
      <c r="C342" s="16"/>
      <c r="E342" s="14"/>
      <c r="F342" s="432"/>
      <c r="G342" s="106"/>
      <c r="H342" s="9"/>
      <c r="I342" s="514"/>
      <c r="J342" s="62"/>
    </row>
    <row r="343" spans="1:10" s="12" customFormat="1" x14ac:dyDescent="0.25">
      <c r="A343" s="16"/>
      <c r="B343" s="16"/>
      <c r="C343" s="16"/>
      <c r="E343" s="14"/>
      <c r="F343" s="432"/>
      <c r="G343" s="106"/>
      <c r="H343" s="9"/>
      <c r="I343" s="514"/>
      <c r="J343" s="62"/>
    </row>
    <row r="344" spans="1:10" s="12" customFormat="1" x14ac:dyDescent="0.25">
      <c r="A344" s="16"/>
      <c r="B344" s="16"/>
      <c r="C344" s="16"/>
      <c r="E344" s="14"/>
      <c r="F344" s="432"/>
      <c r="G344" s="106"/>
      <c r="H344" s="9"/>
      <c r="I344" s="514"/>
      <c r="J344" s="62"/>
    </row>
    <row r="345" spans="1:10" s="12" customFormat="1" x14ac:dyDescent="0.25">
      <c r="A345" s="16"/>
      <c r="B345" s="16"/>
      <c r="C345" s="16"/>
      <c r="E345" s="14"/>
      <c r="F345" s="432"/>
      <c r="G345" s="106"/>
      <c r="H345" s="9"/>
      <c r="I345" s="514"/>
      <c r="J345" s="62"/>
    </row>
    <row r="346" spans="1:10" s="12" customFormat="1" x14ac:dyDescent="0.25">
      <c r="A346" s="16"/>
      <c r="B346" s="16"/>
      <c r="C346" s="16"/>
      <c r="E346" s="14"/>
      <c r="F346" s="432"/>
      <c r="G346" s="106"/>
      <c r="H346" s="9"/>
      <c r="I346" s="514"/>
      <c r="J346" s="62"/>
    </row>
    <row r="347" spans="1:10" s="12" customFormat="1" x14ac:dyDescent="0.25">
      <c r="A347" s="16"/>
      <c r="B347" s="16"/>
      <c r="C347" s="16"/>
      <c r="E347" s="14"/>
      <c r="F347" s="432"/>
      <c r="G347" s="106"/>
      <c r="H347" s="9"/>
      <c r="I347" s="514"/>
      <c r="J347" s="62"/>
    </row>
  </sheetData>
  <sheetProtection sheet="1" objects="1" scenarios="1" selectLockedCells="1"/>
  <mergeCells count="193">
    <mergeCell ref="A217:J217"/>
    <mergeCell ref="G202:H202"/>
    <mergeCell ref="G203:H203"/>
    <mergeCell ref="G204:H204"/>
    <mergeCell ref="G205:H205"/>
    <mergeCell ref="G206:H206"/>
    <mergeCell ref="A5:C10"/>
    <mergeCell ref="D10:J10"/>
    <mergeCell ref="G34:H34"/>
    <mergeCell ref="G115:H115"/>
    <mergeCell ref="G116:H116"/>
    <mergeCell ref="G117:H117"/>
    <mergeCell ref="G118:H118"/>
    <mergeCell ref="G114:H114"/>
    <mergeCell ref="G67:H67"/>
    <mergeCell ref="G135:H135"/>
    <mergeCell ref="G121:H121"/>
    <mergeCell ref="G122:H122"/>
    <mergeCell ref="G125:H125"/>
    <mergeCell ref="G123:H123"/>
    <mergeCell ref="G127:H127"/>
    <mergeCell ref="G130:H130"/>
    <mergeCell ref="G131:H131"/>
    <mergeCell ref="A133:J133"/>
    <mergeCell ref="A132:I132"/>
    <mergeCell ref="G68:H68"/>
    <mergeCell ref="G69:H69"/>
    <mergeCell ref="G70:H70"/>
    <mergeCell ref="G76:H76"/>
    <mergeCell ref="G77:H77"/>
    <mergeCell ref="G78:H78"/>
    <mergeCell ref="G79:H79"/>
    <mergeCell ref="A111:J111"/>
    <mergeCell ref="D103:J103"/>
    <mergeCell ref="G73:H73"/>
    <mergeCell ref="G74:H74"/>
    <mergeCell ref="G75:H75"/>
    <mergeCell ref="A85:I85"/>
    <mergeCell ref="A101:I101"/>
    <mergeCell ref="A110:I110"/>
    <mergeCell ref="A86:J86"/>
    <mergeCell ref="G81:H81"/>
    <mergeCell ref="G92:H92"/>
    <mergeCell ref="G93:H93"/>
    <mergeCell ref="G98:H98"/>
    <mergeCell ref="D112:J112"/>
    <mergeCell ref="G104:H104"/>
    <mergeCell ref="G105:H105"/>
    <mergeCell ref="A218:I218"/>
    <mergeCell ref="G126:H126"/>
    <mergeCell ref="G141:H141"/>
    <mergeCell ref="G142:H142"/>
    <mergeCell ref="G143:H143"/>
    <mergeCell ref="G144:H144"/>
    <mergeCell ref="G145:H145"/>
    <mergeCell ref="G146:H146"/>
    <mergeCell ref="G147:H147"/>
    <mergeCell ref="G136:H136"/>
    <mergeCell ref="A208:J208"/>
    <mergeCell ref="D209:J209"/>
    <mergeCell ref="D162:J162"/>
    <mergeCell ref="G181:H181"/>
    <mergeCell ref="G169:H169"/>
    <mergeCell ref="G168:H168"/>
    <mergeCell ref="G167:H167"/>
    <mergeCell ref="G166:H166"/>
    <mergeCell ref="G165:H165"/>
    <mergeCell ref="G164:H164"/>
    <mergeCell ref="G163:H163"/>
    <mergeCell ref="G149:H149"/>
    <mergeCell ref="G150:H150"/>
    <mergeCell ref="G151:H151"/>
    <mergeCell ref="G107:H107"/>
    <mergeCell ref="G82:H82"/>
    <mergeCell ref="G113:H113"/>
    <mergeCell ref="G119:H119"/>
    <mergeCell ref="G120:H120"/>
    <mergeCell ref="G80:H80"/>
    <mergeCell ref="G108:H108"/>
    <mergeCell ref="G109:H109"/>
    <mergeCell ref="G106:H106"/>
    <mergeCell ref="G95:H95"/>
    <mergeCell ref="G96:H96"/>
    <mergeCell ref="G97:H97"/>
    <mergeCell ref="G99:H99"/>
    <mergeCell ref="G100:H100"/>
    <mergeCell ref="G88:H88"/>
    <mergeCell ref="G89:H89"/>
    <mergeCell ref="G90:H90"/>
    <mergeCell ref="G94:H94"/>
    <mergeCell ref="G91:H91"/>
    <mergeCell ref="G83:H83"/>
    <mergeCell ref="G84:H84"/>
    <mergeCell ref="A55:J55"/>
    <mergeCell ref="G35:H35"/>
    <mergeCell ref="G41:H41"/>
    <mergeCell ref="G45:H45"/>
    <mergeCell ref="G43:H43"/>
    <mergeCell ref="G44:H44"/>
    <mergeCell ref="G52:H52"/>
    <mergeCell ref="G51:H51"/>
    <mergeCell ref="D48:J48"/>
    <mergeCell ref="G49:H49"/>
    <mergeCell ref="G42:H42"/>
    <mergeCell ref="A2:J2"/>
    <mergeCell ref="G29:H29"/>
    <mergeCell ref="D5:J5"/>
    <mergeCell ref="D6:J6"/>
    <mergeCell ref="D7:J7"/>
    <mergeCell ref="D8:J8"/>
    <mergeCell ref="D28:J28"/>
    <mergeCell ref="G22:H22"/>
    <mergeCell ref="G23:H23"/>
    <mergeCell ref="G24:H24"/>
    <mergeCell ref="G16:H16"/>
    <mergeCell ref="G19:H19"/>
    <mergeCell ref="G20:H20"/>
    <mergeCell ref="G21:H21"/>
    <mergeCell ref="A26:I26"/>
    <mergeCell ref="G25:H25"/>
    <mergeCell ref="D9:J9"/>
    <mergeCell ref="A1:J1"/>
    <mergeCell ref="A4:J4"/>
    <mergeCell ref="A11:J11"/>
    <mergeCell ref="A161:J161"/>
    <mergeCell ref="A3:J3"/>
    <mergeCell ref="D14:J14"/>
    <mergeCell ref="A102:J102"/>
    <mergeCell ref="D40:J40"/>
    <mergeCell ref="G15:H15"/>
    <mergeCell ref="G18:H18"/>
    <mergeCell ref="G33:H33"/>
    <mergeCell ref="G36:H36"/>
    <mergeCell ref="G37:H37"/>
    <mergeCell ref="D87:J87"/>
    <mergeCell ref="D134:J134"/>
    <mergeCell ref="G157:H157"/>
    <mergeCell ref="G158:H158"/>
    <mergeCell ref="A160:I160"/>
    <mergeCell ref="G148:H148"/>
    <mergeCell ref="G53:H53"/>
    <mergeCell ref="G57:H57"/>
    <mergeCell ref="G66:H66"/>
    <mergeCell ref="A38:I38"/>
    <mergeCell ref="A54:I54"/>
    <mergeCell ref="G214:H214"/>
    <mergeCell ref="A182:I182"/>
    <mergeCell ref="A216:I216"/>
    <mergeCell ref="G211:H211"/>
    <mergeCell ref="G210:H210"/>
    <mergeCell ref="G212:H212"/>
    <mergeCell ref="A183:J183"/>
    <mergeCell ref="D184:J184"/>
    <mergeCell ref="G185:H185"/>
    <mergeCell ref="G186:H186"/>
    <mergeCell ref="G187:H187"/>
    <mergeCell ref="G194:H194"/>
    <mergeCell ref="G192:H192"/>
    <mergeCell ref="G188:H188"/>
    <mergeCell ref="G189:H189"/>
    <mergeCell ref="G190:H190"/>
    <mergeCell ref="G199:H199"/>
    <mergeCell ref="G200:H200"/>
    <mergeCell ref="G213:H213"/>
    <mergeCell ref="G201:H201"/>
    <mergeCell ref="G193:H193"/>
    <mergeCell ref="G195:H195"/>
    <mergeCell ref="G198:H198"/>
    <mergeCell ref="A207:I207"/>
    <mergeCell ref="G191:H191"/>
    <mergeCell ref="G152:H152"/>
    <mergeCell ref="G153:H153"/>
    <mergeCell ref="G154:H154"/>
    <mergeCell ref="G155:H155"/>
    <mergeCell ref="G156:H156"/>
    <mergeCell ref="A13:J13"/>
    <mergeCell ref="B12:C12"/>
    <mergeCell ref="G63:H63"/>
    <mergeCell ref="A30:I30"/>
    <mergeCell ref="A31:J31"/>
    <mergeCell ref="D32:J32"/>
    <mergeCell ref="A46:I46"/>
    <mergeCell ref="D56:J56"/>
    <mergeCell ref="A47:J47"/>
    <mergeCell ref="G58:H58"/>
    <mergeCell ref="G59:H59"/>
    <mergeCell ref="G60:H60"/>
    <mergeCell ref="G61:H61"/>
    <mergeCell ref="G62:H62"/>
    <mergeCell ref="G64:H64"/>
    <mergeCell ref="G65:H65"/>
    <mergeCell ref="G50:H50"/>
    <mergeCell ref="A39:J39"/>
  </mergeCells>
  <printOptions horizontalCentered="1"/>
  <pageMargins left="0.23622047244094491" right="0.23622047244094491" top="0.47244094488188981" bottom="0.74803149606299213" header="0.31496062992125984" footer="0.31496062992125984"/>
  <pageSetup paperSize="9" scale="79" fitToHeight="0" orientation="landscape" horizontalDpi="4294967292" r:id="rId1"/>
  <headerFooter>
    <oddFooter>Página &amp;P de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75"/>
  <sheetViews>
    <sheetView zoomScaleNormal="100" zoomScaleSheetLayoutView="100" workbookViewId="0">
      <selection activeCell="H17" sqref="H17"/>
    </sheetView>
  </sheetViews>
  <sheetFormatPr defaultRowHeight="15" x14ac:dyDescent="0.25"/>
  <cols>
    <col min="1" max="1" width="13.5703125" customWidth="1"/>
    <col min="2" max="2" width="11.140625" customWidth="1"/>
    <col min="3" max="3" width="66" customWidth="1"/>
    <col min="4" max="4" width="14" customWidth="1"/>
    <col min="5" max="5" width="10.7109375" style="16" customWidth="1"/>
    <col min="6" max="6" width="20.5703125" style="14" customWidth="1"/>
    <col min="7" max="7" width="16.140625" style="14" customWidth="1"/>
    <col min="8" max="8" width="14.140625" style="519" customWidth="1"/>
    <col min="9" max="9" width="18.42578125" style="9" customWidth="1"/>
    <col min="10" max="10" width="13.85546875" style="30" bestFit="1" customWidth="1"/>
    <col min="11" max="11" width="11.42578125" bestFit="1" customWidth="1"/>
  </cols>
  <sheetData>
    <row r="1" spans="1:10" s="12" customFormat="1" x14ac:dyDescent="0.25">
      <c r="A1" s="889" t="s">
        <v>3</v>
      </c>
      <c r="B1" s="890"/>
      <c r="C1" s="890"/>
      <c r="D1" s="890"/>
      <c r="E1" s="890"/>
      <c r="F1" s="890"/>
      <c r="G1" s="890"/>
      <c r="H1" s="890"/>
      <c r="I1" s="891"/>
      <c r="J1" s="30"/>
    </row>
    <row r="2" spans="1:10" s="12" customFormat="1" x14ac:dyDescent="0.25">
      <c r="A2" s="892" t="s">
        <v>4</v>
      </c>
      <c r="B2" s="893"/>
      <c r="C2" s="893"/>
      <c r="D2" s="893"/>
      <c r="E2" s="893"/>
      <c r="F2" s="893"/>
      <c r="G2" s="893"/>
      <c r="H2" s="893"/>
      <c r="I2" s="894"/>
      <c r="J2" s="30"/>
    </row>
    <row r="3" spans="1:10" s="12" customFormat="1" x14ac:dyDescent="0.25">
      <c r="A3" s="892" t="s">
        <v>55</v>
      </c>
      <c r="B3" s="893"/>
      <c r="C3" s="893"/>
      <c r="D3" s="893"/>
      <c r="E3" s="893"/>
      <c r="F3" s="893"/>
      <c r="G3" s="893"/>
      <c r="H3" s="893"/>
      <c r="I3" s="894"/>
      <c r="J3" s="30"/>
    </row>
    <row r="4" spans="1:10" s="12" customFormat="1" x14ac:dyDescent="0.25">
      <c r="A4" s="892" t="s">
        <v>957</v>
      </c>
      <c r="B4" s="893"/>
      <c r="C4" s="893"/>
      <c r="D4" s="893"/>
      <c r="E4" s="893"/>
      <c r="F4" s="893"/>
      <c r="G4" s="893"/>
      <c r="H4" s="893"/>
      <c r="I4" s="894"/>
      <c r="J4" s="30"/>
    </row>
    <row r="5" spans="1:10" s="12" customFormat="1" ht="15.75" thickBot="1" x14ac:dyDescent="0.3">
      <c r="A5" s="892" t="s">
        <v>463</v>
      </c>
      <c r="B5" s="893"/>
      <c r="C5" s="893"/>
      <c r="D5" s="893"/>
      <c r="E5" s="893"/>
      <c r="F5" s="893"/>
      <c r="G5" s="893"/>
      <c r="H5" s="893"/>
      <c r="I5" s="894"/>
      <c r="J5" s="30"/>
    </row>
    <row r="6" spans="1:10" s="12" customFormat="1" ht="15.75" thickBot="1" x14ac:dyDescent="0.3">
      <c r="A6" s="363" t="s">
        <v>818</v>
      </c>
      <c r="B6" s="364" t="s">
        <v>259</v>
      </c>
      <c r="C6" s="365"/>
      <c r="D6" s="365"/>
      <c r="E6" s="365"/>
      <c r="F6" s="365"/>
      <c r="G6" s="365"/>
      <c r="H6" s="520"/>
      <c r="I6" s="512"/>
      <c r="J6" s="30"/>
    </row>
    <row r="7" spans="1:10" s="12" customFormat="1" x14ac:dyDescent="0.25">
      <c r="A7" s="895" t="s">
        <v>538</v>
      </c>
      <c r="B7" s="896"/>
      <c r="C7" s="896"/>
      <c r="D7" s="896"/>
      <c r="E7" s="896"/>
      <c r="F7" s="896"/>
      <c r="G7" s="896"/>
      <c r="H7" s="896"/>
      <c r="I7" s="897"/>
      <c r="J7" s="30"/>
    </row>
    <row r="8" spans="1:10" s="12" customFormat="1" x14ac:dyDescent="0.25">
      <c r="A8" s="20" t="s">
        <v>27</v>
      </c>
      <c r="B8" s="21" t="s">
        <v>28</v>
      </c>
      <c r="C8" s="21" t="s">
        <v>6</v>
      </c>
      <c r="D8" s="401" t="s">
        <v>7</v>
      </c>
      <c r="E8" s="401" t="s">
        <v>8</v>
      </c>
      <c r="F8" s="21" t="s">
        <v>260</v>
      </c>
      <c r="G8" s="401" t="s">
        <v>261</v>
      </c>
      <c r="H8" s="513" t="s">
        <v>737</v>
      </c>
      <c r="I8" s="31" t="s">
        <v>738</v>
      </c>
      <c r="J8" s="30"/>
    </row>
    <row r="9" spans="1:10" s="12" customFormat="1" x14ac:dyDescent="0.25">
      <c r="A9" s="358" t="s">
        <v>527</v>
      </c>
      <c r="B9" s="400" t="s">
        <v>34</v>
      </c>
      <c r="C9" s="355" t="s">
        <v>526</v>
      </c>
      <c r="D9" s="400" t="s">
        <v>7</v>
      </c>
      <c r="E9" s="405">
        <v>2</v>
      </c>
      <c r="F9" s="75">
        <v>2</v>
      </c>
      <c r="G9" s="680">
        <v>0</v>
      </c>
      <c r="H9" s="681" t="s">
        <v>34</v>
      </c>
      <c r="I9" s="682">
        <f t="shared" ref="I9:I18" si="0">E9*F9*G9</f>
        <v>0</v>
      </c>
      <c r="J9" s="30"/>
    </row>
    <row r="10" spans="1:10" s="12" customFormat="1" x14ac:dyDescent="0.25">
      <c r="A10" s="358" t="s">
        <v>527</v>
      </c>
      <c r="B10" s="400" t="s">
        <v>34</v>
      </c>
      <c r="C10" s="355" t="s">
        <v>528</v>
      </c>
      <c r="D10" s="400" t="s">
        <v>7</v>
      </c>
      <c r="E10" s="405">
        <v>2</v>
      </c>
      <c r="F10" s="75">
        <v>2</v>
      </c>
      <c r="G10" s="680">
        <v>0</v>
      </c>
      <c r="H10" s="681" t="s">
        <v>34</v>
      </c>
      <c r="I10" s="682">
        <f t="shared" si="0"/>
        <v>0</v>
      </c>
      <c r="J10" s="30"/>
    </row>
    <row r="11" spans="1:10" s="12" customFormat="1" x14ac:dyDescent="0.25">
      <c r="A11" s="358" t="s">
        <v>527</v>
      </c>
      <c r="B11" s="400" t="s">
        <v>34</v>
      </c>
      <c r="C11" s="355" t="s">
        <v>529</v>
      </c>
      <c r="D11" s="400" t="s">
        <v>7</v>
      </c>
      <c r="E11" s="405">
        <v>2</v>
      </c>
      <c r="F11" s="75">
        <v>2</v>
      </c>
      <c r="G11" s="680">
        <v>0</v>
      </c>
      <c r="H11" s="681" t="s">
        <v>34</v>
      </c>
      <c r="I11" s="682">
        <f t="shared" si="0"/>
        <v>0</v>
      </c>
      <c r="J11" s="30"/>
    </row>
    <row r="12" spans="1:10" s="12" customFormat="1" x14ac:dyDescent="0.25">
      <c r="A12" s="358" t="s">
        <v>527</v>
      </c>
      <c r="B12" s="400" t="s">
        <v>34</v>
      </c>
      <c r="C12" s="355" t="s">
        <v>530</v>
      </c>
      <c r="D12" s="400" t="s">
        <v>7</v>
      </c>
      <c r="E12" s="405">
        <v>3</v>
      </c>
      <c r="F12" s="75">
        <v>2</v>
      </c>
      <c r="G12" s="680">
        <v>0</v>
      </c>
      <c r="H12" s="681" t="s">
        <v>34</v>
      </c>
      <c r="I12" s="682">
        <f t="shared" si="0"/>
        <v>0</v>
      </c>
      <c r="J12" s="30"/>
    </row>
    <row r="13" spans="1:10" s="12" customFormat="1" x14ac:dyDescent="0.25">
      <c r="A13" s="358" t="s">
        <v>527</v>
      </c>
      <c r="B13" s="400" t="s">
        <v>34</v>
      </c>
      <c r="C13" s="355" t="s">
        <v>531</v>
      </c>
      <c r="D13" s="400" t="s">
        <v>7</v>
      </c>
      <c r="E13" s="405">
        <v>3</v>
      </c>
      <c r="F13" s="75">
        <v>2</v>
      </c>
      <c r="G13" s="680">
        <v>0</v>
      </c>
      <c r="H13" s="681" t="s">
        <v>34</v>
      </c>
      <c r="I13" s="682">
        <f t="shared" si="0"/>
        <v>0</v>
      </c>
      <c r="J13" s="30"/>
    </row>
    <row r="14" spans="1:10" s="12" customFormat="1" x14ac:dyDescent="0.25">
      <c r="A14" s="358" t="s">
        <v>527</v>
      </c>
      <c r="B14" s="400" t="s">
        <v>34</v>
      </c>
      <c r="C14" s="355" t="s">
        <v>532</v>
      </c>
      <c r="D14" s="400" t="s">
        <v>7</v>
      </c>
      <c r="E14" s="405">
        <v>2</v>
      </c>
      <c r="F14" s="75">
        <v>2</v>
      </c>
      <c r="G14" s="680">
        <v>0</v>
      </c>
      <c r="H14" s="681" t="s">
        <v>34</v>
      </c>
      <c r="I14" s="682">
        <f t="shared" si="0"/>
        <v>0</v>
      </c>
      <c r="J14" s="30"/>
    </row>
    <row r="15" spans="1:10" s="12" customFormat="1" x14ac:dyDescent="0.25">
      <c r="A15" s="358" t="s">
        <v>527</v>
      </c>
      <c r="B15" s="400" t="s">
        <v>34</v>
      </c>
      <c r="C15" s="355" t="s">
        <v>533</v>
      </c>
      <c r="D15" s="400" t="s">
        <v>7</v>
      </c>
      <c r="E15" s="405">
        <v>4</v>
      </c>
      <c r="F15" s="75">
        <v>2</v>
      </c>
      <c r="G15" s="680">
        <v>0</v>
      </c>
      <c r="H15" s="681" t="s">
        <v>34</v>
      </c>
      <c r="I15" s="682">
        <f t="shared" si="0"/>
        <v>0</v>
      </c>
      <c r="J15" s="30"/>
    </row>
    <row r="16" spans="1:10" s="12" customFormat="1" x14ac:dyDescent="0.25">
      <c r="A16" s="358" t="s">
        <v>527</v>
      </c>
      <c r="B16" s="400" t="s">
        <v>34</v>
      </c>
      <c r="C16" s="355" t="s">
        <v>534</v>
      </c>
      <c r="D16" s="400" t="s">
        <v>7</v>
      </c>
      <c r="E16" s="405">
        <v>1</v>
      </c>
      <c r="F16" s="75">
        <v>2</v>
      </c>
      <c r="G16" s="680">
        <v>0</v>
      </c>
      <c r="H16" s="681" t="s">
        <v>34</v>
      </c>
      <c r="I16" s="682">
        <f t="shared" si="0"/>
        <v>0</v>
      </c>
      <c r="J16" s="30"/>
    </row>
    <row r="17" spans="1:10" s="12" customFormat="1" x14ac:dyDescent="0.25">
      <c r="A17" s="358" t="s">
        <v>527</v>
      </c>
      <c r="B17" s="400" t="s">
        <v>34</v>
      </c>
      <c r="C17" s="627" t="s">
        <v>535</v>
      </c>
      <c r="D17" s="400" t="s">
        <v>7</v>
      </c>
      <c r="E17" s="405">
        <v>1</v>
      </c>
      <c r="F17" s="75">
        <v>2</v>
      </c>
      <c r="G17" s="680">
        <v>0</v>
      </c>
      <c r="H17" s="681" t="s">
        <v>34</v>
      </c>
      <c r="I17" s="682">
        <f t="shared" si="0"/>
        <v>0</v>
      </c>
      <c r="J17" s="30"/>
    </row>
    <row r="18" spans="1:10" s="12" customFormat="1" x14ac:dyDescent="0.25">
      <c r="A18" s="358" t="s">
        <v>527</v>
      </c>
      <c r="B18" s="400" t="s">
        <v>34</v>
      </c>
      <c r="C18" s="355" t="s">
        <v>536</v>
      </c>
      <c r="D18" s="400" t="s">
        <v>7</v>
      </c>
      <c r="E18" s="405">
        <v>3</v>
      </c>
      <c r="F18" s="75">
        <v>2</v>
      </c>
      <c r="G18" s="680">
        <v>0</v>
      </c>
      <c r="H18" s="681" t="s">
        <v>34</v>
      </c>
      <c r="I18" s="682">
        <f t="shared" si="0"/>
        <v>0</v>
      </c>
      <c r="J18" s="30"/>
    </row>
    <row r="19" spans="1:10" s="12" customFormat="1" ht="15.75" thickBot="1" x14ac:dyDescent="0.3">
      <c r="A19" s="880" t="s">
        <v>537</v>
      </c>
      <c r="B19" s="881"/>
      <c r="C19" s="881"/>
      <c r="D19" s="881"/>
      <c r="E19" s="881"/>
      <c r="F19" s="881"/>
      <c r="G19" s="881"/>
      <c r="H19" s="882"/>
      <c r="I19" s="683">
        <f>ROUNDUP(SUM(I9:I18),2)</f>
        <v>0</v>
      </c>
      <c r="J19" s="30"/>
    </row>
    <row r="20" spans="1:10" s="12" customFormat="1" x14ac:dyDescent="0.25">
      <c r="A20" s="909" t="s">
        <v>541</v>
      </c>
      <c r="B20" s="910"/>
      <c r="C20" s="910"/>
      <c r="D20" s="910"/>
      <c r="E20" s="910"/>
      <c r="F20" s="910"/>
      <c r="G20" s="910"/>
      <c r="H20" s="910"/>
      <c r="I20" s="911"/>
      <c r="J20" s="30"/>
    </row>
    <row r="21" spans="1:10" s="12" customFormat="1" x14ac:dyDescent="0.25">
      <c r="A21" s="20" t="s">
        <v>27</v>
      </c>
      <c r="B21" s="21" t="s">
        <v>28</v>
      </c>
      <c r="C21" s="21" t="s">
        <v>6</v>
      </c>
      <c r="D21" s="401" t="s">
        <v>7</v>
      </c>
      <c r="E21" s="401" t="s">
        <v>8</v>
      </c>
      <c r="F21" s="21" t="s">
        <v>260</v>
      </c>
      <c r="G21" s="401" t="s">
        <v>261</v>
      </c>
      <c r="H21" s="513" t="s">
        <v>737</v>
      </c>
      <c r="I21" s="31" t="s">
        <v>11</v>
      </c>
      <c r="J21" s="30"/>
    </row>
    <row r="22" spans="1:10" s="12" customFormat="1" x14ac:dyDescent="0.25">
      <c r="A22" s="358" t="s">
        <v>527</v>
      </c>
      <c r="B22" s="400" t="s">
        <v>34</v>
      </c>
      <c r="C22" s="355" t="s">
        <v>543</v>
      </c>
      <c r="D22" s="400" t="s">
        <v>7</v>
      </c>
      <c r="E22" s="400">
        <v>3</v>
      </c>
      <c r="F22" s="405">
        <v>2</v>
      </c>
      <c r="G22" s="684">
        <v>0</v>
      </c>
      <c r="H22" s="681" t="s">
        <v>34</v>
      </c>
      <c r="I22" s="682">
        <f>E22*F22*G22</f>
        <v>0</v>
      </c>
      <c r="J22" s="30"/>
    </row>
    <row r="23" spans="1:10" s="12" customFormat="1" x14ac:dyDescent="0.25">
      <c r="A23" s="358" t="s">
        <v>527</v>
      </c>
      <c r="B23" s="400" t="s">
        <v>34</v>
      </c>
      <c r="C23" s="355" t="s">
        <v>540</v>
      </c>
      <c r="D23" s="400" t="s">
        <v>7</v>
      </c>
      <c r="E23" s="400">
        <v>24</v>
      </c>
      <c r="F23" s="405">
        <v>2</v>
      </c>
      <c r="G23" s="684">
        <v>0</v>
      </c>
      <c r="H23" s="681" t="s">
        <v>34</v>
      </c>
      <c r="I23" s="682">
        <f>E23*F23*G23</f>
        <v>0</v>
      </c>
      <c r="J23" s="30"/>
    </row>
    <row r="24" spans="1:10" s="12" customFormat="1" x14ac:dyDescent="0.25">
      <c r="A24" s="906" t="s">
        <v>537</v>
      </c>
      <c r="B24" s="907"/>
      <c r="C24" s="907"/>
      <c r="D24" s="907"/>
      <c r="E24" s="907"/>
      <c r="F24" s="907"/>
      <c r="G24" s="907"/>
      <c r="H24" s="908"/>
      <c r="I24" s="685">
        <f>ROUNDUP(SUM(I22:I23),2)</f>
        <v>0</v>
      </c>
      <c r="J24" s="30"/>
    </row>
    <row r="25" spans="1:10" s="12" customFormat="1" x14ac:dyDescent="0.25">
      <c r="A25" s="913" t="s">
        <v>544</v>
      </c>
      <c r="B25" s="914"/>
      <c r="C25" s="914"/>
      <c r="D25" s="914"/>
      <c r="E25" s="914"/>
      <c r="F25" s="914"/>
      <c r="G25" s="914"/>
      <c r="H25" s="914"/>
      <c r="I25" s="915"/>
      <c r="J25" s="30"/>
    </row>
    <row r="26" spans="1:10" s="12" customFormat="1" x14ac:dyDescent="0.25">
      <c r="A26" s="20" t="s">
        <v>27</v>
      </c>
      <c r="B26" s="21" t="s">
        <v>28</v>
      </c>
      <c r="C26" s="21" t="s">
        <v>6</v>
      </c>
      <c r="D26" s="401" t="s">
        <v>7</v>
      </c>
      <c r="E26" s="401" t="s">
        <v>8</v>
      </c>
      <c r="F26" s="21" t="s">
        <v>260</v>
      </c>
      <c r="G26" s="401" t="s">
        <v>261</v>
      </c>
      <c r="H26" s="513" t="s">
        <v>737</v>
      </c>
      <c r="I26" s="31" t="s">
        <v>11</v>
      </c>
      <c r="J26" s="30"/>
    </row>
    <row r="27" spans="1:10" s="12" customFormat="1" x14ac:dyDescent="0.25">
      <c r="A27" s="358" t="s">
        <v>527</v>
      </c>
      <c r="B27" s="400" t="s">
        <v>34</v>
      </c>
      <c r="C27" s="355" t="s">
        <v>545</v>
      </c>
      <c r="D27" s="400" t="s">
        <v>7</v>
      </c>
      <c r="E27" s="405">
        <v>1</v>
      </c>
      <c r="F27" s="400">
        <v>2</v>
      </c>
      <c r="G27" s="686">
        <v>0</v>
      </c>
      <c r="H27" s="681" t="s">
        <v>34</v>
      </c>
      <c r="I27" s="682">
        <f>E27*F27*G27</f>
        <v>0</v>
      </c>
      <c r="J27" s="30"/>
    </row>
    <row r="28" spans="1:10" s="12" customFormat="1" x14ac:dyDescent="0.25">
      <c r="A28" s="358" t="s">
        <v>527</v>
      </c>
      <c r="B28" s="400" t="s">
        <v>34</v>
      </c>
      <c r="C28" s="355" t="s">
        <v>546</v>
      </c>
      <c r="D28" s="400" t="s">
        <v>7</v>
      </c>
      <c r="E28" s="405">
        <v>1</v>
      </c>
      <c r="F28" s="400">
        <v>2</v>
      </c>
      <c r="G28" s="687">
        <v>0</v>
      </c>
      <c r="H28" s="681" t="s">
        <v>34</v>
      </c>
      <c r="I28" s="682">
        <f>E28*F28*G28</f>
        <v>0</v>
      </c>
      <c r="J28" s="30"/>
    </row>
    <row r="29" spans="1:10" s="12" customFormat="1" x14ac:dyDescent="0.25">
      <c r="A29" s="906" t="s">
        <v>537</v>
      </c>
      <c r="B29" s="907"/>
      <c r="C29" s="907"/>
      <c r="D29" s="907"/>
      <c r="E29" s="907"/>
      <c r="F29" s="907"/>
      <c r="G29" s="907"/>
      <c r="H29" s="908"/>
      <c r="I29" s="688">
        <f>ROUNDUP(SUM(I27:I28),2)</f>
        <v>0</v>
      </c>
      <c r="J29" s="30"/>
    </row>
    <row r="30" spans="1:10" s="12" customFormat="1" x14ac:dyDescent="0.25">
      <c r="A30" s="870" t="s">
        <v>539</v>
      </c>
      <c r="B30" s="871"/>
      <c r="C30" s="871"/>
      <c r="D30" s="871"/>
      <c r="E30" s="871"/>
      <c r="F30" s="871"/>
      <c r="G30" s="871"/>
      <c r="H30" s="872"/>
      <c r="I30" s="873"/>
      <c r="J30" s="30"/>
    </row>
    <row r="31" spans="1:10" s="12" customFormat="1" x14ac:dyDescent="0.25">
      <c r="A31" s="20" t="s">
        <v>27</v>
      </c>
      <c r="B31" s="21" t="s">
        <v>28</v>
      </c>
      <c r="C31" s="21" t="s">
        <v>6</v>
      </c>
      <c r="D31" s="401" t="s">
        <v>7</v>
      </c>
      <c r="E31" s="401" t="s">
        <v>8</v>
      </c>
      <c r="F31" s="21" t="s">
        <v>260</v>
      </c>
      <c r="G31" s="401" t="s">
        <v>261</v>
      </c>
      <c r="H31" s="513" t="s">
        <v>737</v>
      </c>
      <c r="I31" s="31" t="s">
        <v>11</v>
      </c>
      <c r="J31" s="30"/>
    </row>
    <row r="32" spans="1:10" s="12" customFormat="1" x14ac:dyDescent="0.25">
      <c r="A32" s="358" t="s">
        <v>527</v>
      </c>
      <c r="B32" s="354" t="s">
        <v>34</v>
      </c>
      <c r="C32" s="355" t="s">
        <v>505</v>
      </c>
      <c r="D32" s="400" t="s">
        <v>7</v>
      </c>
      <c r="E32" s="405">
        <v>12</v>
      </c>
      <c r="F32" s="75">
        <v>2</v>
      </c>
      <c r="G32" s="680">
        <v>0</v>
      </c>
      <c r="H32" s="681" t="s">
        <v>34</v>
      </c>
      <c r="I32" s="682">
        <f>E32*F32*G32</f>
        <v>0</v>
      </c>
      <c r="J32" s="30"/>
    </row>
    <row r="33" spans="1:10" s="12" customFormat="1" x14ac:dyDescent="0.25">
      <c r="A33" s="358" t="s">
        <v>527</v>
      </c>
      <c r="B33" s="354" t="s">
        <v>34</v>
      </c>
      <c r="C33" s="355" t="s">
        <v>507</v>
      </c>
      <c r="D33" s="400" t="s">
        <v>7</v>
      </c>
      <c r="E33" s="405">
        <v>3</v>
      </c>
      <c r="F33" s="75">
        <v>2</v>
      </c>
      <c r="G33" s="680">
        <v>0</v>
      </c>
      <c r="H33" s="681" t="s">
        <v>34</v>
      </c>
      <c r="I33" s="682">
        <f>E33*F33*G33</f>
        <v>0</v>
      </c>
      <c r="J33" s="30"/>
    </row>
    <row r="34" spans="1:10" s="12" customFormat="1" x14ac:dyDescent="0.25">
      <c r="A34" s="358" t="s">
        <v>527</v>
      </c>
      <c r="B34" s="354" t="s">
        <v>34</v>
      </c>
      <c r="C34" s="355" t="s">
        <v>508</v>
      </c>
      <c r="D34" s="400" t="s">
        <v>7</v>
      </c>
      <c r="E34" s="405">
        <v>1</v>
      </c>
      <c r="F34" s="75">
        <v>2</v>
      </c>
      <c r="G34" s="680">
        <v>0</v>
      </c>
      <c r="H34" s="681" t="s">
        <v>34</v>
      </c>
      <c r="I34" s="682">
        <f>E34*F34*G34</f>
        <v>0</v>
      </c>
      <c r="J34" s="30"/>
    </row>
    <row r="35" spans="1:10" s="12" customFormat="1" x14ac:dyDescent="0.25">
      <c r="A35" s="358" t="s">
        <v>527</v>
      </c>
      <c r="B35" s="354" t="s">
        <v>34</v>
      </c>
      <c r="C35" s="355" t="s">
        <v>547</v>
      </c>
      <c r="D35" s="400" t="s">
        <v>7</v>
      </c>
      <c r="E35" s="405">
        <v>1</v>
      </c>
      <c r="F35" s="75">
        <v>2</v>
      </c>
      <c r="G35" s="680">
        <v>0</v>
      </c>
      <c r="H35" s="689" t="s">
        <v>34</v>
      </c>
      <c r="I35" s="682">
        <f>E35*F35*G35</f>
        <v>0</v>
      </c>
      <c r="J35" s="30"/>
    </row>
    <row r="36" spans="1:10" s="12" customFormat="1" ht="15.75" thickBot="1" x14ac:dyDescent="0.3">
      <c r="A36" s="880" t="s">
        <v>537</v>
      </c>
      <c r="B36" s="881"/>
      <c r="C36" s="881"/>
      <c r="D36" s="881"/>
      <c r="E36" s="881"/>
      <c r="F36" s="881"/>
      <c r="G36" s="881"/>
      <c r="H36" s="882"/>
      <c r="I36" s="683">
        <f>ROUNDUP(SUM(I32:I35),2)</f>
        <v>0</v>
      </c>
      <c r="J36" s="30"/>
    </row>
    <row r="37" spans="1:10" s="12" customFormat="1" ht="15.75" thickBot="1" x14ac:dyDescent="0.3">
      <c r="A37" s="916" t="s">
        <v>542</v>
      </c>
      <c r="B37" s="917"/>
      <c r="C37" s="917"/>
      <c r="D37" s="917"/>
      <c r="E37" s="917"/>
      <c r="F37" s="917"/>
      <c r="G37" s="917"/>
      <c r="H37" s="918"/>
      <c r="I37" s="683">
        <f>I19+I24+I29+I36</f>
        <v>0</v>
      </c>
      <c r="J37" s="30"/>
    </row>
    <row r="38" spans="1:10" s="12" customFormat="1" ht="15.75" thickBot="1" x14ac:dyDescent="0.3">
      <c r="A38" s="350"/>
      <c r="B38" s="350"/>
      <c r="C38" s="350"/>
      <c r="D38" s="350"/>
      <c r="E38" s="351"/>
      <c r="F38" s="912"/>
      <c r="G38" s="912"/>
      <c r="H38" s="515"/>
      <c r="I38" s="359"/>
      <c r="J38" s="30"/>
    </row>
    <row r="39" spans="1:10" s="12" customFormat="1" x14ac:dyDescent="0.25">
      <c r="A39" s="79" t="s">
        <v>817</v>
      </c>
      <c r="B39" s="867" t="s">
        <v>548</v>
      </c>
      <c r="C39" s="868"/>
      <c r="D39" s="868"/>
      <c r="E39" s="868"/>
      <c r="F39" s="868"/>
      <c r="G39" s="868"/>
      <c r="H39" s="868"/>
      <c r="I39" s="869"/>
      <c r="J39" s="30"/>
    </row>
    <row r="40" spans="1:10" s="12" customFormat="1" x14ac:dyDescent="0.25">
      <c r="A40" s="20" t="s">
        <v>27</v>
      </c>
      <c r="B40" s="21" t="s">
        <v>28</v>
      </c>
      <c r="C40" s="21" t="s">
        <v>6</v>
      </c>
      <c r="D40" s="401" t="s">
        <v>7</v>
      </c>
      <c r="E40" s="401" t="s">
        <v>8</v>
      </c>
      <c r="F40" s="401" t="s">
        <v>9</v>
      </c>
      <c r="G40" s="401" t="s">
        <v>10</v>
      </c>
      <c r="H40" s="513" t="s">
        <v>737</v>
      </c>
      <c r="I40" s="31" t="s">
        <v>11</v>
      </c>
      <c r="J40" s="30"/>
    </row>
    <row r="41" spans="1:10" s="12" customFormat="1" ht="30" x14ac:dyDescent="0.25">
      <c r="A41" s="87" t="s">
        <v>527</v>
      </c>
      <c r="B41" s="400" t="s">
        <v>34</v>
      </c>
      <c r="C41" s="406" t="s">
        <v>626</v>
      </c>
      <c r="D41" s="405" t="s">
        <v>96</v>
      </c>
      <c r="E41" s="77">
        <v>50</v>
      </c>
      <c r="F41" s="874">
        <v>0</v>
      </c>
      <c r="G41" s="875"/>
      <c r="H41" s="690" t="s">
        <v>34</v>
      </c>
      <c r="I41" s="691">
        <f t="shared" ref="I41:I53" si="1">E41*F41</f>
        <v>0</v>
      </c>
      <c r="J41" s="30"/>
    </row>
    <row r="42" spans="1:10" s="12" customFormat="1" x14ac:dyDescent="0.25">
      <c r="A42" s="358" t="s">
        <v>527</v>
      </c>
      <c r="B42" s="400" t="s">
        <v>34</v>
      </c>
      <c r="C42" s="355" t="s">
        <v>627</v>
      </c>
      <c r="D42" s="400" t="s">
        <v>96</v>
      </c>
      <c r="E42" s="77">
        <v>20</v>
      </c>
      <c r="F42" s="874">
        <v>0</v>
      </c>
      <c r="G42" s="875"/>
      <c r="H42" s="690" t="s">
        <v>34</v>
      </c>
      <c r="I42" s="691">
        <f t="shared" si="1"/>
        <v>0</v>
      </c>
      <c r="J42" s="30"/>
    </row>
    <row r="43" spans="1:10" s="12" customFormat="1" x14ac:dyDescent="0.25">
      <c r="A43" s="358" t="s">
        <v>527</v>
      </c>
      <c r="B43" s="400" t="s">
        <v>34</v>
      </c>
      <c r="C43" s="355" t="s">
        <v>558</v>
      </c>
      <c r="D43" s="400" t="s">
        <v>96</v>
      </c>
      <c r="E43" s="77">
        <v>60</v>
      </c>
      <c r="F43" s="874">
        <v>0</v>
      </c>
      <c r="G43" s="875"/>
      <c r="H43" s="690" t="s">
        <v>34</v>
      </c>
      <c r="I43" s="691">
        <f t="shared" si="1"/>
        <v>0</v>
      </c>
      <c r="J43" s="30"/>
    </row>
    <row r="44" spans="1:10" s="12" customFormat="1" x14ac:dyDescent="0.25">
      <c r="A44" s="358" t="s">
        <v>527</v>
      </c>
      <c r="B44" s="400" t="s">
        <v>34</v>
      </c>
      <c r="C44" s="355" t="s">
        <v>551</v>
      </c>
      <c r="D44" s="400" t="s">
        <v>96</v>
      </c>
      <c r="E44" s="77">
        <v>81</v>
      </c>
      <c r="F44" s="874">
        <v>0</v>
      </c>
      <c r="G44" s="875"/>
      <c r="H44" s="690" t="s">
        <v>34</v>
      </c>
      <c r="I44" s="691">
        <f t="shared" si="1"/>
        <v>0</v>
      </c>
      <c r="J44" s="30"/>
    </row>
    <row r="45" spans="1:10" s="12" customFormat="1" x14ac:dyDescent="0.25">
      <c r="A45" s="358" t="s">
        <v>527</v>
      </c>
      <c r="B45" s="400" t="s">
        <v>34</v>
      </c>
      <c r="C45" s="355" t="s">
        <v>549</v>
      </c>
      <c r="D45" s="400" t="s">
        <v>96</v>
      </c>
      <c r="E45" s="77">
        <v>15</v>
      </c>
      <c r="F45" s="874">
        <v>0</v>
      </c>
      <c r="G45" s="875"/>
      <c r="H45" s="690" t="s">
        <v>34</v>
      </c>
      <c r="I45" s="691">
        <f t="shared" si="1"/>
        <v>0</v>
      </c>
      <c r="J45" s="30"/>
    </row>
    <row r="46" spans="1:10" s="12" customFormat="1" x14ac:dyDescent="0.25">
      <c r="A46" s="358" t="s">
        <v>527</v>
      </c>
      <c r="B46" s="400" t="s">
        <v>34</v>
      </c>
      <c r="C46" s="355" t="s">
        <v>550</v>
      </c>
      <c r="D46" s="400" t="s">
        <v>96</v>
      </c>
      <c r="E46" s="77">
        <v>15</v>
      </c>
      <c r="F46" s="874">
        <v>0</v>
      </c>
      <c r="G46" s="875"/>
      <c r="H46" s="690" t="s">
        <v>34</v>
      </c>
      <c r="I46" s="691">
        <f t="shared" si="1"/>
        <v>0</v>
      </c>
      <c r="J46" s="30"/>
    </row>
    <row r="47" spans="1:10" s="12" customFormat="1" x14ac:dyDescent="0.25">
      <c r="A47" s="358" t="s">
        <v>527</v>
      </c>
      <c r="B47" s="400" t="s">
        <v>34</v>
      </c>
      <c r="C47" s="355" t="s">
        <v>628</v>
      </c>
      <c r="D47" s="400" t="s">
        <v>96</v>
      </c>
      <c r="E47" s="77">
        <v>12</v>
      </c>
      <c r="F47" s="874">
        <v>0</v>
      </c>
      <c r="G47" s="875"/>
      <c r="H47" s="690" t="s">
        <v>34</v>
      </c>
      <c r="I47" s="691">
        <f t="shared" si="1"/>
        <v>0</v>
      </c>
      <c r="J47" s="30"/>
    </row>
    <row r="48" spans="1:10" s="12" customFormat="1" x14ac:dyDescent="0.25">
      <c r="A48" s="358" t="s">
        <v>527</v>
      </c>
      <c r="B48" s="400" t="s">
        <v>34</v>
      </c>
      <c r="C48" s="355" t="s">
        <v>552</v>
      </c>
      <c r="D48" s="400" t="s">
        <v>7</v>
      </c>
      <c r="E48" s="77">
        <v>2</v>
      </c>
      <c r="F48" s="874">
        <v>0</v>
      </c>
      <c r="G48" s="875"/>
      <c r="H48" s="690" t="s">
        <v>34</v>
      </c>
      <c r="I48" s="691">
        <f t="shared" si="1"/>
        <v>0</v>
      </c>
      <c r="J48" s="30"/>
    </row>
    <row r="49" spans="1:10" s="12" customFormat="1" x14ac:dyDescent="0.25">
      <c r="A49" s="358" t="s">
        <v>527</v>
      </c>
      <c r="B49" s="400" t="s">
        <v>34</v>
      </c>
      <c r="C49" s="355" t="s">
        <v>553</v>
      </c>
      <c r="D49" s="400" t="s">
        <v>96</v>
      </c>
      <c r="E49" s="77">
        <v>48</v>
      </c>
      <c r="F49" s="874">
        <v>0</v>
      </c>
      <c r="G49" s="875"/>
      <c r="H49" s="690" t="s">
        <v>34</v>
      </c>
      <c r="I49" s="691">
        <f t="shared" si="1"/>
        <v>0</v>
      </c>
      <c r="J49" s="30"/>
    </row>
    <row r="50" spans="1:10" s="12" customFormat="1" x14ac:dyDescent="0.25">
      <c r="A50" s="358" t="s">
        <v>527</v>
      </c>
      <c r="B50" s="400" t="s">
        <v>34</v>
      </c>
      <c r="C50" s="355" t="s">
        <v>554</v>
      </c>
      <c r="D50" s="400" t="s">
        <v>96</v>
      </c>
      <c r="E50" s="77">
        <v>6</v>
      </c>
      <c r="F50" s="874">
        <v>0</v>
      </c>
      <c r="G50" s="875"/>
      <c r="H50" s="690" t="s">
        <v>34</v>
      </c>
      <c r="I50" s="691">
        <f t="shared" si="1"/>
        <v>0</v>
      </c>
      <c r="J50" s="30"/>
    </row>
    <row r="51" spans="1:10" s="12" customFormat="1" x14ac:dyDescent="0.25">
      <c r="A51" s="358" t="s">
        <v>527</v>
      </c>
      <c r="B51" s="400" t="s">
        <v>34</v>
      </c>
      <c r="C51" s="355" t="s">
        <v>555</v>
      </c>
      <c r="D51" s="400" t="s">
        <v>7</v>
      </c>
      <c r="E51" s="77">
        <v>20</v>
      </c>
      <c r="F51" s="874">
        <v>0</v>
      </c>
      <c r="G51" s="875"/>
      <c r="H51" s="690" t="s">
        <v>34</v>
      </c>
      <c r="I51" s="691">
        <f t="shared" si="1"/>
        <v>0</v>
      </c>
      <c r="J51" s="30"/>
    </row>
    <row r="52" spans="1:10" s="12" customFormat="1" x14ac:dyDescent="0.25">
      <c r="A52" s="358" t="s">
        <v>527</v>
      </c>
      <c r="B52" s="400" t="s">
        <v>34</v>
      </c>
      <c r="C52" s="355" t="s">
        <v>556</v>
      </c>
      <c r="D52" s="400" t="s">
        <v>187</v>
      </c>
      <c r="E52" s="77">
        <v>14</v>
      </c>
      <c r="F52" s="874">
        <v>0</v>
      </c>
      <c r="G52" s="875"/>
      <c r="H52" s="690" t="s">
        <v>34</v>
      </c>
      <c r="I52" s="691">
        <f t="shared" si="1"/>
        <v>0</v>
      </c>
      <c r="J52" s="30"/>
    </row>
    <row r="53" spans="1:10" s="12" customFormat="1" x14ac:dyDescent="0.25">
      <c r="A53" s="358" t="s">
        <v>527</v>
      </c>
      <c r="B53" s="400" t="s">
        <v>34</v>
      </c>
      <c r="C53" s="355" t="s">
        <v>557</v>
      </c>
      <c r="D53" s="400" t="s">
        <v>7</v>
      </c>
      <c r="E53" s="77">
        <v>1</v>
      </c>
      <c r="F53" s="879">
        <v>0</v>
      </c>
      <c r="G53" s="875"/>
      <c r="H53" s="690" t="s">
        <v>34</v>
      </c>
      <c r="I53" s="691">
        <f t="shared" si="1"/>
        <v>0</v>
      </c>
      <c r="J53" s="30"/>
    </row>
    <row r="54" spans="1:10" s="408" customFormat="1" ht="30.75" customHeight="1" x14ac:dyDescent="0.25">
      <c r="A54" s="87" t="s">
        <v>779</v>
      </c>
      <c r="B54" s="405">
        <v>81861</v>
      </c>
      <c r="C54" s="25" t="s">
        <v>638</v>
      </c>
      <c r="D54" s="405" t="s">
        <v>7</v>
      </c>
      <c r="E54" s="404">
        <v>3</v>
      </c>
      <c r="F54" s="692">
        <v>0</v>
      </c>
      <c r="G54" s="692">
        <v>0</v>
      </c>
      <c r="H54" s="690" t="s">
        <v>34</v>
      </c>
      <c r="I54" s="691">
        <f>E54*(F54+G54)*1.2665</f>
        <v>0</v>
      </c>
      <c r="J54" s="407"/>
    </row>
    <row r="55" spans="1:10" s="12" customFormat="1" ht="15.75" thickBot="1" x14ac:dyDescent="0.3">
      <c r="A55" s="880" t="s">
        <v>11</v>
      </c>
      <c r="B55" s="881"/>
      <c r="C55" s="881"/>
      <c r="D55" s="881"/>
      <c r="E55" s="881"/>
      <c r="F55" s="881"/>
      <c r="G55" s="881"/>
      <c r="H55" s="882"/>
      <c r="I55" s="693">
        <f>ROUNDUP(SUM(I41:I54),2)</f>
        <v>0</v>
      </c>
      <c r="J55" s="30"/>
    </row>
    <row r="56" spans="1:10" s="12" customFormat="1" ht="15.75" thickBot="1" x14ac:dyDescent="0.3">
      <c r="A56" s="350"/>
      <c r="B56" s="350"/>
      <c r="C56" s="350"/>
      <c r="D56" s="350"/>
      <c r="E56" s="351"/>
      <c r="F56" s="350"/>
      <c r="G56" s="350"/>
      <c r="H56" s="515"/>
      <c r="I56" s="359"/>
      <c r="J56" s="30"/>
    </row>
    <row r="57" spans="1:10" s="12" customFormat="1" x14ac:dyDescent="0.25">
      <c r="A57" s="79" t="s">
        <v>816</v>
      </c>
      <c r="B57" s="867" t="s">
        <v>815</v>
      </c>
      <c r="C57" s="868"/>
      <c r="D57" s="868"/>
      <c r="E57" s="868"/>
      <c r="F57" s="868"/>
      <c r="G57" s="868"/>
      <c r="H57" s="868"/>
      <c r="I57" s="869"/>
      <c r="J57" s="30"/>
    </row>
    <row r="58" spans="1:10" s="12" customFormat="1" x14ac:dyDescent="0.25">
      <c r="A58" s="870" t="s">
        <v>586</v>
      </c>
      <c r="B58" s="871"/>
      <c r="C58" s="871"/>
      <c r="D58" s="871"/>
      <c r="E58" s="871"/>
      <c r="F58" s="871"/>
      <c r="G58" s="871"/>
      <c r="H58" s="872"/>
      <c r="I58" s="873"/>
      <c r="J58" s="30"/>
    </row>
    <row r="59" spans="1:10" s="12" customFormat="1" x14ac:dyDescent="0.25">
      <c r="A59" s="20" t="s">
        <v>67</v>
      </c>
      <c r="B59" s="21" t="s">
        <v>13</v>
      </c>
      <c r="C59" s="21" t="s">
        <v>819</v>
      </c>
      <c r="D59" s="21" t="s">
        <v>179</v>
      </c>
      <c r="E59" s="21" t="s">
        <v>227</v>
      </c>
      <c r="F59" s="21" t="s">
        <v>820</v>
      </c>
      <c r="G59" s="21" t="s">
        <v>821</v>
      </c>
      <c r="H59" s="513" t="s">
        <v>737</v>
      </c>
      <c r="I59" s="21" t="s">
        <v>814</v>
      </c>
      <c r="J59" s="30"/>
    </row>
    <row r="60" spans="1:10" s="12" customFormat="1" x14ac:dyDescent="0.25">
      <c r="A60" s="377" t="s">
        <v>567</v>
      </c>
      <c r="B60" s="378" t="s">
        <v>34</v>
      </c>
      <c r="C60" s="379" t="s">
        <v>587</v>
      </c>
      <c r="D60" s="368" t="s">
        <v>100</v>
      </c>
      <c r="E60" s="380">
        <v>1</v>
      </c>
      <c r="F60" s="369">
        <v>14</v>
      </c>
      <c r="G60" s="694">
        <v>0</v>
      </c>
      <c r="H60" s="695" t="s">
        <v>34</v>
      </c>
      <c r="I60" s="696">
        <f>(E60*F60*G60)</f>
        <v>0</v>
      </c>
      <c r="J60" s="30"/>
    </row>
    <row r="61" spans="1:10" s="12" customFormat="1" x14ac:dyDescent="0.25">
      <c r="A61" s="381" t="s">
        <v>567</v>
      </c>
      <c r="B61" s="75" t="s">
        <v>34</v>
      </c>
      <c r="C61" s="98" t="s">
        <v>588</v>
      </c>
      <c r="D61" s="97" t="s">
        <v>100</v>
      </c>
      <c r="E61" s="382">
        <v>2</v>
      </c>
      <c r="F61" s="100">
        <v>14</v>
      </c>
      <c r="G61" s="697">
        <v>0</v>
      </c>
      <c r="H61" s="698" t="s">
        <v>34</v>
      </c>
      <c r="I61" s="696">
        <f t="shared" ref="I61:I63" si="2">(E61*F61*G61)</f>
        <v>0</v>
      </c>
      <c r="J61" s="30"/>
    </row>
    <row r="62" spans="1:10" s="12" customFormat="1" x14ac:dyDescent="0.25">
      <c r="A62" s="381" t="s">
        <v>567</v>
      </c>
      <c r="B62" s="75" t="s">
        <v>34</v>
      </c>
      <c r="C62" s="98" t="s">
        <v>829</v>
      </c>
      <c r="D62" s="97" t="s">
        <v>100</v>
      </c>
      <c r="E62" s="382">
        <v>1</v>
      </c>
      <c r="F62" s="100">
        <v>14</v>
      </c>
      <c r="G62" s="697">
        <v>0</v>
      </c>
      <c r="H62" s="698" t="s">
        <v>34</v>
      </c>
      <c r="I62" s="696">
        <f t="shared" si="2"/>
        <v>0</v>
      </c>
      <c r="J62" s="30"/>
    </row>
    <row r="63" spans="1:10" s="12" customFormat="1" x14ac:dyDescent="0.25">
      <c r="A63" s="381" t="s">
        <v>567</v>
      </c>
      <c r="B63" s="75" t="s">
        <v>34</v>
      </c>
      <c r="C63" s="98" t="s">
        <v>830</v>
      </c>
      <c r="D63" s="97" t="s">
        <v>100</v>
      </c>
      <c r="E63" s="382">
        <v>2</v>
      </c>
      <c r="F63" s="100">
        <v>14</v>
      </c>
      <c r="G63" s="697">
        <v>0</v>
      </c>
      <c r="H63" s="698" t="s">
        <v>34</v>
      </c>
      <c r="I63" s="696">
        <f t="shared" si="2"/>
        <v>0</v>
      </c>
      <c r="J63" s="30"/>
    </row>
    <row r="64" spans="1:10" s="12" customFormat="1" x14ac:dyDescent="0.25">
      <c r="A64" s="383" t="s">
        <v>26</v>
      </c>
      <c r="B64" s="384">
        <v>40931</v>
      </c>
      <c r="C64" s="385" t="s">
        <v>589</v>
      </c>
      <c r="D64" s="384" t="s">
        <v>100</v>
      </c>
      <c r="E64" s="386">
        <v>2</v>
      </c>
      <c r="F64" s="387">
        <v>14</v>
      </c>
      <c r="G64" s="699">
        <v>0</v>
      </c>
      <c r="H64" s="700" t="s">
        <v>34</v>
      </c>
      <c r="I64" s="696">
        <f>(E64*F64*G64)*1.2665</f>
        <v>0</v>
      </c>
      <c r="J64" s="30"/>
    </row>
    <row r="65" spans="1:10" s="12" customFormat="1" x14ac:dyDescent="0.25">
      <c r="A65" s="381" t="s">
        <v>567</v>
      </c>
      <c r="B65" s="384" t="s">
        <v>34</v>
      </c>
      <c r="C65" s="385" t="s">
        <v>972</v>
      </c>
      <c r="D65" s="384" t="s">
        <v>100</v>
      </c>
      <c r="E65" s="386">
        <v>1</v>
      </c>
      <c r="F65" s="387">
        <v>14</v>
      </c>
      <c r="G65" s="699">
        <v>0</v>
      </c>
      <c r="H65" s="700" t="s">
        <v>34</v>
      </c>
      <c r="I65" s="696">
        <f>(E65*F65*G65)</f>
        <v>0</v>
      </c>
      <c r="J65" s="30"/>
    </row>
    <row r="66" spans="1:10" s="12" customFormat="1" x14ac:dyDescent="0.25">
      <c r="A66" s="381" t="s">
        <v>567</v>
      </c>
      <c r="B66" s="384" t="s">
        <v>34</v>
      </c>
      <c r="C66" s="385" t="s">
        <v>973</v>
      </c>
      <c r="D66" s="384" t="s">
        <v>100</v>
      </c>
      <c r="E66" s="386">
        <v>1</v>
      </c>
      <c r="F66" s="387">
        <v>14</v>
      </c>
      <c r="G66" s="699">
        <v>0</v>
      </c>
      <c r="H66" s="700" t="s">
        <v>34</v>
      </c>
      <c r="I66" s="696">
        <f>(E66*F66*G66)</f>
        <v>0</v>
      </c>
      <c r="J66" s="30"/>
    </row>
    <row r="67" spans="1:10" s="12" customFormat="1" ht="15.75" thickBot="1" x14ac:dyDescent="0.3">
      <c r="A67" s="880" t="s">
        <v>537</v>
      </c>
      <c r="B67" s="881"/>
      <c r="C67" s="881"/>
      <c r="D67" s="881"/>
      <c r="E67" s="881"/>
      <c r="F67" s="881"/>
      <c r="G67" s="881"/>
      <c r="H67" s="882"/>
      <c r="I67" s="701">
        <f>ROUNDUP(SUM(I60:I66),2)</f>
        <v>0</v>
      </c>
      <c r="J67" s="30"/>
    </row>
    <row r="68" spans="1:10" s="12" customFormat="1" x14ac:dyDescent="0.25">
      <c r="A68" s="870" t="s">
        <v>590</v>
      </c>
      <c r="B68" s="871"/>
      <c r="C68" s="871"/>
      <c r="D68" s="871"/>
      <c r="E68" s="871"/>
      <c r="F68" s="871"/>
      <c r="G68" s="871"/>
      <c r="H68" s="872"/>
      <c r="I68" s="873"/>
      <c r="J68" s="30"/>
    </row>
    <row r="69" spans="1:10" s="12" customFormat="1" x14ac:dyDescent="0.25">
      <c r="A69" s="20" t="s">
        <v>67</v>
      </c>
      <c r="B69" s="21" t="s">
        <v>13</v>
      </c>
      <c r="C69" s="21" t="s">
        <v>819</v>
      </c>
      <c r="D69" s="21" t="s">
        <v>179</v>
      </c>
      <c r="E69" s="21" t="s">
        <v>227</v>
      </c>
      <c r="F69" s="21" t="s">
        <v>820</v>
      </c>
      <c r="G69" s="21" t="s">
        <v>821</v>
      </c>
      <c r="H69" s="513" t="s">
        <v>737</v>
      </c>
      <c r="I69" s="21" t="s">
        <v>814</v>
      </c>
      <c r="J69" s="30"/>
    </row>
    <row r="70" spans="1:10" s="12" customFormat="1" x14ac:dyDescent="0.25">
      <c r="A70" s="388" t="s">
        <v>567</v>
      </c>
      <c r="B70" s="376" t="s">
        <v>34</v>
      </c>
      <c r="C70" s="389" t="s">
        <v>591</v>
      </c>
      <c r="D70" s="390" t="s">
        <v>100</v>
      </c>
      <c r="E70" s="391">
        <v>1</v>
      </c>
      <c r="F70" s="392">
        <v>14</v>
      </c>
      <c r="G70" s="702">
        <v>0</v>
      </c>
      <c r="H70" s="703" t="s">
        <v>34</v>
      </c>
      <c r="I70" s="696">
        <f>(E70*F70*G70)</f>
        <v>0</v>
      </c>
      <c r="J70" s="30"/>
    </row>
    <row r="71" spans="1:10" s="12" customFormat="1" ht="15.75" thickBot="1" x14ac:dyDescent="0.3">
      <c r="A71" s="880" t="s">
        <v>537</v>
      </c>
      <c r="B71" s="881"/>
      <c r="C71" s="881"/>
      <c r="D71" s="881"/>
      <c r="E71" s="881"/>
      <c r="F71" s="881"/>
      <c r="G71" s="881"/>
      <c r="H71" s="882"/>
      <c r="I71" s="701">
        <f>ROUNDUP(SUM(I70),2)</f>
        <v>0</v>
      </c>
      <c r="J71" s="30"/>
    </row>
    <row r="72" spans="1:10" s="12" customFormat="1" x14ac:dyDescent="0.25">
      <c r="A72" s="870" t="s">
        <v>592</v>
      </c>
      <c r="B72" s="871"/>
      <c r="C72" s="871"/>
      <c r="D72" s="871"/>
      <c r="E72" s="871"/>
      <c r="F72" s="871"/>
      <c r="G72" s="871"/>
      <c r="H72" s="872"/>
      <c r="I72" s="873"/>
      <c r="J72" s="30"/>
    </row>
    <row r="73" spans="1:10" s="12" customFormat="1" x14ac:dyDescent="0.25">
      <c r="A73" s="20" t="s">
        <v>67</v>
      </c>
      <c r="B73" s="21" t="s">
        <v>13</v>
      </c>
      <c r="C73" s="21" t="s">
        <v>819</v>
      </c>
      <c r="D73" s="21" t="s">
        <v>179</v>
      </c>
      <c r="E73" s="21" t="s">
        <v>227</v>
      </c>
      <c r="F73" s="21" t="s">
        <v>820</v>
      </c>
      <c r="G73" s="21" t="s">
        <v>821</v>
      </c>
      <c r="H73" s="513" t="s">
        <v>737</v>
      </c>
      <c r="I73" s="21" t="s">
        <v>814</v>
      </c>
      <c r="J73" s="30"/>
    </row>
    <row r="74" spans="1:10" s="12" customFormat="1" x14ac:dyDescent="0.25">
      <c r="A74" s="377" t="s">
        <v>593</v>
      </c>
      <c r="B74" s="378">
        <v>12</v>
      </c>
      <c r="C74" s="379" t="s">
        <v>594</v>
      </c>
      <c r="D74" s="368" t="s">
        <v>22</v>
      </c>
      <c r="E74" s="380" t="s">
        <v>595</v>
      </c>
      <c r="F74" s="369">
        <v>14</v>
      </c>
      <c r="G74" s="694">
        <v>0</v>
      </c>
      <c r="H74" s="695" t="s">
        <v>34</v>
      </c>
      <c r="I74" s="696">
        <f>(220*F74*G74)*1.2665</f>
        <v>0</v>
      </c>
      <c r="J74" s="30"/>
    </row>
    <row r="75" spans="1:10" s="12" customFormat="1" x14ac:dyDescent="0.25">
      <c r="A75" s="381" t="s">
        <v>593</v>
      </c>
      <c r="B75" s="75">
        <v>3</v>
      </c>
      <c r="C75" s="98" t="s">
        <v>596</v>
      </c>
      <c r="D75" s="97" t="s">
        <v>22</v>
      </c>
      <c r="E75" s="382" t="s">
        <v>595</v>
      </c>
      <c r="F75" s="100">
        <v>14</v>
      </c>
      <c r="G75" s="704">
        <v>0</v>
      </c>
      <c r="H75" s="698" t="s">
        <v>34</v>
      </c>
      <c r="I75" s="696">
        <f>(220*F75*G75)*1.2665</f>
        <v>0</v>
      </c>
      <c r="J75" s="30"/>
    </row>
    <row r="76" spans="1:10" s="12" customFormat="1" x14ac:dyDescent="0.25">
      <c r="A76" s="381" t="s">
        <v>567</v>
      </c>
      <c r="B76" s="75" t="s">
        <v>34</v>
      </c>
      <c r="C76" s="98" t="s">
        <v>597</v>
      </c>
      <c r="D76" s="97" t="s">
        <v>100</v>
      </c>
      <c r="E76" s="382">
        <v>1</v>
      </c>
      <c r="F76" s="100">
        <v>14</v>
      </c>
      <c r="G76" s="697">
        <v>0</v>
      </c>
      <c r="H76" s="698" t="s">
        <v>34</v>
      </c>
      <c r="I76" s="696">
        <f>(E76*F76*G76)</f>
        <v>0</v>
      </c>
      <c r="J76" s="30"/>
    </row>
    <row r="77" spans="1:10" s="12" customFormat="1" x14ac:dyDescent="0.25">
      <c r="A77" s="393" t="s">
        <v>567</v>
      </c>
      <c r="B77" s="394" t="s">
        <v>34</v>
      </c>
      <c r="C77" s="385" t="s">
        <v>598</v>
      </c>
      <c r="D77" s="384" t="s">
        <v>100</v>
      </c>
      <c r="E77" s="386">
        <v>1</v>
      </c>
      <c r="F77" s="387">
        <v>14</v>
      </c>
      <c r="G77" s="705">
        <v>0</v>
      </c>
      <c r="H77" s="700" t="s">
        <v>34</v>
      </c>
      <c r="I77" s="696">
        <f>(E77*F77*G77)</f>
        <v>0</v>
      </c>
      <c r="J77" s="30"/>
    </row>
    <row r="78" spans="1:10" s="12" customFormat="1" ht="15.75" thickBot="1" x14ac:dyDescent="0.3">
      <c r="A78" s="880" t="s">
        <v>537</v>
      </c>
      <c r="B78" s="881"/>
      <c r="C78" s="881"/>
      <c r="D78" s="881"/>
      <c r="E78" s="881"/>
      <c r="F78" s="881"/>
      <c r="G78" s="881"/>
      <c r="H78" s="882"/>
      <c r="I78" s="701">
        <f>ROUNDUP(SUM(I74:I77),2)</f>
        <v>0</v>
      </c>
      <c r="J78" s="30"/>
    </row>
    <row r="79" spans="1:10" s="12" customFormat="1" x14ac:dyDescent="0.25">
      <c r="A79" s="870" t="s">
        <v>599</v>
      </c>
      <c r="B79" s="871"/>
      <c r="C79" s="871"/>
      <c r="D79" s="871"/>
      <c r="E79" s="871"/>
      <c r="F79" s="871"/>
      <c r="G79" s="871"/>
      <c r="H79" s="872"/>
      <c r="I79" s="873"/>
      <c r="J79" s="30"/>
    </row>
    <row r="80" spans="1:10" s="12" customFormat="1" x14ac:dyDescent="0.25">
      <c r="A80" s="20" t="s">
        <v>67</v>
      </c>
      <c r="B80" s="21" t="s">
        <v>13</v>
      </c>
      <c r="C80" s="21" t="s">
        <v>819</v>
      </c>
      <c r="D80" s="21" t="s">
        <v>179</v>
      </c>
      <c r="E80" s="21" t="s">
        <v>227</v>
      </c>
      <c r="F80" s="21" t="s">
        <v>820</v>
      </c>
      <c r="G80" s="21" t="s">
        <v>821</v>
      </c>
      <c r="H80" s="513" t="s">
        <v>737</v>
      </c>
      <c r="I80" s="21" t="s">
        <v>814</v>
      </c>
      <c r="J80" s="30"/>
    </row>
    <row r="81" spans="1:10" s="12" customFormat="1" x14ac:dyDescent="0.25">
      <c r="A81" s="377" t="s">
        <v>567</v>
      </c>
      <c r="B81" s="378" t="s">
        <v>34</v>
      </c>
      <c r="C81" s="379" t="s">
        <v>831</v>
      </c>
      <c r="D81" s="368" t="s">
        <v>100</v>
      </c>
      <c r="E81" s="380">
        <v>1</v>
      </c>
      <c r="F81" s="369">
        <v>14</v>
      </c>
      <c r="G81" s="694">
        <v>0</v>
      </c>
      <c r="H81" s="695" t="s">
        <v>34</v>
      </c>
      <c r="I81" s="696">
        <f>(E81*F81*G81)</f>
        <v>0</v>
      </c>
      <c r="J81" s="30"/>
    </row>
    <row r="82" spans="1:10" s="12" customFormat="1" x14ac:dyDescent="0.25">
      <c r="A82" s="377" t="s">
        <v>567</v>
      </c>
      <c r="B82" s="378" t="s">
        <v>34</v>
      </c>
      <c r="C82" s="379" t="s">
        <v>600</v>
      </c>
      <c r="D82" s="368" t="s">
        <v>100</v>
      </c>
      <c r="E82" s="380">
        <v>3</v>
      </c>
      <c r="F82" s="369">
        <v>14</v>
      </c>
      <c r="G82" s="694">
        <v>0</v>
      </c>
      <c r="H82" s="695" t="s">
        <v>34</v>
      </c>
      <c r="I82" s="696">
        <f>(E82*F82*G82)</f>
        <v>0</v>
      </c>
      <c r="J82" s="30"/>
    </row>
    <row r="83" spans="1:10" s="12" customFormat="1" x14ac:dyDescent="0.25">
      <c r="A83" s="381" t="s">
        <v>567</v>
      </c>
      <c r="B83" s="75" t="s">
        <v>34</v>
      </c>
      <c r="C83" s="98" t="s">
        <v>601</v>
      </c>
      <c r="D83" s="97" t="s">
        <v>100</v>
      </c>
      <c r="E83" s="382">
        <v>3</v>
      </c>
      <c r="F83" s="100">
        <f>(6160/2)/220</f>
        <v>14</v>
      </c>
      <c r="G83" s="697">
        <v>0</v>
      </c>
      <c r="H83" s="698" t="s">
        <v>34</v>
      </c>
      <c r="I83" s="696">
        <f>(E83*F83*G83)</f>
        <v>0</v>
      </c>
      <c r="J83" s="30"/>
    </row>
    <row r="84" spans="1:10" s="12" customFormat="1" x14ac:dyDescent="0.25">
      <c r="A84" s="381" t="s">
        <v>567</v>
      </c>
      <c r="B84" s="75" t="s">
        <v>34</v>
      </c>
      <c r="C84" s="98" t="s">
        <v>602</v>
      </c>
      <c r="D84" s="97" t="s">
        <v>100</v>
      </c>
      <c r="E84" s="382">
        <v>3</v>
      </c>
      <c r="F84" s="100">
        <f>42/3</f>
        <v>14</v>
      </c>
      <c r="G84" s="697">
        <v>0</v>
      </c>
      <c r="H84" s="698" t="s">
        <v>34</v>
      </c>
      <c r="I84" s="696">
        <f>(E84*F84*G84)</f>
        <v>0</v>
      </c>
      <c r="J84" s="30"/>
    </row>
    <row r="85" spans="1:10" s="12" customFormat="1" x14ac:dyDescent="0.25">
      <c r="A85" s="349" t="s">
        <v>26</v>
      </c>
      <c r="B85" s="97">
        <v>40908</v>
      </c>
      <c r="C85" s="98" t="s">
        <v>832</v>
      </c>
      <c r="D85" s="97" t="s">
        <v>100</v>
      </c>
      <c r="E85" s="382">
        <v>1</v>
      </c>
      <c r="F85" s="100">
        <v>14</v>
      </c>
      <c r="G85" s="706">
        <v>0</v>
      </c>
      <c r="H85" s="698" t="s">
        <v>34</v>
      </c>
      <c r="I85" s="696">
        <f>(E85*F85*G85)*1.2665</f>
        <v>0</v>
      </c>
      <c r="J85" s="30"/>
    </row>
    <row r="86" spans="1:10" s="12" customFormat="1" x14ac:dyDescent="0.25">
      <c r="A86" s="383" t="s">
        <v>26</v>
      </c>
      <c r="B86" s="384">
        <v>41071</v>
      </c>
      <c r="C86" s="385" t="s">
        <v>603</v>
      </c>
      <c r="D86" s="384" t="s">
        <v>100</v>
      </c>
      <c r="E86" s="386">
        <v>4</v>
      </c>
      <c r="F86" s="387">
        <f>56/4</f>
        <v>14</v>
      </c>
      <c r="G86" s="699">
        <v>0</v>
      </c>
      <c r="H86" s="700" t="s">
        <v>34</v>
      </c>
      <c r="I86" s="696">
        <f>(E86*F86*G86)*1.2665</f>
        <v>0</v>
      </c>
      <c r="J86" s="30"/>
    </row>
    <row r="87" spans="1:10" s="12" customFormat="1" ht="15.75" thickBot="1" x14ac:dyDescent="0.3">
      <c r="A87" s="880" t="s">
        <v>537</v>
      </c>
      <c r="B87" s="881"/>
      <c r="C87" s="881"/>
      <c r="D87" s="881"/>
      <c r="E87" s="881"/>
      <c r="F87" s="881"/>
      <c r="G87" s="881"/>
      <c r="H87" s="882"/>
      <c r="I87" s="701">
        <f>ROUNDUP(SUM(I81:I86),2)</f>
        <v>0</v>
      </c>
      <c r="J87" s="30"/>
    </row>
    <row r="88" spans="1:10" s="12" customFormat="1" x14ac:dyDescent="0.25">
      <c r="A88" s="870" t="s">
        <v>604</v>
      </c>
      <c r="B88" s="871"/>
      <c r="C88" s="871"/>
      <c r="D88" s="871"/>
      <c r="E88" s="871"/>
      <c r="F88" s="871"/>
      <c r="G88" s="871"/>
      <c r="H88" s="872"/>
      <c r="I88" s="873"/>
      <c r="J88" s="30"/>
    </row>
    <row r="89" spans="1:10" s="12" customFormat="1" x14ac:dyDescent="0.25">
      <c r="A89" s="20" t="s">
        <v>67</v>
      </c>
      <c r="B89" s="21" t="s">
        <v>13</v>
      </c>
      <c r="C89" s="21" t="s">
        <v>819</v>
      </c>
      <c r="D89" s="21" t="s">
        <v>179</v>
      </c>
      <c r="E89" s="21" t="s">
        <v>227</v>
      </c>
      <c r="F89" s="21" t="s">
        <v>820</v>
      </c>
      <c r="G89" s="21" t="s">
        <v>821</v>
      </c>
      <c r="H89" s="513" t="s">
        <v>737</v>
      </c>
      <c r="I89" s="21" t="s">
        <v>814</v>
      </c>
      <c r="J89" s="30"/>
    </row>
    <row r="90" spans="1:10" s="12" customFormat="1" x14ac:dyDescent="0.25">
      <c r="A90" s="388" t="s">
        <v>567</v>
      </c>
      <c r="B90" s="376" t="s">
        <v>34</v>
      </c>
      <c r="C90" s="395" t="s">
        <v>605</v>
      </c>
      <c r="D90" s="390" t="s">
        <v>100</v>
      </c>
      <c r="E90" s="391">
        <v>4</v>
      </c>
      <c r="F90" s="392">
        <v>14</v>
      </c>
      <c r="G90" s="702">
        <v>0</v>
      </c>
      <c r="H90" s="703" t="s">
        <v>34</v>
      </c>
      <c r="I90" s="696">
        <f>(E90*F90*G90)</f>
        <v>0</v>
      </c>
      <c r="J90" s="30"/>
    </row>
    <row r="91" spans="1:10" s="12" customFormat="1" ht="15.75" thickBot="1" x14ac:dyDescent="0.3">
      <c r="A91" s="880" t="s">
        <v>537</v>
      </c>
      <c r="B91" s="881"/>
      <c r="C91" s="881"/>
      <c r="D91" s="881"/>
      <c r="E91" s="881"/>
      <c r="F91" s="881"/>
      <c r="G91" s="881"/>
      <c r="H91" s="882"/>
      <c r="I91" s="701">
        <f>ROUNDUP(SUM(I90),2)</f>
        <v>0</v>
      </c>
      <c r="J91" s="30"/>
    </row>
    <row r="92" spans="1:10" s="12" customFormat="1" x14ac:dyDescent="0.25">
      <c r="A92" s="870" t="s">
        <v>606</v>
      </c>
      <c r="B92" s="871"/>
      <c r="C92" s="871"/>
      <c r="D92" s="871"/>
      <c r="E92" s="871"/>
      <c r="F92" s="871"/>
      <c r="G92" s="871"/>
      <c r="H92" s="872"/>
      <c r="I92" s="873"/>
      <c r="J92" s="30"/>
    </row>
    <row r="93" spans="1:10" s="12" customFormat="1" x14ac:dyDescent="0.25">
      <c r="A93" s="20" t="s">
        <v>67</v>
      </c>
      <c r="B93" s="21" t="s">
        <v>13</v>
      </c>
      <c r="C93" s="21" t="s">
        <v>819</v>
      </c>
      <c r="D93" s="21" t="s">
        <v>179</v>
      </c>
      <c r="E93" s="21" t="s">
        <v>227</v>
      </c>
      <c r="F93" s="21" t="s">
        <v>820</v>
      </c>
      <c r="G93" s="21" t="s">
        <v>821</v>
      </c>
      <c r="H93" s="513" t="s">
        <v>737</v>
      </c>
      <c r="I93" s="21" t="s">
        <v>814</v>
      </c>
      <c r="J93" s="30"/>
    </row>
    <row r="94" spans="1:10" s="12" customFormat="1" x14ac:dyDescent="0.25">
      <c r="A94" s="377" t="s">
        <v>567</v>
      </c>
      <c r="B94" s="396" t="s">
        <v>34</v>
      </c>
      <c r="C94" s="397" t="s">
        <v>607</v>
      </c>
      <c r="D94" s="398" t="s">
        <v>100</v>
      </c>
      <c r="E94" s="399">
        <v>1</v>
      </c>
      <c r="F94" s="399">
        <v>14</v>
      </c>
      <c r="G94" s="707">
        <v>0</v>
      </c>
      <c r="H94" s="708" t="s">
        <v>34</v>
      </c>
      <c r="I94" s="696">
        <f>(E94*F94*G94)</f>
        <v>0</v>
      </c>
      <c r="J94" s="30"/>
    </row>
    <row r="95" spans="1:10" s="12" customFormat="1" x14ac:dyDescent="0.25">
      <c r="A95" s="349" t="s">
        <v>43</v>
      </c>
      <c r="B95" s="97">
        <v>93556</v>
      </c>
      <c r="C95" s="98" t="s">
        <v>608</v>
      </c>
      <c r="D95" s="97" t="s">
        <v>100</v>
      </c>
      <c r="E95" s="382">
        <v>1</v>
      </c>
      <c r="F95" s="100">
        <v>14</v>
      </c>
      <c r="G95" s="697">
        <v>0</v>
      </c>
      <c r="H95" s="698" t="s">
        <v>34</v>
      </c>
      <c r="I95" s="696">
        <f>(E95*F95*G95)*1.2665</f>
        <v>0</v>
      </c>
      <c r="J95" s="30"/>
    </row>
    <row r="96" spans="1:10" s="12" customFormat="1" x14ac:dyDescent="0.25">
      <c r="A96" s="349" t="s">
        <v>43</v>
      </c>
      <c r="B96" s="384">
        <v>93557</v>
      </c>
      <c r="C96" s="385" t="s">
        <v>609</v>
      </c>
      <c r="D96" s="384" t="s">
        <v>100</v>
      </c>
      <c r="E96" s="386">
        <v>1</v>
      </c>
      <c r="F96" s="387">
        <v>14</v>
      </c>
      <c r="G96" s="699">
        <v>0</v>
      </c>
      <c r="H96" s="700" t="s">
        <v>34</v>
      </c>
      <c r="I96" s="696">
        <f>(E96*F96*G96)*1.2665</f>
        <v>0</v>
      </c>
      <c r="J96" s="30"/>
    </row>
    <row r="97" spans="1:11" s="12" customFormat="1" x14ac:dyDescent="0.25">
      <c r="A97" s="377" t="s">
        <v>567</v>
      </c>
      <c r="B97" s="384" t="s">
        <v>34</v>
      </c>
      <c r="C97" s="385" t="s">
        <v>974</v>
      </c>
      <c r="D97" s="384" t="s">
        <v>100</v>
      </c>
      <c r="E97" s="386">
        <v>1</v>
      </c>
      <c r="F97" s="387">
        <v>14</v>
      </c>
      <c r="G97" s="699">
        <v>0</v>
      </c>
      <c r="H97" s="700" t="s">
        <v>34</v>
      </c>
      <c r="I97" s="696">
        <f>(E97*F97*G97)</f>
        <v>0</v>
      </c>
      <c r="J97" s="30"/>
    </row>
    <row r="98" spans="1:11" s="12" customFormat="1" ht="15.75" thickBot="1" x14ac:dyDescent="0.3">
      <c r="A98" s="880" t="s">
        <v>537</v>
      </c>
      <c r="B98" s="881"/>
      <c r="C98" s="881"/>
      <c r="D98" s="881"/>
      <c r="E98" s="881"/>
      <c r="F98" s="881"/>
      <c r="G98" s="881"/>
      <c r="H98" s="882"/>
      <c r="I98" s="701">
        <f>ROUNDUP(SUM(I94:I97),2)</f>
        <v>0</v>
      </c>
      <c r="J98" s="30"/>
    </row>
    <row r="99" spans="1:11" s="12" customFormat="1" ht="15.75" thickBot="1" x14ac:dyDescent="0.3">
      <c r="A99" s="861" t="s">
        <v>11</v>
      </c>
      <c r="B99" s="862"/>
      <c r="C99" s="862"/>
      <c r="D99" s="862"/>
      <c r="E99" s="862"/>
      <c r="F99" s="862"/>
      <c r="G99" s="862"/>
      <c r="H99" s="863"/>
      <c r="I99" s="701">
        <f>SUM(I98,I91,I87,I78,I71,I67)</f>
        <v>0</v>
      </c>
      <c r="J99" s="30"/>
    </row>
    <row r="100" spans="1:11" s="12" customFormat="1" x14ac:dyDescent="0.25">
      <c r="A100" s="555"/>
      <c r="B100" s="555"/>
      <c r="C100" s="555"/>
      <c r="D100" s="555"/>
      <c r="E100" s="351"/>
      <c r="F100" s="555"/>
      <c r="G100" s="555"/>
      <c r="H100" s="515"/>
      <c r="I100" s="359"/>
      <c r="J100" s="30"/>
    </row>
    <row r="101" spans="1:11" s="12" customFormat="1" ht="15.75" thickBot="1" x14ac:dyDescent="0.3">
      <c r="A101" s="555"/>
      <c r="B101" s="555"/>
      <c r="C101" s="555"/>
      <c r="D101" s="555"/>
      <c r="E101" s="351"/>
      <c r="F101" s="555"/>
      <c r="G101" s="555"/>
      <c r="H101" s="515"/>
      <c r="I101" s="359"/>
      <c r="J101" s="30"/>
    </row>
    <row r="102" spans="1:11" s="12" customFormat="1" ht="15.75" thickBot="1" x14ac:dyDescent="0.3">
      <c r="A102" s="84" t="s">
        <v>822</v>
      </c>
      <c r="B102" s="883" t="str">
        <f>ORÇAMENTO!D121</f>
        <v xml:space="preserve">VIGAS PRÉ-FRABICADAS EM CONCRETO ARMADO COM PROTENSÃO </v>
      </c>
      <c r="C102" s="884"/>
      <c r="D102" s="884"/>
      <c r="E102" s="884"/>
      <c r="F102" s="884"/>
      <c r="G102" s="884"/>
      <c r="H102" s="884"/>
      <c r="I102" s="885"/>
      <c r="J102" s="30"/>
    </row>
    <row r="103" spans="1:11" s="12" customFormat="1" x14ac:dyDescent="0.25">
      <c r="A103" s="83" t="s">
        <v>27</v>
      </c>
      <c r="B103" s="80" t="s">
        <v>28</v>
      </c>
      <c r="C103" s="80" t="s">
        <v>38</v>
      </c>
      <c r="D103" s="81" t="s">
        <v>7</v>
      </c>
      <c r="E103" s="81" t="s">
        <v>8</v>
      </c>
      <c r="F103" s="81" t="s">
        <v>9</v>
      </c>
      <c r="G103" s="81" t="s">
        <v>10</v>
      </c>
      <c r="H103" s="513" t="s">
        <v>737</v>
      </c>
      <c r="I103" s="82" t="s">
        <v>11</v>
      </c>
      <c r="J103" s="30"/>
    </row>
    <row r="104" spans="1:11" s="12" customFormat="1" x14ac:dyDescent="0.25">
      <c r="A104" s="22" t="s">
        <v>13</v>
      </c>
      <c r="B104" s="886" t="s">
        <v>31</v>
      </c>
      <c r="C104" s="887"/>
      <c r="D104" s="887"/>
      <c r="E104" s="887"/>
      <c r="F104" s="887"/>
      <c r="G104" s="887"/>
      <c r="H104" s="887"/>
      <c r="I104" s="888"/>
      <c r="J104" s="30"/>
    </row>
    <row r="105" spans="1:11" s="12" customFormat="1" x14ac:dyDescent="0.25">
      <c r="A105" s="358" t="s">
        <v>582</v>
      </c>
      <c r="B105" s="73">
        <v>60303</v>
      </c>
      <c r="C105" s="23" t="s">
        <v>731</v>
      </c>
      <c r="D105" s="73" t="s">
        <v>68</v>
      </c>
      <c r="E105" s="73">
        <v>61.69</v>
      </c>
      <c r="F105" s="709">
        <v>0</v>
      </c>
      <c r="G105" s="709">
        <v>0</v>
      </c>
      <c r="H105" s="710" t="s">
        <v>34</v>
      </c>
      <c r="I105" s="711">
        <f>(F105+G105)*E105*1.2665</f>
        <v>0</v>
      </c>
      <c r="J105" s="30"/>
    </row>
    <row r="106" spans="1:11" s="12" customFormat="1" x14ac:dyDescent="0.25">
      <c r="A106" s="358" t="s">
        <v>582</v>
      </c>
      <c r="B106" s="73">
        <v>60304</v>
      </c>
      <c r="C106" s="23" t="s">
        <v>733</v>
      </c>
      <c r="D106" s="73" t="s">
        <v>68</v>
      </c>
      <c r="E106" s="73">
        <v>18.600000000000001</v>
      </c>
      <c r="F106" s="709">
        <v>0</v>
      </c>
      <c r="G106" s="709">
        <v>0</v>
      </c>
      <c r="H106" s="710" t="s">
        <v>34</v>
      </c>
      <c r="I106" s="711">
        <f t="shared" ref="I106:I110" si="3">(F106+G106)*E106*1.2665</f>
        <v>0</v>
      </c>
      <c r="J106" s="30"/>
    </row>
    <row r="107" spans="1:11" s="12" customFormat="1" x14ac:dyDescent="0.25">
      <c r="A107" s="358" t="s">
        <v>582</v>
      </c>
      <c r="B107" s="73">
        <v>60305</v>
      </c>
      <c r="C107" s="23" t="s">
        <v>732</v>
      </c>
      <c r="D107" s="73" t="s">
        <v>68</v>
      </c>
      <c r="E107" s="73">
        <v>86.56</v>
      </c>
      <c r="F107" s="709">
        <v>0</v>
      </c>
      <c r="G107" s="709">
        <v>0</v>
      </c>
      <c r="H107" s="710" t="s">
        <v>34</v>
      </c>
      <c r="I107" s="711">
        <f>(F107+G107)*E107*1.2665</f>
        <v>0</v>
      </c>
      <c r="J107" s="30"/>
    </row>
    <row r="108" spans="1:11" s="12" customFormat="1" x14ac:dyDescent="0.25">
      <c r="A108" s="358" t="s">
        <v>582</v>
      </c>
      <c r="B108" s="73">
        <v>60306</v>
      </c>
      <c r="C108" s="23" t="s">
        <v>744</v>
      </c>
      <c r="D108" s="73" t="s">
        <v>68</v>
      </c>
      <c r="E108" s="73">
        <v>80.599999999999994</v>
      </c>
      <c r="F108" s="709">
        <v>0</v>
      </c>
      <c r="G108" s="709">
        <v>0</v>
      </c>
      <c r="H108" s="710" t="s">
        <v>34</v>
      </c>
      <c r="I108" s="711">
        <f t="shared" si="3"/>
        <v>0</v>
      </c>
      <c r="J108" s="30"/>
    </row>
    <row r="109" spans="1:11" s="12" customFormat="1" x14ac:dyDescent="0.25">
      <c r="A109" s="358" t="s">
        <v>582</v>
      </c>
      <c r="B109" s="73">
        <v>60212</v>
      </c>
      <c r="C109" s="23" t="s">
        <v>735</v>
      </c>
      <c r="D109" s="73" t="s">
        <v>96</v>
      </c>
      <c r="E109" s="73">
        <f>(0.8*8)+(2*0.7*0.8)</f>
        <v>7.5200000000000005</v>
      </c>
      <c r="F109" s="709">
        <v>0</v>
      </c>
      <c r="G109" s="709">
        <v>0</v>
      </c>
      <c r="H109" s="710" t="s">
        <v>34</v>
      </c>
      <c r="I109" s="711">
        <f t="shared" si="3"/>
        <v>0</v>
      </c>
      <c r="J109" s="30"/>
    </row>
    <row r="110" spans="1:11" s="12" customFormat="1" ht="45" x14ac:dyDescent="0.25">
      <c r="A110" s="87" t="s">
        <v>43</v>
      </c>
      <c r="B110" s="97">
        <v>34483</v>
      </c>
      <c r="C110" s="99" t="s">
        <v>420</v>
      </c>
      <c r="D110" s="73" t="s">
        <v>106</v>
      </c>
      <c r="E110" s="73">
        <v>1.77</v>
      </c>
      <c r="F110" s="844">
        <v>0</v>
      </c>
      <c r="G110" s="845"/>
      <c r="H110" s="710" t="s">
        <v>34</v>
      </c>
      <c r="I110" s="711">
        <f t="shared" si="3"/>
        <v>0</v>
      </c>
      <c r="J110" s="30"/>
      <c r="K110" s="39"/>
    </row>
    <row r="111" spans="1:11" s="12" customFormat="1" ht="30" x14ac:dyDescent="0.25">
      <c r="A111" s="87" t="s">
        <v>582</v>
      </c>
      <c r="B111" s="73">
        <v>60800</v>
      </c>
      <c r="C111" s="24" t="s">
        <v>734</v>
      </c>
      <c r="D111" s="73" t="s">
        <v>106</v>
      </c>
      <c r="E111" s="73">
        <v>1.77</v>
      </c>
      <c r="F111" s="709">
        <v>0</v>
      </c>
      <c r="G111" s="709">
        <v>0</v>
      </c>
      <c r="H111" s="710" t="s">
        <v>34</v>
      </c>
      <c r="I111" s="711">
        <f>(F111+G111)*E111*1.2665</f>
        <v>0</v>
      </c>
      <c r="J111" s="30"/>
    </row>
    <row r="112" spans="1:11" s="12" customFormat="1" ht="30" x14ac:dyDescent="0.25">
      <c r="A112" s="87" t="s">
        <v>506</v>
      </c>
      <c r="B112" s="73">
        <v>45701</v>
      </c>
      <c r="C112" s="24" t="s">
        <v>736</v>
      </c>
      <c r="D112" s="73" t="s">
        <v>68</v>
      </c>
      <c r="E112" s="73">
        <v>76.739999999999995</v>
      </c>
      <c r="F112" s="844">
        <v>0</v>
      </c>
      <c r="G112" s="845"/>
      <c r="H112" s="710" t="s">
        <v>34</v>
      </c>
      <c r="I112" s="711">
        <f>(F112+G112)*E112</f>
        <v>0</v>
      </c>
      <c r="J112" s="30"/>
    </row>
    <row r="113" spans="1:10" s="12" customFormat="1" ht="30" x14ac:dyDescent="0.25">
      <c r="A113" s="358" t="str">
        <f>A112</f>
        <v>AGETOP - T135</v>
      </c>
      <c r="B113" s="73">
        <v>45710</v>
      </c>
      <c r="C113" s="24" t="s">
        <v>739</v>
      </c>
      <c r="D113" s="73" t="s">
        <v>2</v>
      </c>
      <c r="E113" s="405">
        <v>16.149999999999999</v>
      </c>
      <c r="F113" s="844">
        <v>0</v>
      </c>
      <c r="G113" s="845"/>
      <c r="H113" s="710" t="s">
        <v>34</v>
      </c>
      <c r="I113" s="711">
        <f>(F113+G113)*E113</f>
        <v>0</v>
      </c>
      <c r="J113" s="30"/>
    </row>
    <row r="114" spans="1:10" s="12" customFormat="1" ht="15.75" thickBot="1" x14ac:dyDescent="0.3">
      <c r="A114" s="861" t="str">
        <f>A55</f>
        <v>TOTAL</v>
      </c>
      <c r="B114" s="862"/>
      <c r="C114" s="862"/>
      <c r="D114" s="862"/>
      <c r="E114" s="862"/>
      <c r="F114" s="862"/>
      <c r="G114" s="862"/>
      <c r="H114" s="863"/>
      <c r="I114" s="712">
        <f>ROUNDUP(SUM(I105:I113),2)</f>
        <v>0</v>
      </c>
      <c r="J114" s="30"/>
    </row>
    <row r="115" spans="1:10" s="12" customFormat="1" x14ac:dyDescent="0.25">
      <c r="A115" s="484"/>
      <c r="B115" s="484"/>
      <c r="C115" s="484"/>
      <c r="D115" s="484"/>
      <c r="E115" s="351"/>
      <c r="F115" s="484"/>
      <c r="G115" s="484"/>
      <c r="H115" s="515"/>
      <c r="I115" s="359"/>
      <c r="J115" s="30"/>
    </row>
    <row r="116" spans="1:10" s="12" customFormat="1" ht="15.75" thickBot="1" x14ac:dyDescent="0.3">
      <c r="A116" s="484"/>
      <c r="B116" s="484"/>
      <c r="C116" s="484"/>
      <c r="D116" s="484"/>
      <c r="E116" s="351"/>
      <c r="F116" s="484"/>
      <c r="G116" s="484"/>
      <c r="H116" s="515"/>
      <c r="I116" s="359"/>
      <c r="J116" s="30"/>
    </row>
    <row r="117" spans="1:10" x14ac:dyDescent="0.25">
      <c r="A117" s="79" t="s">
        <v>823</v>
      </c>
      <c r="B117" s="876" t="s">
        <v>30</v>
      </c>
      <c r="C117" s="876"/>
      <c r="D117" s="876"/>
      <c r="E117" s="876"/>
      <c r="F117" s="876"/>
      <c r="G117" s="876"/>
      <c r="H117" s="867"/>
      <c r="I117" s="877"/>
    </row>
    <row r="118" spans="1:10" x14ac:dyDescent="0.25">
      <c r="A118" s="20" t="s">
        <v>27</v>
      </c>
      <c r="B118" s="21" t="s">
        <v>28</v>
      </c>
      <c r="C118" s="21" t="s">
        <v>6</v>
      </c>
      <c r="D118" s="29" t="s">
        <v>7</v>
      </c>
      <c r="E118" s="29" t="s">
        <v>8</v>
      </c>
      <c r="F118" s="29" t="s">
        <v>9</v>
      </c>
      <c r="G118" s="29" t="s">
        <v>10</v>
      </c>
      <c r="H118" s="513" t="s">
        <v>737</v>
      </c>
      <c r="I118" s="31" t="s">
        <v>11</v>
      </c>
    </row>
    <row r="119" spans="1:10" x14ac:dyDescent="0.25">
      <c r="A119" s="878" t="s">
        <v>56</v>
      </c>
      <c r="B119" s="841"/>
      <c r="C119" s="841"/>
      <c r="D119" s="841"/>
      <c r="E119" s="841"/>
      <c r="F119" s="841"/>
      <c r="G119" s="841"/>
      <c r="H119" s="842"/>
      <c r="I119" s="843"/>
    </row>
    <row r="120" spans="1:10" x14ac:dyDescent="0.25">
      <c r="A120" s="22" t="s">
        <v>28</v>
      </c>
      <c r="B120" s="841" t="s">
        <v>31</v>
      </c>
      <c r="C120" s="841"/>
      <c r="D120" s="841"/>
      <c r="E120" s="841"/>
      <c r="F120" s="841"/>
      <c r="G120" s="841"/>
      <c r="H120" s="842"/>
      <c r="I120" s="843"/>
    </row>
    <row r="121" spans="1:10" x14ac:dyDescent="0.25">
      <c r="A121" s="72" t="s">
        <v>582</v>
      </c>
      <c r="B121" s="73">
        <v>72080</v>
      </c>
      <c r="C121" s="23" t="s">
        <v>32</v>
      </c>
      <c r="D121" s="73" t="s">
        <v>22</v>
      </c>
      <c r="E121" s="73">
        <v>20</v>
      </c>
      <c r="F121" s="713">
        <v>0</v>
      </c>
      <c r="G121" s="713">
        <v>0</v>
      </c>
      <c r="H121" s="714" t="s">
        <v>34</v>
      </c>
      <c r="I121" s="657">
        <f>(G121*E121)*1.2665</f>
        <v>0</v>
      </c>
    </row>
    <row r="122" spans="1:10" x14ac:dyDescent="0.25">
      <c r="A122" s="72" t="s">
        <v>33</v>
      </c>
      <c r="B122" s="73" t="s">
        <v>34</v>
      </c>
      <c r="C122" s="23" t="s">
        <v>35</v>
      </c>
      <c r="D122" s="73" t="s">
        <v>22</v>
      </c>
      <c r="E122" s="73">
        <v>20</v>
      </c>
      <c r="F122" s="844">
        <v>0</v>
      </c>
      <c r="G122" s="845"/>
      <c r="H122" s="671" t="s">
        <v>34</v>
      </c>
      <c r="I122" s="657">
        <f>(F122*E122)*1.2665</f>
        <v>0</v>
      </c>
    </row>
    <row r="123" spans="1:10" x14ac:dyDescent="0.25">
      <c r="A123" s="846" t="s">
        <v>36</v>
      </c>
      <c r="B123" s="847"/>
      <c r="C123" s="847"/>
      <c r="D123" s="847"/>
      <c r="E123" s="847"/>
      <c r="F123" s="847"/>
      <c r="G123" s="847"/>
      <c r="H123" s="848"/>
      <c r="I123" s="715">
        <f>SUM(I121:I122)</f>
        <v>0</v>
      </c>
    </row>
    <row r="124" spans="1:10" ht="15.75" thickBot="1" x14ac:dyDescent="0.3">
      <c r="A124" s="898"/>
      <c r="B124" s="899"/>
      <c r="C124" s="899"/>
      <c r="D124" s="899"/>
      <c r="E124" s="899"/>
      <c r="F124" s="899"/>
      <c r="G124" s="899"/>
      <c r="H124" s="900"/>
      <c r="I124" s="901"/>
    </row>
    <row r="125" spans="1:10" ht="15.75" thickBot="1" x14ac:dyDescent="0.3">
      <c r="A125" s="84" t="s">
        <v>824</v>
      </c>
      <c r="B125" s="902" t="s">
        <v>37</v>
      </c>
      <c r="C125" s="903"/>
      <c r="D125" s="903"/>
      <c r="E125" s="903"/>
      <c r="F125" s="903"/>
      <c r="G125" s="903"/>
      <c r="H125" s="904"/>
      <c r="I125" s="905"/>
    </row>
    <row r="126" spans="1:10" x14ac:dyDescent="0.25">
      <c r="A126" s="83" t="s">
        <v>27</v>
      </c>
      <c r="B126" s="80" t="s">
        <v>28</v>
      </c>
      <c r="C126" s="80" t="s">
        <v>38</v>
      </c>
      <c r="D126" s="81" t="s">
        <v>7</v>
      </c>
      <c r="E126" s="81" t="s">
        <v>8</v>
      </c>
      <c r="F126" s="81" t="s">
        <v>9</v>
      </c>
      <c r="G126" s="81" t="s">
        <v>10</v>
      </c>
      <c r="H126" s="513" t="s">
        <v>737</v>
      </c>
      <c r="I126" s="82" t="s">
        <v>11</v>
      </c>
    </row>
    <row r="127" spans="1:10" x14ac:dyDescent="0.25">
      <c r="A127" s="878" t="s">
        <v>461</v>
      </c>
      <c r="B127" s="841"/>
      <c r="C127" s="841"/>
      <c r="D127" s="841"/>
      <c r="E127" s="841"/>
      <c r="F127" s="841"/>
      <c r="G127" s="841"/>
      <c r="H127" s="842"/>
      <c r="I127" s="843"/>
    </row>
    <row r="128" spans="1:10" x14ac:dyDescent="0.25">
      <c r="A128" s="22" t="s">
        <v>13</v>
      </c>
      <c r="B128" s="841" t="s">
        <v>31</v>
      </c>
      <c r="C128" s="841"/>
      <c r="D128" s="841"/>
      <c r="E128" s="841"/>
      <c r="F128" s="841"/>
      <c r="G128" s="841"/>
      <c r="H128" s="842"/>
      <c r="I128" s="843"/>
    </row>
    <row r="129" spans="1:10" x14ac:dyDescent="0.25">
      <c r="A129" s="72" t="s">
        <v>582</v>
      </c>
      <c r="B129" s="73">
        <v>12</v>
      </c>
      <c r="C129" s="23" t="s">
        <v>93</v>
      </c>
      <c r="D129" s="73" t="s">
        <v>22</v>
      </c>
      <c r="E129" s="73">
        <v>16</v>
      </c>
      <c r="F129" s="844">
        <v>0</v>
      </c>
      <c r="G129" s="845"/>
      <c r="H129" s="671" t="s">
        <v>34</v>
      </c>
      <c r="I129" s="657">
        <f>(F129*E129)*1.2665</f>
        <v>0</v>
      </c>
    </row>
    <row r="130" spans="1:10" x14ac:dyDescent="0.25">
      <c r="A130" s="72" t="s">
        <v>582</v>
      </c>
      <c r="B130" s="73">
        <v>8</v>
      </c>
      <c r="C130" s="23" t="s">
        <v>509</v>
      </c>
      <c r="D130" s="73" t="s">
        <v>22</v>
      </c>
      <c r="E130" s="73">
        <v>16</v>
      </c>
      <c r="F130" s="844">
        <v>0</v>
      </c>
      <c r="G130" s="845"/>
      <c r="H130" s="671" t="s">
        <v>34</v>
      </c>
      <c r="I130" s="657">
        <f t="shared" ref="I130" si="4">(F130*E130)*1.2665</f>
        <v>0</v>
      </c>
    </row>
    <row r="131" spans="1:10" ht="30" x14ac:dyDescent="0.25">
      <c r="A131" s="72" t="s">
        <v>39</v>
      </c>
      <c r="B131" s="73" t="s">
        <v>34</v>
      </c>
      <c r="C131" s="24" t="s">
        <v>40</v>
      </c>
      <c r="D131" s="73" t="s">
        <v>2</v>
      </c>
      <c r="E131" s="73">
        <v>220</v>
      </c>
      <c r="F131" s="844">
        <v>0</v>
      </c>
      <c r="G131" s="845"/>
      <c r="H131" s="671" t="s">
        <v>34</v>
      </c>
      <c r="I131" s="657">
        <f>(F131*E131)*1.2665</f>
        <v>0</v>
      </c>
    </row>
    <row r="132" spans="1:10" s="12" customFormat="1" x14ac:dyDescent="0.25">
      <c r="A132" s="72" t="s">
        <v>582</v>
      </c>
      <c r="B132" s="73">
        <v>70240</v>
      </c>
      <c r="C132" s="23" t="s">
        <v>510</v>
      </c>
      <c r="D132" s="73" t="s">
        <v>7</v>
      </c>
      <c r="E132" s="73">
        <v>4</v>
      </c>
      <c r="F132" s="713">
        <v>0</v>
      </c>
      <c r="G132" s="713">
        <v>0</v>
      </c>
      <c r="H132" s="681" t="s">
        <v>34</v>
      </c>
      <c r="I132" s="716">
        <f>(E132*(F132+G132))*1.2665</f>
        <v>0</v>
      </c>
      <c r="J132" s="30"/>
    </row>
    <row r="133" spans="1:10" s="12" customFormat="1" x14ac:dyDescent="0.25">
      <c r="A133" s="72" t="s">
        <v>582</v>
      </c>
      <c r="B133" s="73">
        <v>71480</v>
      </c>
      <c r="C133" s="23" t="s">
        <v>511</v>
      </c>
      <c r="D133" s="73" t="s">
        <v>7</v>
      </c>
      <c r="E133" s="73">
        <v>4</v>
      </c>
      <c r="F133" s="713">
        <v>0</v>
      </c>
      <c r="G133" s="713">
        <v>0</v>
      </c>
      <c r="H133" s="681" t="s">
        <v>34</v>
      </c>
      <c r="I133" s="716">
        <f>(E133*(F133+G133))*1.2665</f>
        <v>0</v>
      </c>
      <c r="J133" s="30"/>
    </row>
    <row r="134" spans="1:10" s="12" customFormat="1" x14ac:dyDescent="0.25">
      <c r="A134" s="72" t="s">
        <v>582</v>
      </c>
      <c r="B134" s="73">
        <v>71510</v>
      </c>
      <c r="C134" s="23" t="s">
        <v>512</v>
      </c>
      <c r="D134" s="73" t="s">
        <v>7</v>
      </c>
      <c r="E134" s="73">
        <v>4</v>
      </c>
      <c r="F134" s="713">
        <v>0</v>
      </c>
      <c r="G134" s="713">
        <v>0</v>
      </c>
      <c r="H134" s="681" t="s">
        <v>34</v>
      </c>
      <c r="I134" s="716">
        <f>(E134*(F134+G134))*1.2665</f>
        <v>0</v>
      </c>
      <c r="J134" s="30"/>
    </row>
    <row r="135" spans="1:10" x14ac:dyDescent="0.25">
      <c r="A135" s="846" t="str">
        <f>A123</f>
        <v xml:space="preserve">SUBTOTAL SERVIÇOS </v>
      </c>
      <c r="B135" s="847"/>
      <c r="C135" s="847"/>
      <c r="D135" s="847"/>
      <c r="E135" s="847"/>
      <c r="F135" s="847"/>
      <c r="G135" s="847"/>
      <c r="H135" s="848"/>
      <c r="I135" s="715">
        <f>ROUNDUP(SUM(I129:I134),2)</f>
        <v>0</v>
      </c>
    </row>
    <row r="136" spans="1:10" ht="15.75" thickBot="1" x14ac:dyDescent="0.3">
      <c r="A136" s="898"/>
      <c r="B136" s="899"/>
      <c r="C136" s="899"/>
      <c r="D136" s="899"/>
      <c r="E136" s="899"/>
      <c r="F136" s="899"/>
      <c r="G136" s="899"/>
      <c r="H136" s="900"/>
      <c r="I136" s="901"/>
    </row>
    <row r="137" spans="1:10" ht="15.75" thickBot="1" x14ac:dyDescent="0.3">
      <c r="A137" s="84" t="s">
        <v>825</v>
      </c>
      <c r="B137" s="902" t="s">
        <v>41</v>
      </c>
      <c r="C137" s="903"/>
      <c r="D137" s="903"/>
      <c r="E137" s="903"/>
      <c r="F137" s="903"/>
      <c r="G137" s="903"/>
      <c r="H137" s="904"/>
      <c r="I137" s="905"/>
    </row>
    <row r="138" spans="1:10" x14ac:dyDescent="0.25">
      <c r="A138" s="83" t="s">
        <v>27</v>
      </c>
      <c r="B138" s="80" t="s">
        <v>13</v>
      </c>
      <c r="C138" s="80" t="s">
        <v>6</v>
      </c>
      <c r="D138" s="81" t="s">
        <v>7</v>
      </c>
      <c r="E138" s="81" t="s">
        <v>8</v>
      </c>
      <c r="F138" s="81" t="s">
        <v>9</v>
      </c>
      <c r="G138" s="81" t="s">
        <v>10</v>
      </c>
      <c r="H138" s="513" t="s">
        <v>737</v>
      </c>
      <c r="I138" s="82" t="s">
        <v>11</v>
      </c>
    </row>
    <row r="139" spans="1:10" x14ac:dyDescent="0.25">
      <c r="A139" s="878" t="s">
        <v>462</v>
      </c>
      <c r="B139" s="841"/>
      <c r="C139" s="841"/>
      <c r="D139" s="841"/>
      <c r="E139" s="841"/>
      <c r="F139" s="841"/>
      <c r="G139" s="841"/>
      <c r="H139" s="842"/>
      <c r="I139" s="843"/>
    </row>
    <row r="140" spans="1:10" x14ac:dyDescent="0.25">
      <c r="A140" s="22" t="s">
        <v>13</v>
      </c>
      <c r="B140" s="841" t="s">
        <v>31</v>
      </c>
      <c r="C140" s="841"/>
      <c r="D140" s="841"/>
      <c r="E140" s="841"/>
      <c r="F140" s="841"/>
      <c r="G140" s="841"/>
      <c r="H140" s="842"/>
      <c r="I140" s="843"/>
    </row>
    <row r="141" spans="1:10" s="12" customFormat="1" x14ac:dyDescent="0.25">
      <c r="A141" s="72" t="s">
        <v>582</v>
      </c>
      <c r="B141" s="73">
        <v>70705</v>
      </c>
      <c r="C141" s="23" t="s">
        <v>513</v>
      </c>
      <c r="D141" s="73" t="s">
        <v>7</v>
      </c>
      <c r="E141" s="73">
        <v>1</v>
      </c>
      <c r="F141" s="713">
        <v>0</v>
      </c>
      <c r="G141" s="713">
        <v>0</v>
      </c>
      <c r="H141" s="671" t="s">
        <v>34</v>
      </c>
      <c r="I141" s="716">
        <f>(E141*(F141+G141))*1.2665</f>
        <v>0</v>
      </c>
      <c r="J141" s="30"/>
    </row>
    <row r="142" spans="1:10" s="12" customFormat="1" x14ac:dyDescent="0.25">
      <c r="A142" s="72" t="s">
        <v>582</v>
      </c>
      <c r="B142" s="73">
        <v>71172</v>
      </c>
      <c r="C142" s="23" t="s">
        <v>514</v>
      </c>
      <c r="D142" s="73" t="s">
        <v>7</v>
      </c>
      <c r="E142" s="73">
        <v>2</v>
      </c>
      <c r="F142" s="713">
        <v>0</v>
      </c>
      <c r="G142" s="713">
        <v>0</v>
      </c>
      <c r="H142" s="671" t="s">
        <v>34</v>
      </c>
      <c r="I142" s="716">
        <f t="shared" ref="I142:I143" si="5">(E142*(F142+G142))*1.2665</f>
        <v>0</v>
      </c>
      <c r="J142" s="30"/>
    </row>
    <row r="143" spans="1:10" s="12" customFormat="1" x14ac:dyDescent="0.25">
      <c r="A143" s="72" t="s">
        <v>582</v>
      </c>
      <c r="B143" s="73">
        <v>71171</v>
      </c>
      <c r="C143" s="23" t="s">
        <v>515</v>
      </c>
      <c r="D143" s="73" t="s">
        <v>7</v>
      </c>
      <c r="E143" s="73">
        <v>5</v>
      </c>
      <c r="F143" s="713">
        <v>0</v>
      </c>
      <c r="G143" s="713">
        <v>0</v>
      </c>
      <c r="H143" s="671" t="s">
        <v>34</v>
      </c>
      <c r="I143" s="716">
        <f t="shared" si="5"/>
        <v>0</v>
      </c>
      <c r="J143" s="30"/>
    </row>
    <row r="144" spans="1:10" s="12" customFormat="1" x14ac:dyDescent="0.25">
      <c r="A144" s="72" t="s">
        <v>43</v>
      </c>
      <c r="B144" s="73">
        <v>34623</v>
      </c>
      <c r="C144" s="23" t="s">
        <v>44</v>
      </c>
      <c r="D144" s="73" t="s">
        <v>7</v>
      </c>
      <c r="E144" s="73">
        <v>2</v>
      </c>
      <c r="F144" s="844">
        <v>0</v>
      </c>
      <c r="G144" s="845"/>
      <c r="H144" s="681" t="s">
        <v>34</v>
      </c>
      <c r="I144" s="657">
        <f>(F144*E144)*1.2665</f>
        <v>0</v>
      </c>
      <c r="J144" s="30"/>
    </row>
    <row r="145" spans="1:10" s="12" customFormat="1" x14ac:dyDescent="0.25">
      <c r="A145" s="72" t="s">
        <v>582</v>
      </c>
      <c r="B145" s="73">
        <v>71184</v>
      </c>
      <c r="C145" s="23" t="s">
        <v>516</v>
      </c>
      <c r="D145" s="73" t="s">
        <v>7</v>
      </c>
      <c r="E145" s="73">
        <v>4</v>
      </c>
      <c r="F145" s="713">
        <v>0</v>
      </c>
      <c r="G145" s="713">
        <v>0</v>
      </c>
      <c r="H145" s="681" t="s">
        <v>34</v>
      </c>
      <c r="I145" s="716">
        <f>(E145*(F145+G145))*1.2665</f>
        <v>0</v>
      </c>
      <c r="J145" s="30"/>
    </row>
    <row r="146" spans="1:10" s="12" customFormat="1" x14ac:dyDescent="0.25">
      <c r="A146" s="72" t="s">
        <v>39</v>
      </c>
      <c r="B146" s="73" t="s">
        <v>34</v>
      </c>
      <c r="C146" s="23" t="s">
        <v>45</v>
      </c>
      <c r="D146" s="73" t="s">
        <v>7</v>
      </c>
      <c r="E146" s="73">
        <v>4</v>
      </c>
      <c r="F146" s="844">
        <v>0</v>
      </c>
      <c r="G146" s="845"/>
      <c r="H146" s="681" t="s">
        <v>34</v>
      </c>
      <c r="I146" s="657">
        <f>(F146*E146)*1.2665</f>
        <v>0</v>
      </c>
      <c r="J146" s="30"/>
    </row>
    <row r="147" spans="1:10" s="12" customFormat="1" x14ac:dyDescent="0.25">
      <c r="A147" s="72" t="s">
        <v>582</v>
      </c>
      <c r="B147" s="73">
        <v>71841</v>
      </c>
      <c r="C147" s="23" t="s">
        <v>517</v>
      </c>
      <c r="D147" s="73" t="s">
        <v>7</v>
      </c>
      <c r="E147" s="73">
        <v>4</v>
      </c>
      <c r="F147" s="713">
        <v>0</v>
      </c>
      <c r="G147" s="713">
        <v>0</v>
      </c>
      <c r="H147" s="681" t="s">
        <v>34</v>
      </c>
      <c r="I147" s="716">
        <f>(E147*(F147+G147))*1.2665</f>
        <v>0</v>
      </c>
      <c r="J147" s="30"/>
    </row>
    <row r="148" spans="1:10" x14ac:dyDescent="0.25">
      <c r="A148" s="846" t="s">
        <v>57</v>
      </c>
      <c r="B148" s="847"/>
      <c r="C148" s="847"/>
      <c r="D148" s="847"/>
      <c r="E148" s="847"/>
      <c r="F148" s="847"/>
      <c r="G148" s="847"/>
      <c r="H148" s="848"/>
      <c r="I148" s="715">
        <f>ROUNDUP(SUM(I141:I147),2)</f>
        <v>0</v>
      </c>
    </row>
    <row r="149" spans="1:10" ht="15.75" thickBot="1" x14ac:dyDescent="0.3">
      <c r="A149" s="898"/>
      <c r="B149" s="899"/>
      <c r="C149" s="899"/>
      <c r="D149" s="899"/>
      <c r="E149" s="899"/>
      <c r="F149" s="899"/>
      <c r="G149" s="899"/>
      <c r="H149" s="900"/>
      <c r="I149" s="901"/>
    </row>
    <row r="150" spans="1:10" ht="48" customHeight="1" thickBot="1" x14ac:dyDescent="0.3">
      <c r="A150" s="84" t="s">
        <v>826</v>
      </c>
      <c r="B150" s="849" t="s">
        <v>46</v>
      </c>
      <c r="C150" s="850"/>
      <c r="D150" s="850"/>
      <c r="E150" s="850"/>
      <c r="F150" s="850"/>
      <c r="G150" s="850"/>
      <c r="H150" s="851"/>
      <c r="I150" s="852"/>
    </row>
    <row r="151" spans="1:10" x14ac:dyDescent="0.25">
      <c r="A151" s="83" t="s">
        <v>27</v>
      </c>
      <c r="B151" s="80" t="s">
        <v>13</v>
      </c>
      <c r="C151" s="80" t="s">
        <v>6</v>
      </c>
      <c r="D151" s="81" t="s">
        <v>7</v>
      </c>
      <c r="E151" s="81" t="s">
        <v>8</v>
      </c>
      <c r="F151" s="81" t="s">
        <v>9</v>
      </c>
      <c r="G151" s="81" t="s">
        <v>10</v>
      </c>
      <c r="H151" s="513" t="s">
        <v>737</v>
      </c>
      <c r="I151" s="82" t="s">
        <v>11</v>
      </c>
    </row>
    <row r="152" spans="1:10" x14ac:dyDescent="0.25">
      <c r="A152" s="878" t="s">
        <v>58</v>
      </c>
      <c r="B152" s="841"/>
      <c r="C152" s="841"/>
      <c r="D152" s="841"/>
      <c r="E152" s="841"/>
      <c r="F152" s="841"/>
      <c r="G152" s="841"/>
      <c r="H152" s="842"/>
      <c r="I152" s="843"/>
    </row>
    <row r="153" spans="1:10" x14ac:dyDescent="0.25">
      <c r="A153" s="22" t="s">
        <v>13</v>
      </c>
      <c r="B153" s="841" t="s">
        <v>31</v>
      </c>
      <c r="C153" s="841"/>
      <c r="D153" s="841"/>
      <c r="E153" s="841"/>
      <c r="F153" s="841"/>
      <c r="G153" s="841"/>
      <c r="H153" s="842"/>
      <c r="I153" s="843"/>
    </row>
    <row r="154" spans="1:10" s="12" customFormat="1" x14ac:dyDescent="0.25">
      <c r="A154" s="72" t="s">
        <v>582</v>
      </c>
      <c r="B154" s="73">
        <v>72080</v>
      </c>
      <c r="C154" s="23" t="s">
        <v>32</v>
      </c>
      <c r="D154" s="73" t="s">
        <v>22</v>
      </c>
      <c r="E154" s="73">
        <v>1</v>
      </c>
      <c r="F154" s="713">
        <v>0</v>
      </c>
      <c r="G154" s="713">
        <v>0</v>
      </c>
      <c r="H154" s="671" t="s">
        <v>34</v>
      </c>
      <c r="I154" s="716">
        <f>(E154*(F154+G154))*1.2665</f>
        <v>0</v>
      </c>
      <c r="J154" s="30"/>
    </row>
    <row r="155" spans="1:10" s="12" customFormat="1" ht="60" x14ac:dyDescent="0.25">
      <c r="A155" s="72" t="s">
        <v>582</v>
      </c>
      <c r="B155" s="73">
        <v>71993</v>
      </c>
      <c r="C155" s="25" t="s">
        <v>48</v>
      </c>
      <c r="D155" s="73" t="s">
        <v>7</v>
      </c>
      <c r="E155" s="73">
        <v>1</v>
      </c>
      <c r="F155" s="713">
        <v>0</v>
      </c>
      <c r="G155" s="713">
        <v>0</v>
      </c>
      <c r="H155" s="671" t="s">
        <v>34</v>
      </c>
      <c r="I155" s="716">
        <f>(E155*(F155+G155))*1.2665</f>
        <v>0</v>
      </c>
      <c r="J155" s="30"/>
    </row>
    <row r="156" spans="1:10" s="12" customFormat="1" ht="45" x14ac:dyDescent="0.25">
      <c r="A156" s="72" t="s">
        <v>39</v>
      </c>
      <c r="B156" s="73" t="s">
        <v>34</v>
      </c>
      <c r="C156" s="26" t="s">
        <v>49</v>
      </c>
      <c r="D156" s="73" t="s">
        <v>7</v>
      </c>
      <c r="E156" s="73">
        <v>1</v>
      </c>
      <c r="F156" s="844">
        <v>0</v>
      </c>
      <c r="G156" s="845"/>
      <c r="H156" s="671" t="s">
        <v>34</v>
      </c>
      <c r="I156" s="657">
        <f>(F156*E156)*1.2665</f>
        <v>0</v>
      </c>
      <c r="J156" s="30"/>
    </row>
    <row r="157" spans="1:10" s="12" customFormat="1" ht="105" x14ac:dyDescent="0.25">
      <c r="A157" s="72" t="s">
        <v>39</v>
      </c>
      <c r="B157" s="73" t="s">
        <v>34</v>
      </c>
      <c r="C157" s="25" t="s">
        <v>50</v>
      </c>
      <c r="D157" s="73" t="s">
        <v>7</v>
      </c>
      <c r="E157" s="73">
        <v>1</v>
      </c>
      <c r="F157" s="844">
        <v>0</v>
      </c>
      <c r="G157" s="845"/>
      <c r="H157" s="671" t="s">
        <v>34</v>
      </c>
      <c r="I157" s="657">
        <f t="shared" ref="I157:I158" si="6">(F157*E157)*1.2665</f>
        <v>0</v>
      </c>
      <c r="J157" s="30"/>
    </row>
    <row r="158" spans="1:10" s="12" customFormat="1" ht="90" x14ac:dyDescent="0.25">
      <c r="A158" s="72" t="s">
        <v>39</v>
      </c>
      <c r="B158" s="73" t="s">
        <v>34</v>
      </c>
      <c r="C158" s="27" t="s">
        <v>59</v>
      </c>
      <c r="D158" s="73" t="s">
        <v>7</v>
      </c>
      <c r="E158" s="73">
        <v>1</v>
      </c>
      <c r="F158" s="844">
        <v>0</v>
      </c>
      <c r="G158" s="845"/>
      <c r="H158" s="671" t="s">
        <v>34</v>
      </c>
      <c r="I158" s="657">
        <f t="shared" si="6"/>
        <v>0</v>
      </c>
      <c r="J158" s="30"/>
    </row>
    <row r="159" spans="1:10" s="12" customFormat="1" x14ac:dyDescent="0.25">
      <c r="A159" s="72" t="s">
        <v>33</v>
      </c>
      <c r="B159" s="73" t="s">
        <v>34</v>
      </c>
      <c r="C159" s="23" t="s">
        <v>51</v>
      </c>
      <c r="D159" s="73" t="s">
        <v>7</v>
      </c>
      <c r="E159" s="73">
        <v>2</v>
      </c>
      <c r="F159" s="844">
        <v>0</v>
      </c>
      <c r="G159" s="845"/>
      <c r="H159" s="671" t="s">
        <v>34</v>
      </c>
      <c r="I159" s="657">
        <f>(F159*E159)*1.2665</f>
        <v>0</v>
      </c>
      <c r="J159" s="30"/>
    </row>
    <row r="160" spans="1:10" s="12" customFormat="1" x14ac:dyDescent="0.25">
      <c r="A160" s="72" t="s">
        <v>582</v>
      </c>
      <c r="B160" s="73">
        <v>71841</v>
      </c>
      <c r="C160" s="23" t="s">
        <v>517</v>
      </c>
      <c r="D160" s="73" t="s">
        <v>7</v>
      </c>
      <c r="E160" s="73">
        <v>2</v>
      </c>
      <c r="F160" s="713">
        <v>0</v>
      </c>
      <c r="G160" s="713">
        <v>0</v>
      </c>
      <c r="H160" s="671" t="s">
        <v>34</v>
      </c>
      <c r="I160" s="716">
        <f>(E160*(F160+G160))*1.2665</f>
        <v>0</v>
      </c>
      <c r="J160" s="30"/>
    </row>
    <row r="161" spans="1:10" s="12" customFormat="1" x14ac:dyDescent="0.25">
      <c r="A161" s="72" t="s">
        <v>582</v>
      </c>
      <c r="B161" s="73">
        <v>72320</v>
      </c>
      <c r="C161" s="23" t="s">
        <v>518</v>
      </c>
      <c r="D161" s="73" t="s">
        <v>7</v>
      </c>
      <c r="E161" s="73">
        <v>1</v>
      </c>
      <c r="F161" s="713">
        <v>0</v>
      </c>
      <c r="G161" s="713">
        <v>0</v>
      </c>
      <c r="H161" s="671" t="s">
        <v>34</v>
      </c>
      <c r="I161" s="716">
        <f t="shared" ref="I161:I168" si="7">(E161*(F161+G161))*1.2665</f>
        <v>0</v>
      </c>
      <c r="J161" s="30"/>
    </row>
    <row r="162" spans="1:10" s="12" customFormat="1" x14ac:dyDescent="0.25">
      <c r="A162" s="72" t="s">
        <v>582</v>
      </c>
      <c r="B162" s="73">
        <v>70560</v>
      </c>
      <c r="C162" s="23" t="s">
        <v>519</v>
      </c>
      <c r="D162" s="73" t="s">
        <v>2</v>
      </c>
      <c r="E162" s="73">
        <v>18</v>
      </c>
      <c r="F162" s="713">
        <v>0</v>
      </c>
      <c r="G162" s="713">
        <v>0</v>
      </c>
      <c r="H162" s="671" t="s">
        <v>34</v>
      </c>
      <c r="I162" s="716">
        <f t="shared" si="7"/>
        <v>0</v>
      </c>
      <c r="J162" s="30"/>
    </row>
    <row r="163" spans="1:10" s="12" customFormat="1" x14ac:dyDescent="0.25">
      <c r="A163" s="72" t="s">
        <v>582</v>
      </c>
      <c r="B163" s="73">
        <v>71194</v>
      </c>
      <c r="C163" s="23" t="s">
        <v>520</v>
      </c>
      <c r="D163" s="73" t="s">
        <v>2</v>
      </c>
      <c r="E163" s="73">
        <v>2</v>
      </c>
      <c r="F163" s="713">
        <v>0</v>
      </c>
      <c r="G163" s="713">
        <v>0</v>
      </c>
      <c r="H163" s="671" t="s">
        <v>34</v>
      </c>
      <c r="I163" s="716">
        <f t="shared" si="7"/>
        <v>0</v>
      </c>
      <c r="J163" s="30"/>
    </row>
    <row r="164" spans="1:10" s="12" customFormat="1" x14ac:dyDescent="0.25">
      <c r="A164" s="72" t="s">
        <v>582</v>
      </c>
      <c r="B164" s="73">
        <v>71381</v>
      </c>
      <c r="C164" s="23" t="s">
        <v>521</v>
      </c>
      <c r="D164" s="73" t="s">
        <v>7</v>
      </c>
      <c r="E164" s="73">
        <v>1</v>
      </c>
      <c r="F164" s="713">
        <v>0</v>
      </c>
      <c r="G164" s="713">
        <v>0</v>
      </c>
      <c r="H164" s="671" t="s">
        <v>34</v>
      </c>
      <c r="I164" s="716">
        <f t="shared" si="7"/>
        <v>0</v>
      </c>
      <c r="J164" s="30"/>
    </row>
    <row r="165" spans="1:10" s="12" customFormat="1" x14ac:dyDescent="0.25">
      <c r="A165" s="72" t="s">
        <v>582</v>
      </c>
      <c r="B165" s="73">
        <v>70540</v>
      </c>
      <c r="C165" s="23" t="s">
        <v>522</v>
      </c>
      <c r="D165" s="73" t="s">
        <v>52</v>
      </c>
      <c r="E165" s="73">
        <v>2</v>
      </c>
      <c r="F165" s="713">
        <v>0</v>
      </c>
      <c r="G165" s="713">
        <v>0</v>
      </c>
      <c r="H165" s="671" t="s">
        <v>34</v>
      </c>
      <c r="I165" s="716">
        <f t="shared" si="7"/>
        <v>0</v>
      </c>
      <c r="J165" s="30"/>
    </row>
    <row r="166" spans="1:10" s="12" customFormat="1" x14ac:dyDescent="0.25">
      <c r="A166" s="72" t="s">
        <v>582</v>
      </c>
      <c r="B166" s="73">
        <v>72518</v>
      </c>
      <c r="C166" s="23" t="s">
        <v>523</v>
      </c>
      <c r="D166" s="73" t="s">
        <v>7</v>
      </c>
      <c r="E166" s="73">
        <v>1</v>
      </c>
      <c r="F166" s="713">
        <v>0</v>
      </c>
      <c r="G166" s="713">
        <v>0</v>
      </c>
      <c r="H166" s="671" t="s">
        <v>34</v>
      </c>
      <c r="I166" s="716">
        <f t="shared" si="7"/>
        <v>0</v>
      </c>
      <c r="J166" s="30"/>
    </row>
    <row r="167" spans="1:10" s="12" customFormat="1" x14ac:dyDescent="0.25">
      <c r="A167" s="72" t="s">
        <v>582</v>
      </c>
      <c r="B167" s="73">
        <v>71331</v>
      </c>
      <c r="C167" s="23" t="s">
        <v>524</v>
      </c>
      <c r="D167" s="73" t="s">
        <v>7</v>
      </c>
      <c r="E167" s="73">
        <v>1</v>
      </c>
      <c r="F167" s="713">
        <v>0</v>
      </c>
      <c r="G167" s="713">
        <v>0</v>
      </c>
      <c r="H167" s="671" t="s">
        <v>34</v>
      </c>
      <c r="I167" s="716">
        <f t="shared" si="7"/>
        <v>0</v>
      </c>
      <c r="J167" s="30"/>
    </row>
    <row r="168" spans="1:10" s="12" customFormat="1" x14ac:dyDescent="0.25">
      <c r="A168" s="72" t="s">
        <v>582</v>
      </c>
      <c r="B168" s="73">
        <v>71321</v>
      </c>
      <c r="C168" s="23" t="s">
        <v>525</v>
      </c>
      <c r="D168" s="73" t="s">
        <v>2</v>
      </c>
      <c r="E168" s="73">
        <v>1</v>
      </c>
      <c r="F168" s="713">
        <v>0</v>
      </c>
      <c r="G168" s="713">
        <v>0</v>
      </c>
      <c r="H168" s="671" t="s">
        <v>34</v>
      </c>
      <c r="I168" s="716">
        <f t="shared" si="7"/>
        <v>0</v>
      </c>
      <c r="J168" s="30"/>
    </row>
    <row r="169" spans="1:10" x14ac:dyDescent="0.25">
      <c r="A169" s="846" t="s">
        <v>57</v>
      </c>
      <c r="B169" s="847"/>
      <c r="C169" s="847"/>
      <c r="D169" s="847"/>
      <c r="E169" s="847"/>
      <c r="F169" s="847"/>
      <c r="G169" s="847"/>
      <c r="H169" s="848"/>
      <c r="I169" s="715">
        <f>ROUNDUP(SUM(I154:I168),2)</f>
        <v>0</v>
      </c>
    </row>
    <row r="170" spans="1:10" ht="15.75" thickBot="1" x14ac:dyDescent="0.3">
      <c r="A170" s="898"/>
      <c r="B170" s="899"/>
      <c r="C170" s="899"/>
      <c r="D170" s="899"/>
      <c r="E170" s="899"/>
      <c r="F170" s="899"/>
      <c r="G170" s="899"/>
      <c r="H170" s="900"/>
      <c r="I170" s="901"/>
    </row>
    <row r="171" spans="1:10" ht="51.75" customHeight="1" thickBot="1" x14ac:dyDescent="0.3">
      <c r="A171" s="84" t="s">
        <v>827</v>
      </c>
      <c r="B171" s="849" t="s">
        <v>60</v>
      </c>
      <c r="C171" s="850"/>
      <c r="D171" s="850"/>
      <c r="E171" s="850"/>
      <c r="F171" s="850"/>
      <c r="G171" s="850"/>
      <c r="H171" s="851"/>
      <c r="I171" s="852"/>
    </row>
    <row r="172" spans="1:10" x14ac:dyDescent="0.25">
      <c r="A172" s="83" t="s">
        <v>27</v>
      </c>
      <c r="B172" s="80" t="s">
        <v>13</v>
      </c>
      <c r="C172" s="80" t="s">
        <v>38</v>
      </c>
      <c r="D172" s="81" t="s">
        <v>7</v>
      </c>
      <c r="E172" s="81" t="s">
        <v>8</v>
      </c>
      <c r="F172" s="81" t="s">
        <v>9</v>
      </c>
      <c r="G172" s="81" t="s">
        <v>10</v>
      </c>
      <c r="H172" s="513" t="s">
        <v>737</v>
      </c>
      <c r="I172" s="82" t="s">
        <v>11</v>
      </c>
    </row>
    <row r="173" spans="1:10" x14ac:dyDescent="0.25">
      <c r="A173" s="878" t="s">
        <v>58</v>
      </c>
      <c r="B173" s="841"/>
      <c r="C173" s="841"/>
      <c r="D173" s="841"/>
      <c r="E173" s="841"/>
      <c r="F173" s="841"/>
      <c r="G173" s="841"/>
      <c r="H173" s="842"/>
      <c r="I173" s="843"/>
    </row>
    <row r="174" spans="1:10" x14ac:dyDescent="0.25">
      <c r="A174" s="22" t="s">
        <v>28</v>
      </c>
      <c r="B174" s="841" t="s">
        <v>29</v>
      </c>
      <c r="C174" s="841"/>
      <c r="D174" s="841"/>
      <c r="E174" s="841"/>
      <c r="F174" s="841"/>
      <c r="G174" s="841"/>
      <c r="H174" s="842"/>
      <c r="I174" s="843"/>
    </row>
    <row r="175" spans="1:10" s="12" customFormat="1" x14ac:dyDescent="0.25">
      <c r="A175" s="72" t="s">
        <v>12</v>
      </c>
      <c r="B175" s="73">
        <v>72080</v>
      </c>
      <c r="C175" s="23" t="s">
        <v>32</v>
      </c>
      <c r="D175" s="73" t="s">
        <v>22</v>
      </c>
      <c r="E175" s="73">
        <v>1</v>
      </c>
      <c r="F175" s="713">
        <v>0</v>
      </c>
      <c r="G175" s="713">
        <v>0</v>
      </c>
      <c r="H175" s="671" t="s">
        <v>34</v>
      </c>
      <c r="I175" s="716">
        <f>(E175*(F175+G175))*1.2665</f>
        <v>0</v>
      </c>
      <c r="J175" s="30"/>
    </row>
    <row r="176" spans="1:10" s="12" customFormat="1" ht="60" x14ac:dyDescent="0.25">
      <c r="A176" s="72" t="s">
        <v>12</v>
      </c>
      <c r="B176" s="73">
        <v>71993</v>
      </c>
      <c r="C176" s="25" t="s">
        <v>48</v>
      </c>
      <c r="D176" s="73" t="s">
        <v>7</v>
      </c>
      <c r="E176" s="73">
        <v>1</v>
      </c>
      <c r="F176" s="713">
        <v>0</v>
      </c>
      <c r="G176" s="713">
        <v>0</v>
      </c>
      <c r="H176" s="671" t="s">
        <v>34</v>
      </c>
      <c r="I176" s="716">
        <f>(E176*(F176+G176))*1.2665</f>
        <v>0</v>
      </c>
      <c r="J176" s="30"/>
    </row>
    <row r="177" spans="1:10" s="12" customFormat="1" ht="45" x14ac:dyDescent="0.25">
      <c r="A177" s="72" t="s">
        <v>39</v>
      </c>
      <c r="B177" s="73" t="s">
        <v>34</v>
      </c>
      <c r="C177" s="26" t="s">
        <v>49</v>
      </c>
      <c r="D177" s="73" t="s">
        <v>7</v>
      </c>
      <c r="E177" s="73">
        <v>1</v>
      </c>
      <c r="F177" s="844">
        <v>0</v>
      </c>
      <c r="G177" s="845"/>
      <c r="H177" s="671" t="s">
        <v>34</v>
      </c>
      <c r="I177" s="657">
        <f>(F177*E177)*1.2665</f>
        <v>0</v>
      </c>
      <c r="J177" s="30"/>
    </row>
    <row r="178" spans="1:10" s="12" customFormat="1" ht="105" x14ac:dyDescent="0.25">
      <c r="A178" s="72" t="s">
        <v>39</v>
      </c>
      <c r="B178" s="73" t="s">
        <v>34</v>
      </c>
      <c r="C178" s="25" t="s">
        <v>50</v>
      </c>
      <c r="D178" s="73" t="s">
        <v>7</v>
      </c>
      <c r="E178" s="73">
        <v>2</v>
      </c>
      <c r="F178" s="844">
        <v>0</v>
      </c>
      <c r="G178" s="845"/>
      <c r="H178" s="671" t="s">
        <v>34</v>
      </c>
      <c r="I178" s="657">
        <f t="shared" ref="I178:I179" si="8">(F178*E178)*1.2665</f>
        <v>0</v>
      </c>
      <c r="J178" s="30"/>
    </row>
    <row r="179" spans="1:10" s="12" customFormat="1" ht="90" x14ac:dyDescent="0.25">
      <c r="A179" s="72" t="s">
        <v>39</v>
      </c>
      <c r="B179" s="73" t="s">
        <v>34</v>
      </c>
      <c r="C179" s="27" t="s">
        <v>59</v>
      </c>
      <c r="D179" s="73" t="s">
        <v>7</v>
      </c>
      <c r="E179" s="73">
        <v>2</v>
      </c>
      <c r="F179" s="844">
        <v>0</v>
      </c>
      <c r="G179" s="845"/>
      <c r="H179" s="671" t="s">
        <v>34</v>
      </c>
      <c r="I179" s="657">
        <f t="shared" si="8"/>
        <v>0</v>
      </c>
      <c r="J179" s="30"/>
    </row>
    <row r="180" spans="1:10" s="12" customFormat="1" x14ac:dyDescent="0.25">
      <c r="A180" s="72" t="s">
        <v>33</v>
      </c>
      <c r="B180" s="73" t="s">
        <v>34</v>
      </c>
      <c r="C180" s="23" t="s">
        <v>51</v>
      </c>
      <c r="D180" s="73" t="s">
        <v>7</v>
      </c>
      <c r="E180" s="73">
        <v>2</v>
      </c>
      <c r="F180" s="844">
        <v>0</v>
      </c>
      <c r="G180" s="845"/>
      <c r="H180" s="671" t="s">
        <v>34</v>
      </c>
      <c r="I180" s="657">
        <f t="shared" ref="I180" si="9">ROUNDUP(F180*E180,2)*1.2665</f>
        <v>0</v>
      </c>
      <c r="J180" s="30"/>
    </row>
    <row r="181" spans="1:10" s="12" customFormat="1" x14ac:dyDescent="0.25">
      <c r="A181" s="72" t="s">
        <v>12</v>
      </c>
      <c r="B181" s="73">
        <v>71841</v>
      </c>
      <c r="C181" s="23" t="s">
        <v>517</v>
      </c>
      <c r="D181" s="73" t="s">
        <v>7</v>
      </c>
      <c r="E181" s="73">
        <v>2</v>
      </c>
      <c r="F181" s="713">
        <v>0</v>
      </c>
      <c r="G181" s="713">
        <v>0</v>
      </c>
      <c r="H181" s="671" t="s">
        <v>34</v>
      </c>
      <c r="I181" s="716">
        <f t="shared" ref="I181:I189" si="10">ROUNDUP(E181*(F181+G181),2)*1.2665</f>
        <v>0</v>
      </c>
      <c r="J181" s="30"/>
    </row>
    <row r="182" spans="1:10" s="12" customFormat="1" x14ac:dyDescent="0.25">
      <c r="A182" s="72" t="s">
        <v>12</v>
      </c>
      <c r="B182" s="73">
        <v>72320</v>
      </c>
      <c r="C182" s="23" t="s">
        <v>518</v>
      </c>
      <c r="D182" s="73" t="s">
        <v>7</v>
      </c>
      <c r="E182" s="73">
        <v>1</v>
      </c>
      <c r="F182" s="713">
        <v>0</v>
      </c>
      <c r="G182" s="713">
        <v>0</v>
      </c>
      <c r="H182" s="671" t="s">
        <v>34</v>
      </c>
      <c r="I182" s="716">
        <f t="shared" si="10"/>
        <v>0</v>
      </c>
      <c r="J182" s="30"/>
    </row>
    <row r="183" spans="1:10" s="12" customFormat="1" x14ac:dyDescent="0.25">
      <c r="A183" s="72" t="s">
        <v>12</v>
      </c>
      <c r="B183" s="73">
        <v>70560</v>
      </c>
      <c r="C183" s="23" t="s">
        <v>519</v>
      </c>
      <c r="D183" s="73" t="s">
        <v>2</v>
      </c>
      <c r="E183" s="73">
        <v>22</v>
      </c>
      <c r="F183" s="713">
        <v>0</v>
      </c>
      <c r="G183" s="713">
        <v>0</v>
      </c>
      <c r="H183" s="671" t="s">
        <v>34</v>
      </c>
      <c r="I183" s="716">
        <f t="shared" si="10"/>
        <v>0</v>
      </c>
      <c r="J183" s="30"/>
    </row>
    <row r="184" spans="1:10" s="12" customFormat="1" x14ac:dyDescent="0.25">
      <c r="A184" s="72" t="s">
        <v>12</v>
      </c>
      <c r="B184" s="73">
        <v>71194</v>
      </c>
      <c r="C184" s="23" t="s">
        <v>520</v>
      </c>
      <c r="D184" s="73" t="s">
        <v>2</v>
      </c>
      <c r="E184" s="73">
        <v>2</v>
      </c>
      <c r="F184" s="713">
        <v>0</v>
      </c>
      <c r="G184" s="713">
        <v>0</v>
      </c>
      <c r="H184" s="671" t="s">
        <v>34</v>
      </c>
      <c r="I184" s="716">
        <f t="shared" si="10"/>
        <v>0</v>
      </c>
      <c r="J184" s="30"/>
    </row>
    <row r="185" spans="1:10" s="12" customFormat="1" x14ac:dyDescent="0.25">
      <c r="A185" s="72" t="s">
        <v>12</v>
      </c>
      <c r="B185" s="73">
        <v>71381</v>
      </c>
      <c r="C185" s="23" t="s">
        <v>521</v>
      </c>
      <c r="D185" s="73" t="s">
        <v>7</v>
      </c>
      <c r="E185" s="73">
        <v>1</v>
      </c>
      <c r="F185" s="713">
        <v>0</v>
      </c>
      <c r="G185" s="713">
        <v>0</v>
      </c>
      <c r="H185" s="671" t="s">
        <v>34</v>
      </c>
      <c r="I185" s="716">
        <f t="shared" si="10"/>
        <v>0</v>
      </c>
      <c r="J185" s="30"/>
    </row>
    <row r="186" spans="1:10" s="12" customFormat="1" x14ac:dyDescent="0.25">
      <c r="A186" s="72" t="s">
        <v>12</v>
      </c>
      <c r="B186" s="73">
        <v>70540</v>
      </c>
      <c r="C186" s="23" t="s">
        <v>522</v>
      </c>
      <c r="D186" s="73" t="s">
        <v>52</v>
      </c>
      <c r="E186" s="73">
        <v>2</v>
      </c>
      <c r="F186" s="713">
        <v>0</v>
      </c>
      <c r="G186" s="713">
        <v>0</v>
      </c>
      <c r="H186" s="671" t="s">
        <v>34</v>
      </c>
      <c r="I186" s="716">
        <f t="shared" si="10"/>
        <v>0</v>
      </c>
      <c r="J186" s="30"/>
    </row>
    <row r="187" spans="1:10" s="12" customFormat="1" x14ac:dyDescent="0.25">
      <c r="A187" s="72" t="s">
        <v>12</v>
      </c>
      <c r="B187" s="73">
        <v>72518</v>
      </c>
      <c r="C187" s="23" t="s">
        <v>523</v>
      </c>
      <c r="D187" s="73" t="s">
        <v>7</v>
      </c>
      <c r="E187" s="73">
        <v>1</v>
      </c>
      <c r="F187" s="713">
        <v>0</v>
      </c>
      <c r="G187" s="713">
        <v>0</v>
      </c>
      <c r="H187" s="671" t="s">
        <v>34</v>
      </c>
      <c r="I187" s="716">
        <f t="shared" si="10"/>
        <v>0</v>
      </c>
      <c r="J187" s="30"/>
    </row>
    <row r="188" spans="1:10" s="12" customFormat="1" x14ac:dyDescent="0.25">
      <c r="A188" s="72" t="s">
        <v>12</v>
      </c>
      <c r="B188" s="73">
        <v>71331</v>
      </c>
      <c r="C188" s="23" t="s">
        <v>524</v>
      </c>
      <c r="D188" s="73" t="s">
        <v>7</v>
      </c>
      <c r="E188" s="73">
        <v>1</v>
      </c>
      <c r="F188" s="713">
        <v>0</v>
      </c>
      <c r="G188" s="713">
        <v>0</v>
      </c>
      <c r="H188" s="671" t="s">
        <v>34</v>
      </c>
      <c r="I188" s="716">
        <f t="shared" si="10"/>
        <v>0</v>
      </c>
      <c r="J188" s="30"/>
    </row>
    <row r="189" spans="1:10" s="12" customFormat="1" x14ac:dyDescent="0.25">
      <c r="A189" s="72" t="s">
        <v>12</v>
      </c>
      <c r="B189" s="73">
        <v>71321</v>
      </c>
      <c r="C189" s="23" t="s">
        <v>525</v>
      </c>
      <c r="D189" s="73" t="s">
        <v>2</v>
      </c>
      <c r="E189" s="73">
        <v>1</v>
      </c>
      <c r="F189" s="713">
        <v>0</v>
      </c>
      <c r="G189" s="713">
        <v>0</v>
      </c>
      <c r="H189" s="671" t="s">
        <v>34</v>
      </c>
      <c r="I189" s="716">
        <f t="shared" si="10"/>
        <v>0</v>
      </c>
      <c r="J189" s="30"/>
    </row>
    <row r="190" spans="1:10" s="12" customFormat="1" x14ac:dyDescent="0.25">
      <c r="A190" s="846" t="s">
        <v>57</v>
      </c>
      <c r="B190" s="847"/>
      <c r="C190" s="847"/>
      <c r="D190" s="847"/>
      <c r="E190" s="847"/>
      <c r="F190" s="847"/>
      <c r="G190" s="847"/>
      <c r="H190" s="848"/>
      <c r="I190" s="715">
        <f>ROUNDUP(SUM(I175:I189),2)</f>
        <v>0</v>
      </c>
      <c r="J190" s="30"/>
    </row>
    <row r="191" spans="1:10" s="12" customFormat="1" ht="15.75" thickBot="1" x14ac:dyDescent="0.3">
      <c r="A191" s="864"/>
      <c r="B191" s="865"/>
      <c r="C191" s="865"/>
      <c r="D191" s="865"/>
      <c r="E191" s="865"/>
      <c r="F191" s="865"/>
      <c r="G191" s="865"/>
      <c r="H191" s="865"/>
      <c r="I191" s="866"/>
      <c r="J191" s="30"/>
    </row>
    <row r="192" spans="1:10" ht="36.75" customHeight="1" thickBot="1" x14ac:dyDescent="0.3">
      <c r="A192" s="84" t="s">
        <v>828</v>
      </c>
      <c r="B192" s="849" t="s">
        <v>61</v>
      </c>
      <c r="C192" s="850"/>
      <c r="D192" s="850"/>
      <c r="E192" s="850"/>
      <c r="F192" s="850"/>
      <c r="G192" s="850"/>
      <c r="H192" s="851"/>
      <c r="I192" s="852"/>
    </row>
    <row r="193" spans="1:10" x14ac:dyDescent="0.25">
      <c r="A193" s="20" t="s">
        <v>53</v>
      </c>
      <c r="B193" s="21" t="s">
        <v>13</v>
      </c>
      <c r="C193" s="21" t="s">
        <v>6</v>
      </c>
      <c r="D193" s="29" t="s">
        <v>7</v>
      </c>
      <c r="E193" s="29" t="s">
        <v>8</v>
      </c>
      <c r="F193" s="29" t="s">
        <v>9</v>
      </c>
      <c r="G193" s="29" t="s">
        <v>10</v>
      </c>
      <c r="H193" s="513" t="s">
        <v>737</v>
      </c>
      <c r="I193" s="31" t="s">
        <v>11</v>
      </c>
    </row>
    <row r="194" spans="1:10" x14ac:dyDescent="0.25">
      <c r="A194" s="878" t="s">
        <v>42</v>
      </c>
      <c r="B194" s="841"/>
      <c r="C194" s="841"/>
      <c r="D194" s="841"/>
      <c r="E194" s="841"/>
      <c r="F194" s="841"/>
      <c r="G194" s="841"/>
      <c r="H194" s="842"/>
      <c r="I194" s="843"/>
    </row>
    <row r="195" spans="1:10" x14ac:dyDescent="0.25">
      <c r="A195" s="22" t="s">
        <v>28</v>
      </c>
      <c r="B195" s="841" t="s">
        <v>31</v>
      </c>
      <c r="C195" s="841"/>
      <c r="D195" s="841"/>
      <c r="E195" s="841"/>
      <c r="F195" s="841"/>
      <c r="G195" s="841"/>
      <c r="H195" s="842"/>
      <c r="I195" s="843"/>
    </row>
    <row r="196" spans="1:10" s="12" customFormat="1" x14ac:dyDescent="0.25">
      <c r="A196" s="72" t="s">
        <v>12</v>
      </c>
      <c r="B196" s="73">
        <v>72080</v>
      </c>
      <c r="C196" s="23" t="s">
        <v>32</v>
      </c>
      <c r="D196" s="73" t="s">
        <v>22</v>
      </c>
      <c r="E196" s="73">
        <v>1</v>
      </c>
      <c r="F196" s="713">
        <v>0</v>
      </c>
      <c r="G196" s="713">
        <v>0</v>
      </c>
      <c r="H196" s="671" t="s">
        <v>34</v>
      </c>
      <c r="I196" s="716">
        <f t="shared" ref="I196:I197" si="11">ROUNDUP(E196*(F196+G196),2)*1.2665</f>
        <v>0</v>
      </c>
      <c r="J196" s="30"/>
    </row>
    <row r="197" spans="1:10" s="12" customFormat="1" ht="60" x14ac:dyDescent="0.25">
      <c r="A197" s="72" t="s">
        <v>12</v>
      </c>
      <c r="B197" s="73">
        <v>71993</v>
      </c>
      <c r="C197" s="25" t="s">
        <v>48</v>
      </c>
      <c r="D197" s="73" t="s">
        <v>7</v>
      </c>
      <c r="E197" s="73">
        <v>1</v>
      </c>
      <c r="F197" s="713">
        <v>0</v>
      </c>
      <c r="G197" s="713">
        <v>0</v>
      </c>
      <c r="H197" s="671" t="s">
        <v>34</v>
      </c>
      <c r="I197" s="716">
        <f t="shared" si="11"/>
        <v>0</v>
      </c>
      <c r="J197" s="30"/>
    </row>
    <row r="198" spans="1:10" s="12" customFormat="1" ht="45" x14ac:dyDescent="0.25">
      <c r="A198" s="72" t="s">
        <v>39</v>
      </c>
      <c r="B198" s="73" t="s">
        <v>34</v>
      </c>
      <c r="C198" s="26" t="s">
        <v>49</v>
      </c>
      <c r="D198" s="73" t="s">
        <v>7</v>
      </c>
      <c r="E198" s="73">
        <v>1</v>
      </c>
      <c r="F198" s="844">
        <v>0</v>
      </c>
      <c r="G198" s="845"/>
      <c r="H198" s="671" t="s">
        <v>34</v>
      </c>
      <c r="I198" s="657">
        <f t="shared" ref="I198:I200" si="12">ROUNDUP(F198*E198,2)*1.2665</f>
        <v>0</v>
      </c>
      <c r="J198" s="30"/>
    </row>
    <row r="199" spans="1:10" s="12" customFormat="1" ht="105" x14ac:dyDescent="0.25">
      <c r="A199" s="72" t="s">
        <v>39</v>
      </c>
      <c r="B199" s="73" t="s">
        <v>34</v>
      </c>
      <c r="C199" s="25" t="s">
        <v>50</v>
      </c>
      <c r="D199" s="73" t="s">
        <v>7</v>
      </c>
      <c r="E199" s="73">
        <v>4</v>
      </c>
      <c r="F199" s="844">
        <v>0</v>
      </c>
      <c r="G199" s="845"/>
      <c r="H199" s="671" t="s">
        <v>34</v>
      </c>
      <c r="I199" s="657">
        <f t="shared" si="12"/>
        <v>0</v>
      </c>
      <c r="J199" s="30"/>
    </row>
    <row r="200" spans="1:10" s="12" customFormat="1" ht="90" x14ac:dyDescent="0.25">
      <c r="A200" s="72" t="s">
        <v>39</v>
      </c>
      <c r="B200" s="73" t="s">
        <v>34</v>
      </c>
      <c r="C200" s="27" t="s">
        <v>59</v>
      </c>
      <c r="D200" s="73" t="s">
        <v>7</v>
      </c>
      <c r="E200" s="73">
        <v>4</v>
      </c>
      <c r="F200" s="844">
        <v>0</v>
      </c>
      <c r="G200" s="845"/>
      <c r="H200" s="671" t="s">
        <v>34</v>
      </c>
      <c r="I200" s="657">
        <f t="shared" si="12"/>
        <v>0</v>
      </c>
      <c r="J200" s="30"/>
    </row>
    <row r="201" spans="1:10" s="12" customFormat="1" x14ac:dyDescent="0.25">
      <c r="A201" s="72" t="s">
        <v>33</v>
      </c>
      <c r="B201" s="73" t="s">
        <v>34</v>
      </c>
      <c r="C201" s="23" t="s">
        <v>51</v>
      </c>
      <c r="D201" s="73" t="s">
        <v>7</v>
      </c>
      <c r="E201" s="73">
        <v>2</v>
      </c>
      <c r="F201" s="844">
        <v>0</v>
      </c>
      <c r="G201" s="845"/>
      <c r="H201" s="671" t="s">
        <v>34</v>
      </c>
      <c r="I201" s="657">
        <f>(F201*E201)*1.2665</f>
        <v>0</v>
      </c>
      <c r="J201" s="30"/>
    </row>
    <row r="202" spans="1:10" s="12" customFormat="1" x14ac:dyDescent="0.25">
      <c r="A202" s="72" t="s">
        <v>12</v>
      </c>
      <c r="B202" s="73">
        <v>71841</v>
      </c>
      <c r="C202" s="23" t="s">
        <v>517</v>
      </c>
      <c r="D202" s="73" t="s">
        <v>7</v>
      </c>
      <c r="E202" s="73">
        <v>2</v>
      </c>
      <c r="F202" s="713">
        <v>0</v>
      </c>
      <c r="G202" s="713">
        <v>0</v>
      </c>
      <c r="H202" s="671" t="s">
        <v>34</v>
      </c>
      <c r="I202" s="716">
        <f>(E202*(F202+G202))*1.2665</f>
        <v>0</v>
      </c>
      <c r="J202" s="30"/>
    </row>
    <row r="203" spans="1:10" s="12" customFormat="1" x14ac:dyDescent="0.25">
      <c r="A203" s="72" t="s">
        <v>12</v>
      </c>
      <c r="B203" s="73">
        <v>72320</v>
      </c>
      <c r="C203" s="23" t="s">
        <v>518</v>
      </c>
      <c r="D203" s="73" t="s">
        <v>7</v>
      </c>
      <c r="E203" s="73">
        <v>1</v>
      </c>
      <c r="F203" s="713">
        <v>0</v>
      </c>
      <c r="G203" s="713">
        <v>0</v>
      </c>
      <c r="H203" s="671" t="s">
        <v>34</v>
      </c>
      <c r="I203" s="716">
        <f t="shared" ref="I203:I210" si="13">(E203*(F203+G203))*1.2665</f>
        <v>0</v>
      </c>
      <c r="J203" s="30"/>
    </row>
    <row r="204" spans="1:10" s="12" customFormat="1" x14ac:dyDescent="0.25">
      <c r="A204" s="72" t="s">
        <v>12</v>
      </c>
      <c r="B204" s="73">
        <v>70560</v>
      </c>
      <c r="C204" s="23" t="s">
        <v>519</v>
      </c>
      <c r="D204" s="73" t="s">
        <v>2</v>
      </c>
      <c r="E204" s="73">
        <v>28</v>
      </c>
      <c r="F204" s="713">
        <v>0</v>
      </c>
      <c r="G204" s="713">
        <v>0</v>
      </c>
      <c r="H204" s="671" t="s">
        <v>34</v>
      </c>
      <c r="I204" s="716">
        <f t="shared" si="13"/>
        <v>0</v>
      </c>
      <c r="J204" s="30"/>
    </row>
    <row r="205" spans="1:10" s="12" customFormat="1" x14ac:dyDescent="0.25">
      <c r="A205" s="72" t="s">
        <v>12</v>
      </c>
      <c r="B205" s="73">
        <v>71194</v>
      </c>
      <c r="C205" s="23" t="s">
        <v>520</v>
      </c>
      <c r="D205" s="73" t="s">
        <v>2</v>
      </c>
      <c r="E205" s="73">
        <v>2</v>
      </c>
      <c r="F205" s="713">
        <v>0</v>
      </c>
      <c r="G205" s="713">
        <v>0</v>
      </c>
      <c r="H205" s="671" t="s">
        <v>34</v>
      </c>
      <c r="I205" s="716">
        <f t="shared" si="13"/>
        <v>0</v>
      </c>
      <c r="J205" s="30"/>
    </row>
    <row r="206" spans="1:10" s="12" customFormat="1" x14ac:dyDescent="0.25">
      <c r="A206" s="72" t="s">
        <v>12</v>
      </c>
      <c r="B206" s="73">
        <v>71381</v>
      </c>
      <c r="C206" s="23" t="s">
        <v>521</v>
      </c>
      <c r="D206" s="73" t="s">
        <v>7</v>
      </c>
      <c r="E206" s="73">
        <v>1</v>
      </c>
      <c r="F206" s="713">
        <v>0</v>
      </c>
      <c r="G206" s="713">
        <v>0</v>
      </c>
      <c r="H206" s="671" t="s">
        <v>34</v>
      </c>
      <c r="I206" s="716">
        <f t="shared" si="13"/>
        <v>0</v>
      </c>
      <c r="J206" s="30"/>
    </row>
    <row r="207" spans="1:10" s="12" customFormat="1" x14ac:dyDescent="0.25">
      <c r="A207" s="72" t="s">
        <v>12</v>
      </c>
      <c r="B207" s="73">
        <v>70540</v>
      </c>
      <c r="C207" s="23" t="s">
        <v>522</v>
      </c>
      <c r="D207" s="73" t="s">
        <v>52</v>
      </c>
      <c r="E207" s="73">
        <v>2</v>
      </c>
      <c r="F207" s="713">
        <v>0</v>
      </c>
      <c r="G207" s="713">
        <v>0</v>
      </c>
      <c r="H207" s="671" t="s">
        <v>34</v>
      </c>
      <c r="I207" s="716">
        <f t="shared" si="13"/>
        <v>0</v>
      </c>
      <c r="J207" s="30"/>
    </row>
    <row r="208" spans="1:10" s="12" customFormat="1" x14ac:dyDescent="0.25">
      <c r="A208" s="72" t="s">
        <v>12</v>
      </c>
      <c r="B208" s="73">
        <v>72518</v>
      </c>
      <c r="C208" s="23" t="s">
        <v>523</v>
      </c>
      <c r="D208" s="73" t="s">
        <v>7</v>
      </c>
      <c r="E208" s="73">
        <v>1</v>
      </c>
      <c r="F208" s="713">
        <v>0</v>
      </c>
      <c r="G208" s="713">
        <v>0</v>
      </c>
      <c r="H208" s="671" t="s">
        <v>34</v>
      </c>
      <c r="I208" s="716">
        <f t="shared" si="13"/>
        <v>0</v>
      </c>
      <c r="J208" s="30"/>
    </row>
    <row r="209" spans="1:10" s="12" customFormat="1" x14ac:dyDescent="0.25">
      <c r="A209" s="72" t="s">
        <v>12</v>
      </c>
      <c r="B209" s="73">
        <v>71331</v>
      </c>
      <c r="C209" s="23" t="s">
        <v>524</v>
      </c>
      <c r="D209" s="73" t="s">
        <v>7</v>
      </c>
      <c r="E209" s="73">
        <v>1</v>
      </c>
      <c r="F209" s="713">
        <v>0</v>
      </c>
      <c r="G209" s="713">
        <v>0</v>
      </c>
      <c r="H209" s="671" t="s">
        <v>34</v>
      </c>
      <c r="I209" s="716">
        <f t="shared" si="13"/>
        <v>0</v>
      </c>
      <c r="J209" s="30"/>
    </row>
    <row r="210" spans="1:10" s="12" customFormat="1" x14ac:dyDescent="0.25">
      <c r="A210" s="72" t="s">
        <v>12</v>
      </c>
      <c r="B210" s="73">
        <v>71321</v>
      </c>
      <c r="C210" s="23" t="s">
        <v>525</v>
      </c>
      <c r="D210" s="73" t="s">
        <v>2</v>
      </c>
      <c r="E210" s="73">
        <v>1</v>
      </c>
      <c r="F210" s="713">
        <v>0</v>
      </c>
      <c r="G210" s="713">
        <v>0</v>
      </c>
      <c r="H210" s="671" t="s">
        <v>34</v>
      </c>
      <c r="I210" s="716">
        <f t="shared" si="13"/>
        <v>0</v>
      </c>
      <c r="J210" s="30"/>
    </row>
    <row r="211" spans="1:10" ht="15.75" thickBot="1" x14ac:dyDescent="0.3">
      <c r="A211" s="861" t="s">
        <v>57</v>
      </c>
      <c r="B211" s="862"/>
      <c r="C211" s="862"/>
      <c r="D211" s="862"/>
      <c r="E211" s="862"/>
      <c r="F211" s="862"/>
      <c r="G211" s="862"/>
      <c r="H211" s="863"/>
      <c r="I211" s="715">
        <f>ROUNDUP(SUM(I196:I210),2)</f>
        <v>0</v>
      </c>
    </row>
    <row r="212" spans="1:10" s="12" customFormat="1" ht="15.75" thickBot="1" x14ac:dyDescent="0.3">
      <c r="A212" s="588"/>
      <c r="B212" s="589"/>
      <c r="C212" s="589"/>
      <c r="D212" s="589"/>
      <c r="E212" s="589"/>
      <c r="F212" s="589"/>
      <c r="G212" s="589"/>
      <c r="H212" s="617"/>
      <c r="I212" s="590"/>
      <c r="J212" s="30"/>
    </row>
    <row r="213" spans="1:10" s="12" customFormat="1" ht="15.75" customHeight="1" thickBot="1" x14ac:dyDescent="0.3">
      <c r="A213" s="591" t="s">
        <v>921</v>
      </c>
      <c r="B213" s="853" t="s">
        <v>891</v>
      </c>
      <c r="C213" s="854"/>
      <c r="D213" s="854"/>
      <c r="E213" s="854"/>
      <c r="F213" s="854"/>
      <c r="G213" s="854"/>
      <c r="H213" s="855"/>
      <c r="I213" s="856"/>
      <c r="J213" s="30"/>
    </row>
    <row r="214" spans="1:10" s="12" customFormat="1" ht="15.75" customHeight="1" x14ac:dyDescent="0.25">
      <c r="A214" s="592" t="s">
        <v>53</v>
      </c>
      <c r="B214" s="593" t="s">
        <v>13</v>
      </c>
      <c r="C214" s="593" t="s">
        <v>6</v>
      </c>
      <c r="D214" s="594" t="s">
        <v>7</v>
      </c>
      <c r="E214" s="594" t="s">
        <v>8</v>
      </c>
      <c r="F214" s="594" t="s">
        <v>9</v>
      </c>
      <c r="G214" s="594" t="s">
        <v>10</v>
      </c>
      <c r="H214" s="595"/>
      <c r="I214" s="596" t="s">
        <v>11</v>
      </c>
      <c r="J214" s="30"/>
    </row>
    <row r="215" spans="1:10" s="12" customFormat="1" x14ac:dyDescent="0.25">
      <c r="A215" s="597" t="s">
        <v>12</v>
      </c>
      <c r="B215" s="598">
        <v>50302</v>
      </c>
      <c r="C215" s="599" t="s">
        <v>892</v>
      </c>
      <c r="D215" s="598" t="s">
        <v>2</v>
      </c>
      <c r="E215" s="600">
        <v>30</v>
      </c>
      <c r="F215" s="717">
        <v>0</v>
      </c>
      <c r="G215" s="717">
        <v>0</v>
      </c>
      <c r="H215" s="718" t="s">
        <v>34</v>
      </c>
      <c r="I215" s="719">
        <f>((F215+G215)*E215)*1.2665</f>
        <v>0</v>
      </c>
      <c r="J215" s="30"/>
    </row>
    <row r="216" spans="1:10" s="12" customFormat="1" ht="30" x14ac:dyDescent="0.25">
      <c r="A216" s="597" t="s">
        <v>12</v>
      </c>
      <c r="B216" s="598">
        <v>51030</v>
      </c>
      <c r="C216" s="601" t="s">
        <v>893</v>
      </c>
      <c r="D216" s="598" t="s">
        <v>106</v>
      </c>
      <c r="E216" s="600">
        <v>3.79</v>
      </c>
      <c r="F216" s="717">
        <v>0</v>
      </c>
      <c r="G216" s="717">
        <v>0</v>
      </c>
      <c r="H216" s="718" t="s">
        <v>34</v>
      </c>
      <c r="I216" s="719">
        <f t="shared" ref="I216:I245" si="14">((F216+G216)*E216)*1.2665</f>
        <v>0</v>
      </c>
      <c r="J216" s="30"/>
    </row>
    <row r="217" spans="1:10" s="12" customFormat="1" ht="30" x14ac:dyDescent="0.25">
      <c r="A217" s="597" t="s">
        <v>12</v>
      </c>
      <c r="B217" s="598">
        <v>51026</v>
      </c>
      <c r="C217" s="601" t="s">
        <v>894</v>
      </c>
      <c r="D217" s="598" t="s">
        <v>106</v>
      </c>
      <c r="E217" s="600">
        <v>3.79</v>
      </c>
      <c r="F217" s="717">
        <v>0</v>
      </c>
      <c r="G217" s="717">
        <v>0</v>
      </c>
      <c r="H217" s="718" t="s">
        <v>34</v>
      </c>
      <c r="I217" s="719">
        <f t="shared" si="14"/>
        <v>0</v>
      </c>
      <c r="J217" s="30"/>
    </row>
    <row r="218" spans="1:10" s="12" customFormat="1" x14ac:dyDescent="0.25">
      <c r="A218" s="597" t="s">
        <v>12</v>
      </c>
      <c r="B218" s="598">
        <v>52004</v>
      </c>
      <c r="C218" s="601" t="s">
        <v>895</v>
      </c>
      <c r="D218" s="598" t="s">
        <v>68</v>
      </c>
      <c r="E218" s="600">
        <f>CÁLCULO!H729</f>
        <v>40.232500000000002</v>
      </c>
      <c r="F218" s="717">
        <v>0</v>
      </c>
      <c r="G218" s="717">
        <v>0</v>
      </c>
      <c r="H218" s="718" t="s">
        <v>34</v>
      </c>
      <c r="I218" s="719">
        <f t="shared" si="14"/>
        <v>0</v>
      </c>
      <c r="J218" s="30"/>
    </row>
    <row r="219" spans="1:10" s="12" customFormat="1" x14ac:dyDescent="0.25">
      <c r="A219" s="597" t="s">
        <v>12</v>
      </c>
      <c r="B219" s="598">
        <v>70305</v>
      </c>
      <c r="C219" s="601" t="s">
        <v>896</v>
      </c>
      <c r="D219" s="598" t="s">
        <v>7</v>
      </c>
      <c r="E219" s="600">
        <v>2</v>
      </c>
      <c r="F219" s="717">
        <v>0</v>
      </c>
      <c r="G219" s="717">
        <v>0</v>
      </c>
      <c r="H219" s="718" t="s">
        <v>34</v>
      </c>
      <c r="I219" s="719">
        <f t="shared" si="14"/>
        <v>0</v>
      </c>
      <c r="J219" s="30"/>
    </row>
    <row r="220" spans="1:10" s="12" customFormat="1" x14ac:dyDescent="0.25">
      <c r="A220" s="597" t="s">
        <v>12</v>
      </c>
      <c r="B220" s="598">
        <v>70560</v>
      </c>
      <c r="C220" s="601" t="s">
        <v>897</v>
      </c>
      <c r="D220" s="598" t="s">
        <v>2</v>
      </c>
      <c r="E220" s="600">
        <v>130</v>
      </c>
      <c r="F220" s="717">
        <v>0</v>
      </c>
      <c r="G220" s="717">
        <v>0</v>
      </c>
      <c r="H220" s="718" t="s">
        <v>34</v>
      </c>
      <c r="I220" s="719">
        <f t="shared" si="14"/>
        <v>0</v>
      </c>
      <c r="J220" s="30"/>
    </row>
    <row r="221" spans="1:10" s="12" customFormat="1" x14ac:dyDescent="0.25">
      <c r="A221" s="597" t="s">
        <v>12</v>
      </c>
      <c r="B221" s="598">
        <v>70580</v>
      </c>
      <c r="C221" s="601" t="s">
        <v>898</v>
      </c>
      <c r="D221" s="598" t="s">
        <v>2</v>
      </c>
      <c r="E221" s="600">
        <v>10</v>
      </c>
      <c r="F221" s="717">
        <v>0</v>
      </c>
      <c r="G221" s="717">
        <v>0</v>
      </c>
      <c r="H221" s="718" t="s">
        <v>34</v>
      </c>
      <c r="I221" s="719">
        <f t="shared" si="14"/>
        <v>0</v>
      </c>
      <c r="J221" s="30"/>
    </row>
    <row r="222" spans="1:10" s="12" customFormat="1" ht="30" x14ac:dyDescent="0.25">
      <c r="A222" s="597" t="s">
        <v>12</v>
      </c>
      <c r="B222" s="598">
        <v>70635</v>
      </c>
      <c r="C222" s="601" t="s">
        <v>899</v>
      </c>
      <c r="D222" s="598" t="s">
        <v>96</v>
      </c>
      <c r="E222" s="600">
        <v>2</v>
      </c>
      <c r="F222" s="717">
        <v>0</v>
      </c>
      <c r="G222" s="717">
        <v>0</v>
      </c>
      <c r="H222" s="718" t="s">
        <v>34</v>
      </c>
      <c r="I222" s="719">
        <f t="shared" si="14"/>
        <v>0</v>
      </c>
      <c r="J222" s="30"/>
    </row>
    <row r="223" spans="1:10" s="12" customFormat="1" x14ac:dyDescent="0.25">
      <c r="A223" s="597" t="s">
        <v>12</v>
      </c>
      <c r="B223" s="598">
        <v>70692</v>
      </c>
      <c r="C223" s="601" t="s">
        <v>900</v>
      </c>
      <c r="D223" s="598" t="s">
        <v>7</v>
      </c>
      <c r="E223" s="600">
        <v>2</v>
      </c>
      <c r="F223" s="717">
        <v>0</v>
      </c>
      <c r="G223" s="717">
        <v>0</v>
      </c>
      <c r="H223" s="718" t="s">
        <v>34</v>
      </c>
      <c r="I223" s="719">
        <f t="shared" si="14"/>
        <v>0</v>
      </c>
      <c r="J223" s="30"/>
    </row>
    <row r="224" spans="1:10" s="12" customFormat="1" ht="30" x14ac:dyDescent="0.25">
      <c r="A224" s="597" t="s">
        <v>12</v>
      </c>
      <c r="B224" s="598">
        <v>70703</v>
      </c>
      <c r="C224" s="601" t="s">
        <v>901</v>
      </c>
      <c r="D224" s="598" t="s">
        <v>7</v>
      </c>
      <c r="E224" s="600">
        <v>1</v>
      </c>
      <c r="F224" s="717">
        <v>0</v>
      </c>
      <c r="G224" s="717">
        <v>0</v>
      </c>
      <c r="H224" s="718" t="s">
        <v>34</v>
      </c>
      <c r="I224" s="719">
        <f t="shared" si="14"/>
        <v>0</v>
      </c>
      <c r="J224" s="30"/>
    </row>
    <row r="225" spans="1:10" s="12" customFormat="1" x14ac:dyDescent="0.25">
      <c r="A225" s="597" t="s">
        <v>12</v>
      </c>
      <c r="B225" s="598">
        <v>70760</v>
      </c>
      <c r="C225" s="601" t="s">
        <v>902</v>
      </c>
      <c r="D225" s="598" t="s">
        <v>2</v>
      </c>
      <c r="E225" s="600">
        <v>2</v>
      </c>
      <c r="F225" s="717">
        <v>0</v>
      </c>
      <c r="G225" s="717">
        <v>0</v>
      </c>
      <c r="H225" s="718" t="s">
        <v>34</v>
      </c>
      <c r="I225" s="719">
        <f t="shared" si="14"/>
        <v>0</v>
      </c>
      <c r="J225" s="30"/>
    </row>
    <row r="226" spans="1:10" s="12" customFormat="1" x14ac:dyDescent="0.25">
      <c r="A226" s="597" t="s">
        <v>12</v>
      </c>
      <c r="B226" s="598">
        <v>71171</v>
      </c>
      <c r="C226" s="601" t="s">
        <v>903</v>
      </c>
      <c r="D226" s="598" t="s">
        <v>7</v>
      </c>
      <c r="E226" s="600">
        <v>2</v>
      </c>
      <c r="F226" s="717">
        <v>0</v>
      </c>
      <c r="G226" s="717">
        <v>0</v>
      </c>
      <c r="H226" s="718" t="s">
        <v>34</v>
      </c>
      <c r="I226" s="719">
        <f t="shared" si="14"/>
        <v>0</v>
      </c>
      <c r="J226" s="30"/>
    </row>
    <row r="227" spans="1:10" s="12" customFormat="1" x14ac:dyDescent="0.25">
      <c r="A227" s="597" t="s">
        <v>12</v>
      </c>
      <c r="B227" s="598">
        <v>71184</v>
      </c>
      <c r="C227" s="601" t="s">
        <v>516</v>
      </c>
      <c r="D227" s="598" t="s">
        <v>7</v>
      </c>
      <c r="E227" s="600">
        <v>2</v>
      </c>
      <c r="F227" s="717">
        <v>0</v>
      </c>
      <c r="G227" s="717">
        <v>0</v>
      </c>
      <c r="H227" s="718" t="s">
        <v>34</v>
      </c>
      <c r="I227" s="719">
        <f t="shared" si="14"/>
        <v>0</v>
      </c>
      <c r="J227" s="30"/>
    </row>
    <row r="228" spans="1:10" s="12" customFormat="1" ht="17.25" customHeight="1" x14ac:dyDescent="0.25">
      <c r="A228" s="597" t="s">
        <v>12</v>
      </c>
      <c r="B228" s="598">
        <v>71193</v>
      </c>
      <c r="C228" s="601" t="s">
        <v>904</v>
      </c>
      <c r="D228" s="598" t="s">
        <v>2</v>
      </c>
      <c r="E228" s="600">
        <v>65</v>
      </c>
      <c r="F228" s="717">
        <v>0</v>
      </c>
      <c r="G228" s="717">
        <v>0</v>
      </c>
      <c r="H228" s="718" t="s">
        <v>34</v>
      </c>
      <c r="I228" s="719">
        <f t="shared" si="14"/>
        <v>0</v>
      </c>
      <c r="J228" s="30"/>
    </row>
    <row r="229" spans="1:10" s="12" customFormat="1" x14ac:dyDescent="0.25">
      <c r="A229" s="597" t="s">
        <v>12</v>
      </c>
      <c r="B229" s="598">
        <v>71805</v>
      </c>
      <c r="C229" s="601" t="s">
        <v>905</v>
      </c>
      <c r="D229" s="598" t="s">
        <v>7</v>
      </c>
      <c r="E229" s="600">
        <v>1</v>
      </c>
      <c r="F229" s="717">
        <v>0</v>
      </c>
      <c r="G229" s="717">
        <v>0</v>
      </c>
      <c r="H229" s="718" t="s">
        <v>34</v>
      </c>
      <c r="I229" s="719">
        <f t="shared" si="14"/>
        <v>0</v>
      </c>
      <c r="J229" s="30"/>
    </row>
    <row r="230" spans="1:10" s="12" customFormat="1" x14ac:dyDescent="0.25">
      <c r="A230" s="597" t="s">
        <v>12</v>
      </c>
      <c r="B230" s="598">
        <v>71330</v>
      </c>
      <c r="C230" s="601" t="s">
        <v>906</v>
      </c>
      <c r="D230" s="598" t="s">
        <v>7</v>
      </c>
      <c r="E230" s="600">
        <v>4</v>
      </c>
      <c r="F230" s="717">
        <v>0</v>
      </c>
      <c r="G230" s="717">
        <v>0</v>
      </c>
      <c r="H230" s="718" t="s">
        <v>34</v>
      </c>
      <c r="I230" s="719">
        <f t="shared" si="14"/>
        <v>0</v>
      </c>
      <c r="J230" s="30"/>
    </row>
    <row r="231" spans="1:10" s="12" customFormat="1" ht="30" x14ac:dyDescent="0.25">
      <c r="A231" s="597" t="s">
        <v>12</v>
      </c>
      <c r="B231" s="598">
        <v>71625</v>
      </c>
      <c r="C231" s="601" t="s">
        <v>907</v>
      </c>
      <c r="D231" s="598" t="s">
        <v>7</v>
      </c>
      <c r="E231" s="600">
        <v>5</v>
      </c>
      <c r="F231" s="717">
        <v>0</v>
      </c>
      <c r="G231" s="717">
        <v>0</v>
      </c>
      <c r="H231" s="718" t="s">
        <v>34</v>
      </c>
      <c r="I231" s="719">
        <f t="shared" si="14"/>
        <v>0</v>
      </c>
      <c r="J231" s="30"/>
    </row>
    <row r="232" spans="1:10" s="12" customFormat="1" x14ac:dyDescent="0.25">
      <c r="A232" s="597" t="s">
        <v>12</v>
      </c>
      <c r="B232" s="598">
        <v>71591</v>
      </c>
      <c r="C232" s="601" t="s">
        <v>908</v>
      </c>
      <c r="D232" s="598" t="s">
        <v>7</v>
      </c>
      <c r="E232" s="600">
        <v>10</v>
      </c>
      <c r="F232" s="717">
        <v>0</v>
      </c>
      <c r="G232" s="717">
        <v>0</v>
      </c>
      <c r="H232" s="718" t="s">
        <v>34</v>
      </c>
      <c r="I232" s="719">
        <f t="shared" si="14"/>
        <v>0</v>
      </c>
      <c r="J232" s="30"/>
    </row>
    <row r="233" spans="1:10" s="12" customFormat="1" x14ac:dyDescent="0.25">
      <c r="A233" s="597" t="s">
        <v>12</v>
      </c>
      <c r="B233" s="598">
        <v>72170</v>
      </c>
      <c r="C233" s="601" t="s">
        <v>909</v>
      </c>
      <c r="D233" s="598" t="s">
        <v>7</v>
      </c>
      <c r="E233" s="600">
        <v>1</v>
      </c>
      <c r="F233" s="717">
        <v>0</v>
      </c>
      <c r="G233" s="717">
        <v>0</v>
      </c>
      <c r="H233" s="718" t="s">
        <v>34</v>
      </c>
      <c r="I233" s="719">
        <f t="shared" si="14"/>
        <v>0</v>
      </c>
      <c r="J233" s="30"/>
    </row>
    <row r="234" spans="1:10" s="12" customFormat="1" x14ac:dyDescent="0.25">
      <c r="A234" s="597" t="s">
        <v>12</v>
      </c>
      <c r="B234" s="598">
        <v>72320</v>
      </c>
      <c r="C234" s="601" t="s">
        <v>910</v>
      </c>
      <c r="D234" s="598" t="s">
        <v>7</v>
      </c>
      <c r="E234" s="600">
        <v>1</v>
      </c>
      <c r="F234" s="717">
        <v>0</v>
      </c>
      <c r="G234" s="717">
        <v>0</v>
      </c>
      <c r="H234" s="718" t="s">
        <v>34</v>
      </c>
      <c r="I234" s="719">
        <f t="shared" si="14"/>
        <v>0</v>
      </c>
      <c r="J234" s="30"/>
    </row>
    <row r="235" spans="1:10" s="12" customFormat="1" x14ac:dyDescent="0.25">
      <c r="A235" s="597" t="s">
        <v>12</v>
      </c>
      <c r="B235" s="598">
        <v>60206</v>
      </c>
      <c r="C235" s="601" t="s">
        <v>911</v>
      </c>
      <c r="D235" s="598" t="s">
        <v>96</v>
      </c>
      <c r="E235" s="600">
        <v>6.25</v>
      </c>
      <c r="F235" s="717">
        <v>0</v>
      </c>
      <c r="G235" s="717">
        <v>0</v>
      </c>
      <c r="H235" s="718" t="s">
        <v>34</v>
      </c>
      <c r="I235" s="719">
        <f t="shared" si="14"/>
        <v>0</v>
      </c>
      <c r="J235" s="30"/>
    </row>
    <row r="236" spans="1:10" s="12" customFormat="1" x14ac:dyDescent="0.25">
      <c r="A236" s="597" t="s">
        <v>12</v>
      </c>
      <c r="B236" s="598">
        <v>130152</v>
      </c>
      <c r="C236" s="601" t="s">
        <v>912</v>
      </c>
      <c r="D236" s="598" t="s">
        <v>96</v>
      </c>
      <c r="E236" s="600">
        <v>13.2</v>
      </c>
      <c r="F236" s="717">
        <v>0</v>
      </c>
      <c r="G236" s="717">
        <v>0</v>
      </c>
      <c r="H236" s="718" t="s">
        <v>34</v>
      </c>
      <c r="I236" s="719">
        <f t="shared" si="14"/>
        <v>0</v>
      </c>
      <c r="J236" s="30"/>
    </row>
    <row r="237" spans="1:10" s="12" customFormat="1" x14ac:dyDescent="0.25">
      <c r="A237" s="597" t="s">
        <v>12</v>
      </c>
      <c r="B237" s="598">
        <v>180511</v>
      </c>
      <c r="C237" s="601" t="s">
        <v>913</v>
      </c>
      <c r="D237" s="598" t="s">
        <v>96</v>
      </c>
      <c r="E237" s="600">
        <f>CÁLCULO!H767</f>
        <v>0.16000000000000003</v>
      </c>
      <c r="F237" s="717">
        <v>0</v>
      </c>
      <c r="G237" s="717">
        <v>0</v>
      </c>
      <c r="H237" s="718" t="s">
        <v>34</v>
      </c>
      <c r="I237" s="719">
        <f t="shared" si="14"/>
        <v>0</v>
      </c>
      <c r="J237" s="30"/>
    </row>
    <row r="238" spans="1:10" s="12" customFormat="1" x14ac:dyDescent="0.25">
      <c r="A238" s="857" t="s">
        <v>39</v>
      </c>
      <c r="B238" s="858"/>
      <c r="C238" s="601" t="s">
        <v>914</v>
      </c>
      <c r="D238" s="598" t="s">
        <v>7</v>
      </c>
      <c r="E238" s="600">
        <v>1</v>
      </c>
      <c r="F238" s="859">
        <v>0</v>
      </c>
      <c r="G238" s="860"/>
      <c r="H238" s="718" t="s">
        <v>34</v>
      </c>
      <c r="I238" s="719">
        <f t="shared" si="14"/>
        <v>0</v>
      </c>
      <c r="J238" s="30"/>
    </row>
    <row r="239" spans="1:10" s="12" customFormat="1" x14ac:dyDescent="0.25">
      <c r="A239" s="597" t="s">
        <v>12</v>
      </c>
      <c r="B239" s="598">
        <v>201202</v>
      </c>
      <c r="C239" s="601" t="s">
        <v>915</v>
      </c>
      <c r="D239" s="598" t="s">
        <v>96</v>
      </c>
      <c r="E239" s="600">
        <v>13.2</v>
      </c>
      <c r="F239" s="717">
        <v>0</v>
      </c>
      <c r="G239" s="717">
        <v>0</v>
      </c>
      <c r="H239" s="718" t="s">
        <v>34</v>
      </c>
      <c r="I239" s="719">
        <f t="shared" si="14"/>
        <v>0</v>
      </c>
      <c r="J239" s="30"/>
    </row>
    <row r="240" spans="1:10" s="12" customFormat="1" ht="30" x14ac:dyDescent="0.25">
      <c r="A240" s="597" t="s">
        <v>12</v>
      </c>
      <c r="B240" s="598">
        <v>220101</v>
      </c>
      <c r="C240" s="601" t="s">
        <v>916</v>
      </c>
      <c r="D240" s="598" t="s">
        <v>96</v>
      </c>
      <c r="E240" s="600">
        <v>6.25</v>
      </c>
      <c r="F240" s="717">
        <v>0</v>
      </c>
      <c r="G240" s="717">
        <v>0</v>
      </c>
      <c r="H240" s="718" t="s">
        <v>34</v>
      </c>
      <c r="I240" s="719">
        <f t="shared" si="14"/>
        <v>0</v>
      </c>
      <c r="J240" s="30"/>
    </row>
    <row r="241" spans="1:10" s="12" customFormat="1" x14ac:dyDescent="0.25">
      <c r="A241" s="597" t="s">
        <v>12</v>
      </c>
      <c r="B241" s="598">
        <v>220104</v>
      </c>
      <c r="C241" s="601" t="s">
        <v>917</v>
      </c>
      <c r="D241" s="598" t="s">
        <v>96</v>
      </c>
      <c r="E241" s="600">
        <v>6.25</v>
      </c>
      <c r="F241" s="717">
        <v>0</v>
      </c>
      <c r="G241" s="717">
        <v>0</v>
      </c>
      <c r="H241" s="718" t="s">
        <v>34</v>
      </c>
      <c r="I241" s="719">
        <f t="shared" si="14"/>
        <v>0</v>
      </c>
      <c r="J241" s="30"/>
    </row>
    <row r="242" spans="1:10" s="12" customFormat="1" x14ac:dyDescent="0.25">
      <c r="A242" s="602" t="s">
        <v>12</v>
      </c>
      <c r="B242" s="603">
        <v>230106</v>
      </c>
      <c r="C242" s="604" t="s">
        <v>918</v>
      </c>
      <c r="D242" s="603" t="s">
        <v>96</v>
      </c>
      <c r="E242" s="605">
        <v>1</v>
      </c>
      <c r="F242" s="717">
        <v>0</v>
      </c>
      <c r="G242" s="717">
        <v>0</v>
      </c>
      <c r="H242" s="718" t="s">
        <v>34</v>
      </c>
      <c r="I242" s="719">
        <f t="shared" si="14"/>
        <v>0</v>
      </c>
      <c r="J242" s="30"/>
    </row>
    <row r="243" spans="1:10" s="12" customFormat="1" x14ac:dyDescent="0.25">
      <c r="A243" s="602" t="s">
        <v>12</v>
      </c>
      <c r="B243" s="603">
        <v>230803</v>
      </c>
      <c r="C243" s="604" t="s">
        <v>919</v>
      </c>
      <c r="D243" s="603" t="s">
        <v>7</v>
      </c>
      <c r="E243" s="605">
        <v>1</v>
      </c>
      <c r="F243" s="717">
        <v>0</v>
      </c>
      <c r="G243" s="717">
        <v>0</v>
      </c>
      <c r="H243" s="718" t="s">
        <v>34</v>
      </c>
      <c r="I243" s="719">
        <f t="shared" si="14"/>
        <v>0</v>
      </c>
      <c r="J243" s="30"/>
    </row>
    <row r="244" spans="1:10" s="12" customFormat="1" x14ac:dyDescent="0.25">
      <c r="A244" s="602" t="s">
        <v>12</v>
      </c>
      <c r="B244" s="598">
        <v>270232</v>
      </c>
      <c r="C244" s="601" t="s">
        <v>920</v>
      </c>
      <c r="D244" s="598" t="s">
        <v>96</v>
      </c>
      <c r="E244" s="600">
        <f>CÁLCULO!H781</f>
        <v>124.11</v>
      </c>
      <c r="F244" s="717">
        <v>0</v>
      </c>
      <c r="G244" s="717">
        <v>0</v>
      </c>
      <c r="H244" s="718" t="s">
        <v>34</v>
      </c>
      <c r="I244" s="719">
        <f t="shared" si="14"/>
        <v>0</v>
      </c>
      <c r="J244" s="30"/>
    </row>
    <row r="245" spans="1:10" s="12" customFormat="1" ht="30" x14ac:dyDescent="0.25">
      <c r="A245" s="602" t="s">
        <v>12</v>
      </c>
      <c r="B245" s="598">
        <v>271037</v>
      </c>
      <c r="C245" s="601" t="s">
        <v>1008</v>
      </c>
      <c r="D245" s="598" t="s">
        <v>2</v>
      </c>
      <c r="E245" s="600">
        <f>CÁLCULO!H783</f>
        <v>12</v>
      </c>
      <c r="F245" s="717">
        <v>0</v>
      </c>
      <c r="G245" s="717">
        <v>0</v>
      </c>
      <c r="H245" s="718" t="s">
        <v>34</v>
      </c>
      <c r="I245" s="719">
        <f t="shared" si="14"/>
        <v>0</v>
      </c>
      <c r="J245" s="30"/>
    </row>
    <row r="246" spans="1:10" s="12" customFormat="1" ht="15.75" thickBot="1" x14ac:dyDescent="0.3">
      <c r="A246" s="821" t="s">
        <v>933</v>
      </c>
      <c r="B246" s="822"/>
      <c r="C246" s="822"/>
      <c r="D246" s="822"/>
      <c r="E246" s="822"/>
      <c r="F246" s="822"/>
      <c r="G246" s="822"/>
      <c r="H246" s="823"/>
      <c r="I246" s="720">
        <f>ROUNDUP(SUM(I215:I245),2)</f>
        <v>0</v>
      </c>
      <c r="J246" s="30"/>
    </row>
    <row r="247" spans="1:10" s="12" customFormat="1" ht="15.75" thickBot="1" x14ac:dyDescent="0.3">
      <c r="A247" s="18"/>
      <c r="B247" s="41"/>
      <c r="C247" s="413"/>
      <c r="D247" s="413"/>
      <c r="E247" s="352"/>
      <c r="F247" s="413"/>
      <c r="G247" s="37"/>
      <c r="H247" s="517"/>
      <c r="I247" s="38"/>
      <c r="J247" s="30"/>
    </row>
    <row r="248" spans="1:10" x14ac:dyDescent="0.25">
      <c r="A248" s="832" t="s">
        <v>47</v>
      </c>
      <c r="B248" s="833"/>
      <c r="C248" s="833"/>
      <c r="D248" s="833"/>
      <c r="E248" s="833"/>
      <c r="F248" s="833"/>
      <c r="G248" s="833"/>
      <c r="H248" s="833"/>
      <c r="I248" s="834"/>
    </row>
    <row r="249" spans="1:10" s="12" customFormat="1" x14ac:dyDescent="0.25">
      <c r="A249" s="835" t="s">
        <v>706</v>
      </c>
      <c r="B249" s="836"/>
      <c r="C249" s="836"/>
      <c r="D249" s="836"/>
      <c r="E249" s="836"/>
      <c r="F249" s="836"/>
      <c r="G249" s="836"/>
      <c r="H249" s="836"/>
      <c r="I249" s="837"/>
      <c r="J249" s="30"/>
    </row>
    <row r="250" spans="1:10" s="12" customFormat="1" x14ac:dyDescent="0.25">
      <c r="A250" s="838" t="s">
        <v>707</v>
      </c>
      <c r="B250" s="839"/>
      <c r="C250" s="839"/>
      <c r="D250" s="839"/>
      <c r="E250" s="839"/>
      <c r="F250" s="839"/>
      <c r="G250" s="839"/>
      <c r="H250" s="839"/>
      <c r="I250" s="840"/>
      <c r="J250" s="30"/>
    </row>
    <row r="251" spans="1:10" s="12" customFormat="1" x14ac:dyDescent="0.25">
      <c r="A251" s="489"/>
      <c r="B251" s="490"/>
      <c r="C251" s="494"/>
      <c r="D251" s="494"/>
      <c r="E251" s="494"/>
      <c r="F251" s="494"/>
      <c r="G251" s="494"/>
      <c r="H251" s="521"/>
      <c r="I251" s="495"/>
      <c r="J251" s="30"/>
    </row>
    <row r="252" spans="1:10" s="12" customFormat="1" x14ac:dyDescent="0.25">
      <c r="A252" s="491"/>
      <c r="B252" s="490"/>
      <c r="C252" s="827"/>
      <c r="D252" s="827"/>
      <c r="E252" s="827"/>
      <c r="F252" s="827"/>
      <c r="G252" s="827"/>
      <c r="H252" s="827"/>
      <c r="I252" s="828"/>
      <c r="J252" s="30"/>
    </row>
    <row r="253" spans="1:10" s="12" customFormat="1" x14ac:dyDescent="0.25">
      <c r="A253" s="824" t="s">
        <v>708</v>
      </c>
      <c r="B253" s="825"/>
      <c r="C253" s="825"/>
      <c r="D253" s="825"/>
      <c r="E253" s="825"/>
      <c r="F253" s="825"/>
      <c r="G253" s="825"/>
      <c r="H253" s="825"/>
      <c r="I253" s="826"/>
      <c r="J253" s="30"/>
    </row>
    <row r="254" spans="1:10" s="12" customFormat="1" x14ac:dyDescent="0.25">
      <c r="A254" s="829"/>
      <c r="B254" s="830"/>
      <c r="C254" s="830"/>
      <c r="D254" s="830"/>
      <c r="E254" s="830"/>
      <c r="F254" s="830"/>
      <c r="G254" s="830"/>
      <c r="H254" s="830"/>
      <c r="I254" s="831"/>
      <c r="J254" s="30"/>
    </row>
    <row r="255" spans="1:10" s="12" customFormat="1" x14ac:dyDescent="0.25">
      <c r="A255" s="496" t="s">
        <v>187</v>
      </c>
      <c r="B255" s="492" t="s">
        <v>13</v>
      </c>
      <c r="C255" s="492" t="s">
        <v>700</v>
      </c>
      <c r="D255" s="492" t="s">
        <v>709</v>
      </c>
      <c r="E255" s="492" t="s">
        <v>710</v>
      </c>
      <c r="F255" s="492" t="s">
        <v>711</v>
      </c>
      <c r="G255" s="492" t="s">
        <v>1029</v>
      </c>
      <c r="H255" s="544" t="s">
        <v>712</v>
      </c>
      <c r="I255" s="544" t="s">
        <v>11</v>
      </c>
      <c r="J255" s="30"/>
    </row>
    <row r="256" spans="1:10" s="12" customFormat="1" x14ac:dyDescent="0.25">
      <c r="A256" s="497">
        <v>43617</v>
      </c>
      <c r="B256" s="76">
        <v>40480</v>
      </c>
      <c r="C256" s="493" t="s">
        <v>701</v>
      </c>
      <c r="D256" s="721">
        <v>0</v>
      </c>
      <c r="E256" s="76" t="s">
        <v>702</v>
      </c>
      <c r="F256" s="726">
        <f>D256*1000</f>
        <v>0</v>
      </c>
      <c r="G256" s="723">
        <f>F256*0.17</f>
        <v>0</v>
      </c>
      <c r="H256" s="725">
        <f>F256*0.1709</f>
        <v>0</v>
      </c>
      <c r="I256" s="725">
        <f>F256+G256+H256</f>
        <v>0</v>
      </c>
      <c r="J256" s="30"/>
    </row>
    <row r="257" spans="1:10" s="12" customFormat="1" x14ac:dyDescent="0.25">
      <c r="A257" s="497">
        <v>43617</v>
      </c>
      <c r="B257" s="76">
        <v>40520</v>
      </c>
      <c r="C257" s="493" t="s">
        <v>703</v>
      </c>
      <c r="D257" s="721">
        <v>0</v>
      </c>
      <c r="E257" s="76" t="s">
        <v>702</v>
      </c>
      <c r="F257" s="726">
        <f t="shared" ref="F257:F259" si="15">D257*1000</f>
        <v>0</v>
      </c>
      <c r="G257" s="723">
        <f t="shared" ref="G257:G259" si="16">F257*0.17</f>
        <v>0</v>
      </c>
      <c r="H257" s="725">
        <f t="shared" ref="H257:H259" si="17">F257*0.1709</f>
        <v>0</v>
      </c>
      <c r="I257" s="725">
        <f t="shared" ref="I257:I259" si="18">F257+G257+H257</f>
        <v>0</v>
      </c>
      <c r="J257" s="30"/>
    </row>
    <row r="258" spans="1:10" x14ac:dyDescent="0.25">
      <c r="A258" s="497">
        <v>43617</v>
      </c>
      <c r="B258" s="76">
        <v>40500</v>
      </c>
      <c r="C258" s="493" t="s">
        <v>704</v>
      </c>
      <c r="D258" s="721">
        <v>0</v>
      </c>
      <c r="E258" s="76" t="s">
        <v>702</v>
      </c>
      <c r="F258" s="726">
        <f t="shared" si="15"/>
        <v>0</v>
      </c>
      <c r="G258" s="723">
        <f t="shared" si="16"/>
        <v>0</v>
      </c>
      <c r="H258" s="725">
        <f t="shared" si="17"/>
        <v>0</v>
      </c>
      <c r="I258" s="725">
        <f t="shared" si="18"/>
        <v>0</v>
      </c>
    </row>
    <row r="259" spans="1:10" ht="15.75" thickBot="1" x14ac:dyDescent="0.3">
      <c r="A259" s="498">
        <v>43617</v>
      </c>
      <c r="B259" s="499">
        <v>40490</v>
      </c>
      <c r="C259" s="500" t="s">
        <v>705</v>
      </c>
      <c r="D259" s="722">
        <v>0</v>
      </c>
      <c r="E259" s="499" t="s">
        <v>702</v>
      </c>
      <c r="F259" s="727">
        <f t="shared" si="15"/>
        <v>0</v>
      </c>
      <c r="G259" s="724">
        <f t="shared" si="16"/>
        <v>0</v>
      </c>
      <c r="H259" s="725">
        <f t="shared" si="17"/>
        <v>0</v>
      </c>
      <c r="I259" s="725">
        <f t="shared" si="18"/>
        <v>0</v>
      </c>
    </row>
    <row r="260" spans="1:10" x14ac:dyDescent="0.25">
      <c r="A260" s="32"/>
      <c r="B260" s="33"/>
      <c r="C260" s="33"/>
      <c r="D260" s="17"/>
      <c r="E260" s="33"/>
      <c r="F260" s="356"/>
      <c r="G260" s="43"/>
      <c r="H260" s="516"/>
      <c r="I260" s="360"/>
    </row>
    <row r="261" spans="1:10" x14ac:dyDescent="0.25">
      <c r="A261" s="34"/>
      <c r="B261" s="15"/>
      <c r="C261" s="15"/>
      <c r="D261" s="10"/>
      <c r="E261" s="15"/>
      <c r="F261" s="112"/>
      <c r="G261" s="37"/>
      <c r="H261" s="517"/>
      <c r="I261" s="361"/>
    </row>
    <row r="262" spans="1:10" x14ac:dyDescent="0.25">
      <c r="A262" s="34"/>
      <c r="B262" s="15"/>
      <c r="C262" s="15"/>
      <c r="D262" s="10"/>
      <c r="E262" s="15"/>
      <c r="F262" s="112"/>
      <c r="G262" s="37"/>
      <c r="H262" s="517"/>
      <c r="I262" s="361"/>
    </row>
    <row r="263" spans="1:10" x14ac:dyDescent="0.25">
      <c r="A263" s="34"/>
      <c r="B263" s="15"/>
      <c r="C263" s="15"/>
      <c r="D263" s="10"/>
      <c r="E263" s="15"/>
      <c r="F263" s="112"/>
      <c r="G263" s="37"/>
      <c r="H263" s="517"/>
      <c r="I263" s="361"/>
    </row>
    <row r="264" spans="1:10" x14ac:dyDescent="0.25">
      <c r="A264" s="34"/>
      <c r="B264" s="15"/>
      <c r="C264" s="37" t="s">
        <v>72</v>
      </c>
      <c r="D264" s="10"/>
      <c r="E264" s="15"/>
      <c r="F264" s="37" t="s">
        <v>72</v>
      </c>
      <c r="G264" s="37"/>
      <c r="H264" s="517"/>
      <c r="I264" s="361"/>
    </row>
    <row r="265" spans="1:10" x14ac:dyDescent="0.25">
      <c r="A265" s="34"/>
      <c r="B265" s="15"/>
      <c r="C265" s="485" t="s">
        <v>23</v>
      </c>
      <c r="D265" s="10"/>
      <c r="E265" s="15"/>
      <c r="F265" s="485" t="s">
        <v>464</v>
      </c>
      <c r="G265" s="37"/>
      <c r="H265" s="517"/>
      <c r="I265" s="361"/>
    </row>
    <row r="266" spans="1:10" x14ac:dyDescent="0.25">
      <c r="A266" s="34"/>
      <c r="B266" s="15"/>
      <c r="C266" s="485" t="s">
        <v>24</v>
      </c>
      <c r="D266" s="10"/>
      <c r="E266" s="15"/>
      <c r="F266" s="485" t="s">
        <v>25</v>
      </c>
      <c r="G266" s="37"/>
      <c r="H266" s="517"/>
      <c r="I266" s="361"/>
    </row>
    <row r="267" spans="1:10" x14ac:dyDescent="0.25">
      <c r="A267" s="34"/>
      <c r="B267" s="15"/>
      <c r="C267" s="485" t="s">
        <v>469</v>
      </c>
      <c r="D267" s="10"/>
      <c r="E267" s="15"/>
      <c r="F267" s="485" t="s">
        <v>465</v>
      </c>
      <c r="G267" s="37"/>
      <c r="H267" s="517"/>
      <c r="I267" s="361"/>
    </row>
    <row r="268" spans="1:10" x14ac:dyDescent="0.25">
      <c r="A268" s="34"/>
      <c r="B268" s="15"/>
      <c r="C268" s="15"/>
      <c r="D268" s="10"/>
      <c r="E268" s="15"/>
      <c r="F268" s="112"/>
      <c r="G268" s="37"/>
      <c r="H268" s="517"/>
      <c r="I268" s="361"/>
    </row>
    <row r="269" spans="1:10" x14ac:dyDescent="0.25">
      <c r="A269" s="34"/>
      <c r="B269" s="15"/>
      <c r="C269" s="37" t="s">
        <v>72</v>
      </c>
      <c r="D269" s="10"/>
      <c r="E269" s="15"/>
      <c r="F269" s="37" t="s">
        <v>72</v>
      </c>
      <c r="G269" s="37"/>
      <c r="H269" s="517"/>
      <c r="I269" s="361"/>
    </row>
    <row r="270" spans="1:10" x14ac:dyDescent="0.25">
      <c r="A270" s="34"/>
      <c r="B270" s="15"/>
      <c r="C270" s="485" t="s">
        <v>466</v>
      </c>
      <c r="D270" s="10"/>
      <c r="E270" s="488"/>
      <c r="F270" s="485" t="s">
        <v>502</v>
      </c>
      <c r="G270" s="37"/>
      <c r="H270" s="517"/>
      <c r="I270" s="361"/>
    </row>
    <row r="271" spans="1:10" x14ac:dyDescent="0.25">
      <c r="A271" s="34"/>
      <c r="B271" s="15"/>
      <c r="C271" s="485" t="s">
        <v>25</v>
      </c>
      <c r="D271" s="10"/>
      <c r="E271" s="15"/>
      <c r="F271" s="485" t="s">
        <v>504</v>
      </c>
      <c r="G271" s="37"/>
      <c r="H271" s="517"/>
      <c r="I271" s="361"/>
    </row>
    <row r="272" spans="1:10" x14ac:dyDescent="0.25">
      <c r="A272" s="40"/>
      <c r="B272" s="10"/>
      <c r="C272" s="485" t="s">
        <v>468</v>
      </c>
      <c r="D272" s="41"/>
      <c r="E272" s="352"/>
      <c r="F272" s="485" t="s">
        <v>467</v>
      </c>
      <c r="G272" s="37"/>
      <c r="H272" s="517"/>
      <c r="I272" s="361"/>
    </row>
    <row r="273" spans="1:9" x14ac:dyDescent="0.25">
      <c r="A273" s="18"/>
      <c r="B273" s="41"/>
      <c r="C273" s="485"/>
      <c r="D273" s="485"/>
      <c r="E273" s="352"/>
      <c r="F273" s="485"/>
      <c r="G273" s="37"/>
      <c r="H273" s="517"/>
      <c r="I273" s="361"/>
    </row>
    <row r="274" spans="1:9" x14ac:dyDescent="0.25">
      <c r="A274" s="18"/>
      <c r="B274" s="41"/>
      <c r="C274" s="485"/>
      <c r="D274" s="485"/>
      <c r="E274" s="352"/>
      <c r="F274" s="485"/>
      <c r="G274" s="37"/>
      <c r="H274" s="517"/>
      <c r="I274" s="361"/>
    </row>
    <row r="275" spans="1:9" ht="15.75" thickBot="1" x14ac:dyDescent="0.3">
      <c r="A275" s="45"/>
      <c r="B275" s="42"/>
      <c r="C275" s="68"/>
      <c r="D275" s="68"/>
      <c r="E275" s="353"/>
      <c r="F275" s="68"/>
      <c r="G275" s="357"/>
      <c r="H275" s="518"/>
      <c r="I275" s="362"/>
    </row>
  </sheetData>
  <sheetProtection sheet="1" objects="1" scenarios="1" selectLockedCells="1"/>
  <mergeCells count="107">
    <mergeCell ref="A148:H148"/>
    <mergeCell ref="A135:H135"/>
    <mergeCell ref="A123:H123"/>
    <mergeCell ref="F110:G110"/>
    <mergeCell ref="F112:G112"/>
    <mergeCell ref="F199:G199"/>
    <mergeCell ref="F200:G200"/>
    <mergeCell ref="F201:G201"/>
    <mergeCell ref="A173:I173"/>
    <mergeCell ref="A190:H190"/>
    <mergeCell ref="A127:I127"/>
    <mergeCell ref="A139:I139"/>
    <mergeCell ref="B128:I128"/>
    <mergeCell ref="B140:I140"/>
    <mergeCell ref="F130:G130"/>
    <mergeCell ref="A194:I194"/>
    <mergeCell ref="B174:I174"/>
    <mergeCell ref="F178:G178"/>
    <mergeCell ref="F129:G129"/>
    <mergeCell ref="A124:I124"/>
    <mergeCell ref="B125:I125"/>
    <mergeCell ref="A149:I149"/>
    <mergeCell ref="B150:I150"/>
    <mergeCell ref="A152:I152"/>
    <mergeCell ref="A20:I20"/>
    <mergeCell ref="B39:I39"/>
    <mergeCell ref="F50:G50"/>
    <mergeCell ref="F51:G51"/>
    <mergeCell ref="F41:G41"/>
    <mergeCell ref="F44:G44"/>
    <mergeCell ref="F45:G45"/>
    <mergeCell ref="F46:G46"/>
    <mergeCell ref="F47:G47"/>
    <mergeCell ref="F48:G48"/>
    <mergeCell ref="F49:G49"/>
    <mergeCell ref="F38:G38"/>
    <mergeCell ref="A25:I25"/>
    <mergeCell ref="A30:I30"/>
    <mergeCell ref="A36:H36"/>
    <mergeCell ref="A37:H37"/>
    <mergeCell ref="F42:G42"/>
    <mergeCell ref="A1:I1"/>
    <mergeCell ref="A2:I2"/>
    <mergeCell ref="A3:I3"/>
    <mergeCell ref="A4:I4"/>
    <mergeCell ref="A5:I5"/>
    <mergeCell ref="A7:I7"/>
    <mergeCell ref="F179:G179"/>
    <mergeCell ref="F180:G180"/>
    <mergeCell ref="F177:G177"/>
    <mergeCell ref="A170:I170"/>
    <mergeCell ref="B171:I171"/>
    <mergeCell ref="A67:H67"/>
    <mergeCell ref="A71:H71"/>
    <mergeCell ref="A78:H78"/>
    <mergeCell ref="A87:H87"/>
    <mergeCell ref="A136:I136"/>
    <mergeCell ref="B137:I137"/>
    <mergeCell ref="F122:G122"/>
    <mergeCell ref="F131:G131"/>
    <mergeCell ref="F146:G146"/>
    <mergeCell ref="F144:G144"/>
    <mergeCell ref="A24:H24"/>
    <mergeCell ref="A29:H29"/>
    <mergeCell ref="A19:H19"/>
    <mergeCell ref="B57:I57"/>
    <mergeCell ref="A58:I58"/>
    <mergeCell ref="F43:G43"/>
    <mergeCell ref="A68:I68"/>
    <mergeCell ref="A72:I72"/>
    <mergeCell ref="A79:I79"/>
    <mergeCell ref="B117:I117"/>
    <mergeCell ref="A119:I119"/>
    <mergeCell ref="B120:I120"/>
    <mergeCell ref="F52:G52"/>
    <mergeCell ref="F53:G53"/>
    <mergeCell ref="A55:H55"/>
    <mergeCell ref="A91:H91"/>
    <mergeCell ref="A98:H98"/>
    <mergeCell ref="A88:I88"/>
    <mergeCell ref="A92:I92"/>
    <mergeCell ref="A99:H99"/>
    <mergeCell ref="A114:H114"/>
    <mergeCell ref="B102:I102"/>
    <mergeCell ref="B104:I104"/>
    <mergeCell ref="F113:G113"/>
    <mergeCell ref="A246:H246"/>
    <mergeCell ref="A253:I253"/>
    <mergeCell ref="C252:I252"/>
    <mergeCell ref="A254:I254"/>
    <mergeCell ref="A248:I248"/>
    <mergeCell ref="A249:I249"/>
    <mergeCell ref="A250:I250"/>
    <mergeCell ref="B153:I153"/>
    <mergeCell ref="F158:G158"/>
    <mergeCell ref="F159:G159"/>
    <mergeCell ref="F157:G157"/>
    <mergeCell ref="A169:H169"/>
    <mergeCell ref="B195:I195"/>
    <mergeCell ref="F198:G198"/>
    <mergeCell ref="F156:G156"/>
    <mergeCell ref="B192:I192"/>
    <mergeCell ref="B213:I213"/>
    <mergeCell ref="A238:B238"/>
    <mergeCell ref="F238:G238"/>
    <mergeCell ref="A211:H211"/>
    <mergeCell ref="A191:I191"/>
  </mergeCells>
  <printOptions horizontalCentered="1"/>
  <pageMargins left="0.51181102362204722" right="0.51181102362204722" top="0.39370078740157483" bottom="0.39370078740157483" header="0.31496062992125984" footer="0.31496062992125984"/>
  <pageSetup paperSize="9" scale="10" orientation="landscape" r:id="rId1"/>
  <drawing r:id="rId2"/>
  <legacyDrawing r:id="rId3"/>
  <oleObjects>
    <mc:AlternateContent xmlns:mc="http://schemas.openxmlformats.org/markup-compatibility/2006">
      <mc:Choice Requires="x14">
        <oleObject shapeId="3073" r:id="rId4">
          <objectPr defaultSize="0" autoPict="0" r:id="rId5">
            <anchor moveWithCells="1" sizeWithCells="1">
              <from>
                <xdr:col>0</xdr:col>
                <xdr:colOff>180975</xdr:colOff>
                <xdr:row>248</xdr:row>
                <xdr:rowOff>9525</xdr:rowOff>
              </from>
              <to>
                <xdr:col>0</xdr:col>
                <xdr:colOff>714375</xdr:colOff>
                <xdr:row>252</xdr:row>
                <xdr:rowOff>76200</xdr:rowOff>
              </to>
            </anchor>
          </objectPr>
        </oleObject>
      </mc:Choice>
      <mc:Fallback>
        <oleObject shapeId="3073"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1"/>
  <sheetViews>
    <sheetView zoomScale="60" zoomScaleNormal="60" workbookViewId="0">
      <selection activeCell="A5" sqref="A1:R5"/>
    </sheetView>
  </sheetViews>
  <sheetFormatPr defaultRowHeight="15" x14ac:dyDescent="0.25"/>
  <cols>
    <col min="1" max="1" width="4.85546875" style="330" customWidth="1"/>
    <col min="2" max="2" width="60.7109375" style="1" customWidth="1"/>
    <col min="3" max="3" width="19.85546875" style="13" customWidth="1"/>
    <col min="4" max="4" width="12" style="13" customWidth="1"/>
    <col min="5" max="5" width="14.7109375" style="13" customWidth="1"/>
    <col min="6" max="7" width="13.42578125" style="13" bestFit="1" customWidth="1"/>
    <col min="8" max="9" width="13.7109375" style="13" bestFit="1" customWidth="1"/>
    <col min="10" max="13" width="13.42578125" style="13" bestFit="1" customWidth="1"/>
    <col min="14" max="14" width="14.42578125" style="13" bestFit="1" customWidth="1"/>
    <col min="15" max="15" width="11.85546875" style="1" bestFit="1" customWidth="1"/>
    <col min="16" max="16" width="15" style="1" bestFit="1" customWidth="1"/>
    <col min="17" max="17" width="17.28515625" style="2" customWidth="1"/>
    <col min="18" max="18" width="12.28515625" style="8" bestFit="1" customWidth="1"/>
  </cols>
  <sheetData>
    <row r="1" spans="1:22" x14ac:dyDescent="0.25">
      <c r="A1" s="920" t="s">
        <v>3</v>
      </c>
      <c r="B1" s="921"/>
      <c r="C1" s="921"/>
      <c r="D1" s="921"/>
      <c r="E1" s="921"/>
      <c r="F1" s="921"/>
      <c r="G1" s="921"/>
      <c r="H1" s="921"/>
      <c r="I1" s="921"/>
      <c r="J1" s="921"/>
      <c r="K1" s="921"/>
      <c r="L1" s="921"/>
      <c r="M1" s="921"/>
      <c r="N1" s="921"/>
      <c r="O1" s="921"/>
      <c r="P1" s="921"/>
      <c r="Q1" s="921"/>
      <c r="R1" s="922"/>
    </row>
    <row r="2" spans="1:22" x14ac:dyDescent="0.25">
      <c r="A2" s="923" t="s">
        <v>4</v>
      </c>
      <c r="B2" s="924"/>
      <c r="C2" s="924"/>
      <c r="D2" s="924"/>
      <c r="E2" s="924"/>
      <c r="F2" s="924"/>
      <c r="G2" s="924"/>
      <c r="H2" s="924"/>
      <c r="I2" s="924"/>
      <c r="J2" s="924"/>
      <c r="K2" s="924"/>
      <c r="L2" s="924"/>
      <c r="M2" s="924"/>
      <c r="N2" s="924"/>
      <c r="O2" s="924"/>
      <c r="P2" s="924"/>
      <c r="Q2" s="924"/>
      <c r="R2" s="925"/>
    </row>
    <row r="3" spans="1:22" x14ac:dyDescent="0.25">
      <c r="A3" s="923" t="s">
        <v>73</v>
      </c>
      <c r="B3" s="924"/>
      <c r="C3" s="924"/>
      <c r="D3" s="924"/>
      <c r="E3" s="924"/>
      <c r="F3" s="924"/>
      <c r="G3" s="924"/>
      <c r="H3" s="924"/>
      <c r="I3" s="924"/>
      <c r="J3" s="924"/>
      <c r="K3" s="924"/>
      <c r="L3" s="924"/>
      <c r="M3" s="924"/>
      <c r="N3" s="924"/>
      <c r="O3" s="924"/>
      <c r="P3" s="924"/>
      <c r="Q3" s="924"/>
      <c r="R3" s="925"/>
    </row>
    <row r="4" spans="1:22" x14ac:dyDescent="0.25">
      <c r="A4" s="923" t="str">
        <f>ORÇAMENTO!A4</f>
        <v>SEGUNDA ETAPA CANALIZAÇÃO DO RIBEIRÃO PIRAPITINGA E VIAS MARGINAIS</v>
      </c>
      <c r="B4" s="924"/>
      <c r="C4" s="924"/>
      <c r="D4" s="924"/>
      <c r="E4" s="924"/>
      <c r="F4" s="924"/>
      <c r="G4" s="924"/>
      <c r="H4" s="924"/>
      <c r="I4" s="924"/>
      <c r="J4" s="924"/>
      <c r="K4" s="924"/>
      <c r="L4" s="924"/>
      <c r="M4" s="924"/>
      <c r="N4" s="924"/>
      <c r="O4" s="924"/>
      <c r="P4" s="924"/>
      <c r="Q4" s="924"/>
      <c r="R4" s="925"/>
    </row>
    <row r="5" spans="1:22" x14ac:dyDescent="0.25">
      <c r="A5" s="802" t="s">
        <v>483</v>
      </c>
      <c r="B5" s="803"/>
      <c r="C5" s="803"/>
      <c r="D5" s="803"/>
      <c r="E5" s="803"/>
      <c r="F5" s="803"/>
      <c r="G5" s="803"/>
      <c r="H5" s="803"/>
      <c r="I5" s="803"/>
      <c r="J5" s="803"/>
      <c r="K5" s="803"/>
      <c r="L5" s="803"/>
      <c r="M5" s="803"/>
      <c r="N5" s="803"/>
      <c r="O5" s="803"/>
      <c r="P5" s="803"/>
      <c r="Q5" s="803"/>
      <c r="R5" s="804"/>
    </row>
    <row r="6" spans="1:22" x14ac:dyDescent="0.25">
      <c r="A6" s="334" t="s">
        <v>5</v>
      </c>
      <c r="B6" s="3" t="s">
        <v>14</v>
      </c>
      <c r="C6" s="328" t="s">
        <v>15</v>
      </c>
      <c r="D6" s="328" t="s">
        <v>16</v>
      </c>
      <c r="E6" s="328" t="s">
        <v>490</v>
      </c>
      <c r="F6" s="328" t="s">
        <v>491</v>
      </c>
      <c r="G6" s="328" t="s">
        <v>492</v>
      </c>
      <c r="H6" s="328" t="s">
        <v>493</v>
      </c>
      <c r="I6" s="328" t="s">
        <v>494</v>
      </c>
      <c r="J6" s="328" t="s">
        <v>495</v>
      </c>
      <c r="K6" s="328" t="s">
        <v>496</v>
      </c>
      <c r="L6" s="328" t="s">
        <v>497</v>
      </c>
      <c r="M6" s="328" t="s">
        <v>498</v>
      </c>
      <c r="N6" s="328" t="s">
        <v>499</v>
      </c>
      <c r="O6" s="328" t="s">
        <v>500</v>
      </c>
      <c r="P6" s="328" t="s">
        <v>501</v>
      </c>
      <c r="Q6" s="5" t="s">
        <v>19</v>
      </c>
      <c r="R6" s="335" t="s">
        <v>20</v>
      </c>
      <c r="S6" s="1"/>
      <c r="T6" s="1"/>
      <c r="U6" s="1"/>
      <c r="V6" s="1"/>
    </row>
    <row r="7" spans="1:22" s="12" customFormat="1" x14ac:dyDescent="0.25">
      <c r="A7" s="334">
        <v>1</v>
      </c>
      <c r="B7" s="4" t="str">
        <f>ORÇAMENTO!A13</f>
        <v>SERVIÇOS PRELIMINARES</v>
      </c>
      <c r="C7" s="332">
        <v>7.1428093999999998E-2</v>
      </c>
      <c r="D7" s="332">
        <v>7.1428093999999998E-2</v>
      </c>
      <c r="E7" s="332">
        <v>7.1428093999999998E-2</v>
      </c>
      <c r="F7" s="332">
        <v>7.1428093999999998E-2</v>
      </c>
      <c r="G7" s="332">
        <v>7.1428093999999998E-2</v>
      </c>
      <c r="H7" s="332">
        <v>7.1428093999999998E-2</v>
      </c>
      <c r="I7" s="332">
        <v>7.1428093999999998E-2</v>
      </c>
      <c r="J7" s="332">
        <v>7.1428093999999998E-2</v>
      </c>
      <c r="K7" s="332">
        <v>7.1428093999999998E-2</v>
      </c>
      <c r="L7" s="332">
        <v>7.1428093999999998E-2</v>
      </c>
      <c r="M7" s="332">
        <v>7.1428093999999998E-2</v>
      </c>
      <c r="N7" s="332">
        <v>7.1428093999999998E-2</v>
      </c>
      <c r="O7" s="332">
        <v>7.1428093999999998E-2</v>
      </c>
      <c r="P7" s="332">
        <v>7.1428093999999998E-2</v>
      </c>
      <c r="Q7" s="329">
        <f>ORÇAMENTO!J26</f>
        <v>0</v>
      </c>
      <c r="R7" s="336" t="e">
        <f t="shared" ref="R7:R18" si="0">Q7/$Q$20</f>
        <v>#DIV/0!</v>
      </c>
      <c r="S7" s="13"/>
      <c r="T7" s="13"/>
      <c r="U7" s="13"/>
      <c r="V7" s="13"/>
    </row>
    <row r="8" spans="1:22" s="12" customFormat="1" x14ac:dyDescent="0.25">
      <c r="A8" s="334">
        <v>2</v>
      </c>
      <c r="B8" s="4" t="str">
        <f>ORÇAMENTO!A27</f>
        <v>ADMINISTRAÇÃO DE OBRA</v>
      </c>
      <c r="C8" s="332">
        <v>7.1429999999999993E-2</v>
      </c>
      <c r="D8" s="332">
        <v>7.1429999999999993E-2</v>
      </c>
      <c r="E8" s="332">
        <v>7.1429999999999993E-2</v>
      </c>
      <c r="F8" s="332">
        <v>7.1429999999999993E-2</v>
      </c>
      <c r="G8" s="332">
        <v>7.1429999999999993E-2</v>
      </c>
      <c r="H8" s="332">
        <v>7.1429999999999993E-2</v>
      </c>
      <c r="I8" s="332">
        <v>7.1429999999999993E-2</v>
      </c>
      <c r="J8" s="332">
        <v>7.1429999999999993E-2</v>
      </c>
      <c r="K8" s="332">
        <v>7.1429999999999993E-2</v>
      </c>
      <c r="L8" s="332">
        <v>7.1429999999999993E-2</v>
      </c>
      <c r="M8" s="332">
        <v>7.1429999999999993E-2</v>
      </c>
      <c r="N8" s="332">
        <v>7.1429999999999993E-2</v>
      </c>
      <c r="O8" s="332">
        <v>7.1429999999999993E-2</v>
      </c>
      <c r="P8" s="332">
        <v>7.1429999999999993E-2</v>
      </c>
      <c r="Q8" s="329">
        <f>ORÇAMENTO!J30</f>
        <v>0</v>
      </c>
      <c r="R8" s="336" t="e">
        <f t="shared" si="0"/>
        <v>#DIV/0!</v>
      </c>
      <c r="S8" s="13"/>
      <c r="T8" s="13"/>
      <c r="U8" s="13"/>
      <c r="V8" s="13"/>
    </row>
    <row r="9" spans="1:22" s="12" customFormat="1" x14ac:dyDescent="0.25">
      <c r="A9" s="334">
        <v>3</v>
      </c>
      <c r="B9" s="4" t="str">
        <f>ORÇAMENTO!A31</f>
        <v>SUPRESSÃO VEGETAL</v>
      </c>
      <c r="C9" s="332">
        <v>0.2</v>
      </c>
      <c r="D9" s="332">
        <v>0.2</v>
      </c>
      <c r="E9" s="332">
        <v>0.2</v>
      </c>
      <c r="F9" s="332">
        <v>0.2</v>
      </c>
      <c r="G9" s="332">
        <v>0.2</v>
      </c>
      <c r="H9" s="7"/>
      <c r="I9" s="7"/>
      <c r="J9" s="7"/>
      <c r="K9" s="7"/>
      <c r="L9" s="7"/>
      <c r="M9" s="7"/>
      <c r="N9" s="7"/>
      <c r="O9" s="7"/>
      <c r="P9" s="3"/>
      <c r="Q9" s="329">
        <f>ORÇAMENTO!J38</f>
        <v>0</v>
      </c>
      <c r="R9" s="336" t="e">
        <f t="shared" si="0"/>
        <v>#DIV/0!</v>
      </c>
      <c r="S9" s="13"/>
      <c r="T9" s="13"/>
      <c r="U9" s="13"/>
      <c r="V9" s="13"/>
    </row>
    <row r="10" spans="1:22" s="12" customFormat="1" x14ac:dyDescent="0.25">
      <c r="A10" s="334">
        <v>4</v>
      </c>
      <c r="B10" s="4" t="str">
        <f>ORÇAMENTO!A39</f>
        <v>MOVIMENTAÇÃO DE TERRA - ESCAVAÇÃO</v>
      </c>
      <c r="C10" s="7"/>
      <c r="D10" s="7"/>
      <c r="E10" s="7"/>
      <c r="F10" s="333">
        <v>0.1111111</v>
      </c>
      <c r="G10" s="333">
        <v>0.1111111</v>
      </c>
      <c r="H10" s="333">
        <v>0.1111111</v>
      </c>
      <c r="I10" s="333">
        <v>0.1111111</v>
      </c>
      <c r="J10" s="333">
        <v>0.1111111</v>
      </c>
      <c r="K10" s="333">
        <v>0.1111111</v>
      </c>
      <c r="L10" s="333">
        <v>0.1111111</v>
      </c>
      <c r="M10" s="333">
        <v>0.1111111</v>
      </c>
      <c r="N10" s="333">
        <v>0.1111111</v>
      </c>
      <c r="O10" s="7"/>
      <c r="P10" s="3"/>
      <c r="Q10" s="329">
        <f>ORÇAMENTO!J46</f>
        <v>0</v>
      </c>
      <c r="R10" s="336" t="e">
        <f t="shared" si="0"/>
        <v>#DIV/0!</v>
      </c>
      <c r="S10" s="13"/>
      <c r="T10" s="13"/>
      <c r="U10" s="13"/>
      <c r="V10" s="13"/>
    </row>
    <row r="11" spans="1:22" s="12" customFormat="1" x14ac:dyDescent="0.25">
      <c r="A11" s="334">
        <v>5</v>
      </c>
      <c r="B11" s="4" t="str">
        <f>ORÇAMENTO!A47</f>
        <v>MOVIMENTAÇÃO DE TERRA - CORPO DE ATERRO</v>
      </c>
      <c r="C11" s="7"/>
      <c r="D11" s="7"/>
      <c r="E11" s="7"/>
      <c r="F11" s="333">
        <v>0.1111111</v>
      </c>
      <c r="G11" s="333">
        <v>0.1111111</v>
      </c>
      <c r="H11" s="333">
        <v>0.1111111</v>
      </c>
      <c r="I11" s="333">
        <v>0.1111111</v>
      </c>
      <c r="J11" s="333">
        <v>0.1111111</v>
      </c>
      <c r="K11" s="333">
        <v>0.1111111</v>
      </c>
      <c r="L11" s="333">
        <v>0.1111111</v>
      </c>
      <c r="M11" s="333">
        <v>0.1111111</v>
      </c>
      <c r="N11" s="333">
        <v>0.1111111</v>
      </c>
      <c r="O11" s="7"/>
      <c r="P11" s="3"/>
      <c r="Q11" s="329">
        <f>ORÇAMENTO!J54</f>
        <v>0</v>
      </c>
      <c r="R11" s="336" t="e">
        <f t="shared" si="0"/>
        <v>#DIV/0!</v>
      </c>
      <c r="S11" s="13"/>
      <c r="T11" s="13"/>
      <c r="U11" s="13"/>
      <c r="V11" s="13"/>
    </row>
    <row r="12" spans="1:22" s="12" customFormat="1" x14ac:dyDescent="0.25">
      <c r="A12" s="334">
        <v>6</v>
      </c>
      <c r="B12" s="4" t="str">
        <f>ORÇAMENTO!A55</f>
        <v>TERRAPLANAGEM E PAVIMENTAÇÃO</v>
      </c>
      <c r="C12" s="7"/>
      <c r="D12" s="7"/>
      <c r="E12" s="7"/>
      <c r="F12" s="7"/>
      <c r="G12" s="7"/>
      <c r="H12" s="333">
        <v>0.1111111</v>
      </c>
      <c r="I12" s="333">
        <v>0.1111111</v>
      </c>
      <c r="J12" s="333">
        <v>0.1111111</v>
      </c>
      <c r="K12" s="333">
        <v>0.1111111</v>
      </c>
      <c r="L12" s="333">
        <v>0.1111111</v>
      </c>
      <c r="M12" s="333">
        <v>0.1111111</v>
      </c>
      <c r="N12" s="333">
        <v>0.1111111</v>
      </c>
      <c r="O12" s="333">
        <v>0.1111111</v>
      </c>
      <c r="P12" s="333">
        <v>0.1111111</v>
      </c>
      <c r="Q12" s="329">
        <f>ORÇAMENTO!J85</f>
        <v>0</v>
      </c>
      <c r="R12" s="336" t="e">
        <f t="shared" si="0"/>
        <v>#DIV/0!</v>
      </c>
      <c r="S12" s="13"/>
      <c r="T12" s="13"/>
      <c r="U12" s="13"/>
      <c r="V12" s="13"/>
    </row>
    <row r="13" spans="1:22" s="12" customFormat="1" x14ac:dyDescent="0.25">
      <c r="A13" s="334">
        <v>7</v>
      </c>
      <c r="B13" s="4" t="str">
        <f>ORÇAMENTO!A86</f>
        <v>DRENAGEM ÁGUAS PLUVIAIS</v>
      </c>
      <c r="C13" s="7"/>
      <c r="D13" s="7"/>
      <c r="E13" s="7"/>
      <c r="F13" s="333">
        <v>0.25</v>
      </c>
      <c r="G13" s="333">
        <v>0.25</v>
      </c>
      <c r="H13" s="333">
        <v>0.25</v>
      </c>
      <c r="I13" s="333">
        <v>0.25</v>
      </c>
      <c r="J13" s="7"/>
      <c r="K13" s="7"/>
      <c r="L13" s="7"/>
      <c r="M13" s="7"/>
      <c r="N13" s="7"/>
      <c r="O13" s="7"/>
      <c r="P13" s="327"/>
      <c r="Q13" s="329">
        <f>ORÇAMENTO!J101</f>
        <v>0</v>
      </c>
      <c r="R13" s="336" t="e">
        <f t="shared" si="0"/>
        <v>#DIV/0!</v>
      </c>
      <c r="S13" s="13"/>
      <c r="T13" s="13"/>
      <c r="U13" s="13"/>
      <c r="V13" s="13"/>
    </row>
    <row r="14" spans="1:22" x14ac:dyDescent="0.25">
      <c r="A14" s="334">
        <v>8</v>
      </c>
      <c r="B14" s="4" t="str">
        <f>ORÇAMENTO!A102</f>
        <v xml:space="preserve"> SINALIZAÇÃO VERTICAL E HORIZONTAL</v>
      </c>
      <c r="C14" s="6"/>
      <c r="D14" s="6"/>
      <c r="E14" s="6"/>
      <c r="F14" s="6"/>
      <c r="G14" s="6"/>
      <c r="H14" s="6"/>
      <c r="I14" s="6"/>
      <c r="J14" s="6"/>
      <c r="K14" s="6"/>
      <c r="L14" s="6"/>
      <c r="M14" s="6"/>
      <c r="N14" s="6"/>
      <c r="O14" s="333">
        <v>0.5</v>
      </c>
      <c r="P14" s="333">
        <v>0.5</v>
      </c>
      <c r="Q14" s="329">
        <f>ORÇAMENTO!J110</f>
        <v>0</v>
      </c>
      <c r="R14" s="336" t="e">
        <f t="shared" si="0"/>
        <v>#DIV/0!</v>
      </c>
      <c r="S14" s="1"/>
      <c r="T14" s="1"/>
      <c r="U14" s="1"/>
      <c r="V14" s="1"/>
    </row>
    <row r="15" spans="1:22" x14ac:dyDescent="0.25">
      <c r="A15" s="334">
        <v>9</v>
      </c>
      <c r="B15" s="4" t="str">
        <f>ORÇAMENTO!A111</f>
        <v>PONTES DE TRANSPOSIÇÃO DO CANAL</v>
      </c>
      <c r="C15" s="6"/>
      <c r="D15" s="6"/>
      <c r="E15" s="332">
        <v>0.1</v>
      </c>
      <c r="F15" s="332">
        <v>0.1</v>
      </c>
      <c r="G15" s="332">
        <v>0.1</v>
      </c>
      <c r="H15" s="332">
        <v>0.1</v>
      </c>
      <c r="I15" s="332">
        <v>0.1</v>
      </c>
      <c r="J15" s="332">
        <v>0.1</v>
      </c>
      <c r="K15" s="332">
        <v>0.1</v>
      </c>
      <c r="L15" s="332">
        <v>0.1</v>
      </c>
      <c r="M15" s="332">
        <v>0.1</v>
      </c>
      <c r="N15" s="332">
        <v>0.1</v>
      </c>
      <c r="O15" s="333"/>
      <c r="P15" s="333"/>
      <c r="Q15" s="329">
        <f>ORÇAMENTO!J132</f>
        <v>0</v>
      </c>
      <c r="R15" s="336" t="e">
        <f t="shared" si="0"/>
        <v>#DIV/0!</v>
      </c>
      <c r="S15" s="1"/>
      <c r="T15" s="1"/>
      <c r="U15" s="1"/>
      <c r="V15" s="1"/>
    </row>
    <row r="16" spans="1:22" x14ac:dyDescent="0.25">
      <c r="A16" s="334">
        <v>10</v>
      </c>
      <c r="B16" s="4" t="str">
        <f>ORÇAMENTO!A133</f>
        <v>ESTRUTURA DE CONTENÇÃO - CANALIZAÇÃO</v>
      </c>
      <c r="C16" s="6"/>
      <c r="D16" s="333">
        <v>0.11111</v>
      </c>
      <c r="E16" s="333">
        <v>0.11111</v>
      </c>
      <c r="F16" s="333">
        <v>0.11111</v>
      </c>
      <c r="G16" s="333">
        <v>0.11111</v>
      </c>
      <c r="H16" s="333">
        <v>0.11111</v>
      </c>
      <c r="I16" s="333">
        <v>0.11111</v>
      </c>
      <c r="J16" s="333">
        <v>0.11111</v>
      </c>
      <c r="K16" s="333">
        <v>0.11111</v>
      </c>
      <c r="L16" s="333">
        <v>0.11111</v>
      </c>
      <c r="M16" s="7"/>
      <c r="N16" s="332"/>
      <c r="O16" s="333"/>
      <c r="P16" s="333"/>
      <c r="Q16" s="329">
        <f>ORÇAMENTO!J160</f>
        <v>0</v>
      </c>
      <c r="R16" s="336" t="e">
        <f t="shared" si="0"/>
        <v>#DIV/0!</v>
      </c>
      <c r="S16" s="1"/>
      <c r="T16" s="1"/>
      <c r="U16" s="1"/>
      <c r="V16" s="1"/>
    </row>
    <row r="17" spans="1:33" x14ac:dyDescent="0.25">
      <c r="A17" s="334">
        <v>11</v>
      </c>
      <c r="B17" s="4" t="str">
        <f>ORÇAMENTO!A161</f>
        <v xml:space="preserve"> ILUMINAÇÃO PÚBLICA</v>
      </c>
      <c r="C17" s="6"/>
      <c r="D17" s="6"/>
      <c r="E17" s="6"/>
      <c r="F17" s="6"/>
      <c r="G17" s="6"/>
      <c r="H17" s="6"/>
      <c r="I17" s="6"/>
      <c r="J17" s="6"/>
      <c r="K17" s="6"/>
      <c r="L17" s="6"/>
      <c r="M17" s="6"/>
      <c r="N17" s="333">
        <v>0.33333299999999999</v>
      </c>
      <c r="O17" s="333">
        <v>0.33333299999999999</v>
      </c>
      <c r="P17" s="333">
        <v>0.33333299999999999</v>
      </c>
      <c r="Q17" s="329">
        <f>ORÇAMENTO!J182</f>
        <v>0</v>
      </c>
      <c r="R17" s="336" t="e">
        <f t="shared" si="0"/>
        <v>#DIV/0!</v>
      </c>
      <c r="S17" s="1"/>
      <c r="T17" s="1"/>
      <c r="U17" s="1"/>
      <c r="V17" s="1"/>
    </row>
    <row r="18" spans="1:33" x14ac:dyDescent="0.25">
      <c r="A18" s="492">
        <v>12</v>
      </c>
      <c r="B18" s="4" t="str">
        <f>ORÇAMENTO!A183</f>
        <v>PROLONGAMENTO INTERCEPTOR MARGEM ESQUERDA</v>
      </c>
      <c r="C18" s="4"/>
      <c r="D18" s="4"/>
      <c r="E18" s="651"/>
      <c r="F18" s="332">
        <v>0.25</v>
      </c>
      <c r="G18" s="332">
        <v>0.25</v>
      </c>
      <c r="H18" s="332">
        <v>0.25</v>
      </c>
      <c r="I18" s="332">
        <v>0.25</v>
      </c>
      <c r="J18" s="4"/>
      <c r="K18" s="4"/>
      <c r="L18" s="4"/>
      <c r="M18" s="4"/>
      <c r="N18" s="4"/>
      <c r="O18" s="4"/>
      <c r="P18" s="4"/>
      <c r="Q18" s="329">
        <f>ORÇAMENTO!J207</f>
        <v>0</v>
      </c>
      <c r="R18" s="336" t="e">
        <f t="shared" si="0"/>
        <v>#DIV/0!</v>
      </c>
      <c r="S18" s="1"/>
      <c r="T18" s="1"/>
      <c r="U18" s="1"/>
      <c r="V18" s="1"/>
    </row>
    <row r="19" spans="1:33" s="12" customFormat="1" x14ac:dyDescent="0.25">
      <c r="A19" s="334">
        <v>13</v>
      </c>
      <c r="B19" s="4" t="str">
        <f>ORÇAMENTO!A208</f>
        <v xml:space="preserve"> LIMPEZA DE OBRA E ACABAMENTOS FINAIS</v>
      </c>
      <c r="C19" s="6"/>
      <c r="D19" s="6"/>
      <c r="E19" s="6"/>
      <c r="F19" s="6"/>
      <c r="G19" s="6"/>
      <c r="H19" s="6"/>
      <c r="I19" s="6"/>
      <c r="J19" s="6"/>
      <c r="K19" s="6"/>
      <c r="L19" s="6"/>
      <c r="M19" s="6"/>
      <c r="N19" s="6"/>
      <c r="O19" s="333"/>
      <c r="P19" s="333">
        <v>1</v>
      </c>
      <c r="Q19" s="329">
        <f>ORÇAMENTO!J216</f>
        <v>0</v>
      </c>
      <c r="R19" s="336" t="e">
        <f>Q19/$Q$20</f>
        <v>#DIV/0!</v>
      </c>
      <c r="S19" s="13"/>
      <c r="T19" s="13"/>
      <c r="U19" s="13"/>
      <c r="V19" s="13"/>
    </row>
    <row r="20" spans="1:33" x14ac:dyDescent="0.25">
      <c r="A20" s="337"/>
      <c r="B20" s="3" t="s">
        <v>21</v>
      </c>
      <c r="C20" s="331">
        <f>C7*$Q$7+C8*$Q$8+C9*$Q$9+C10*$Q$10+C11*$Q$11+C12*$Q$12+C13*$Q$13+C14*$Q$14+C15*$Q$15+C16*$Q$16+C17*$Q$17+C18*$Q$18+C19*$Q$19</f>
        <v>0</v>
      </c>
      <c r="D20" s="331">
        <f t="shared" ref="D20:P20" si="1">D7*$Q$7+D8*$Q$8+D9*$Q$9+D10*$Q$10+D11*$Q$11+D12*$Q$12+D13*$Q$13+D14*$Q$14+D15*$Q$15+D16*$Q$16+D17*$Q$17+D18*$Q$18+D19*$Q$19</f>
        <v>0</v>
      </c>
      <c r="E20" s="331">
        <f t="shared" si="1"/>
        <v>0</v>
      </c>
      <c r="F20" s="331">
        <f t="shared" si="1"/>
        <v>0</v>
      </c>
      <c r="G20" s="331">
        <f t="shared" si="1"/>
        <v>0</v>
      </c>
      <c r="H20" s="331">
        <f t="shared" si="1"/>
        <v>0</v>
      </c>
      <c r="I20" s="331">
        <f t="shared" si="1"/>
        <v>0</v>
      </c>
      <c r="J20" s="331">
        <f t="shared" si="1"/>
        <v>0</v>
      </c>
      <c r="K20" s="331">
        <f t="shared" si="1"/>
        <v>0</v>
      </c>
      <c r="L20" s="331">
        <f t="shared" si="1"/>
        <v>0</v>
      </c>
      <c r="M20" s="331">
        <f t="shared" si="1"/>
        <v>0</v>
      </c>
      <c r="N20" s="331">
        <f t="shared" si="1"/>
        <v>0</v>
      </c>
      <c r="O20" s="331">
        <f t="shared" si="1"/>
        <v>0</v>
      </c>
      <c r="P20" s="331">
        <f t="shared" si="1"/>
        <v>0</v>
      </c>
      <c r="Q20" s="926">
        <f>SUM(Q7:Q19)</f>
        <v>0</v>
      </c>
      <c r="R20" s="928" t="e">
        <f>SUM(R7:R19)</f>
        <v>#DIV/0!</v>
      </c>
      <c r="S20" s="1"/>
      <c r="T20" s="1"/>
      <c r="U20" s="1"/>
      <c r="V20" s="1"/>
    </row>
    <row r="21" spans="1:33" x14ac:dyDescent="0.25">
      <c r="A21" s="337"/>
      <c r="B21" s="3" t="s">
        <v>503</v>
      </c>
      <c r="C21" s="728" t="e">
        <f>C20/$Q$20</f>
        <v>#DIV/0!</v>
      </c>
      <c r="D21" s="332" t="e">
        <f>(D20/$Q$20)+C21</f>
        <v>#DIV/0!</v>
      </c>
      <c r="E21" s="332" t="e">
        <f t="shared" ref="E21:P21" si="2">(E20/$Q$20)+D21</f>
        <v>#DIV/0!</v>
      </c>
      <c r="F21" s="332" t="e">
        <f t="shared" si="2"/>
        <v>#DIV/0!</v>
      </c>
      <c r="G21" s="332" t="e">
        <f t="shared" si="2"/>
        <v>#DIV/0!</v>
      </c>
      <c r="H21" s="332" t="e">
        <f t="shared" si="2"/>
        <v>#DIV/0!</v>
      </c>
      <c r="I21" s="332" t="e">
        <f t="shared" si="2"/>
        <v>#DIV/0!</v>
      </c>
      <c r="J21" s="332" t="e">
        <f t="shared" si="2"/>
        <v>#DIV/0!</v>
      </c>
      <c r="K21" s="332" t="e">
        <f t="shared" si="2"/>
        <v>#DIV/0!</v>
      </c>
      <c r="L21" s="332" t="e">
        <f t="shared" si="2"/>
        <v>#DIV/0!</v>
      </c>
      <c r="M21" s="332" t="e">
        <f t="shared" si="2"/>
        <v>#DIV/0!</v>
      </c>
      <c r="N21" s="332" t="e">
        <f t="shared" si="2"/>
        <v>#DIV/0!</v>
      </c>
      <c r="O21" s="332" t="e">
        <f t="shared" si="2"/>
        <v>#DIV/0!</v>
      </c>
      <c r="P21" s="332" t="e">
        <f t="shared" si="2"/>
        <v>#DIV/0!</v>
      </c>
      <c r="Q21" s="927"/>
      <c r="R21" s="929"/>
      <c r="S21" s="1"/>
      <c r="T21" s="1"/>
      <c r="U21" s="1"/>
      <c r="V21" s="1"/>
    </row>
    <row r="22" spans="1:33" x14ac:dyDescent="0.25">
      <c r="A22" s="338"/>
      <c r="B22" s="339"/>
      <c r="C22" s="339"/>
      <c r="D22" s="339"/>
      <c r="E22" s="339"/>
      <c r="F22" s="339"/>
      <c r="G22" s="339"/>
      <c r="H22" s="339"/>
      <c r="I22" s="339"/>
      <c r="J22" s="339"/>
      <c r="K22" s="339"/>
      <c r="L22" s="339"/>
      <c r="M22" s="339"/>
      <c r="N22" s="339"/>
      <c r="O22" s="339"/>
      <c r="P22" s="339"/>
      <c r="Q22" s="340"/>
      <c r="R22" s="341"/>
      <c r="S22" s="1"/>
      <c r="T22" s="1"/>
      <c r="U22" s="1"/>
      <c r="V22" s="1"/>
    </row>
    <row r="23" spans="1:33" s="12" customFormat="1" x14ac:dyDescent="0.25">
      <c r="A23" s="338"/>
      <c r="B23" s="339"/>
      <c r="C23" s="339"/>
      <c r="D23" s="339"/>
      <c r="E23" s="37" t="s">
        <v>72</v>
      </c>
      <c r="F23" s="339"/>
      <c r="G23" s="339"/>
      <c r="H23" s="339"/>
      <c r="I23" s="339"/>
      <c r="J23" s="339"/>
      <c r="K23" s="339"/>
      <c r="L23" s="37" t="s">
        <v>72</v>
      </c>
      <c r="M23" s="339"/>
      <c r="N23" s="342"/>
      <c r="O23" s="339"/>
      <c r="P23" s="339"/>
      <c r="Q23" s="340"/>
      <c r="R23" s="341"/>
      <c r="S23" s="13"/>
      <c r="T23" s="13"/>
      <c r="U23" s="13"/>
      <c r="V23" s="13"/>
    </row>
    <row r="24" spans="1:33" s="12" customFormat="1" x14ac:dyDescent="0.25">
      <c r="A24" s="338"/>
      <c r="B24" s="339"/>
      <c r="C24" s="339"/>
      <c r="D24" s="339"/>
      <c r="E24" s="70" t="s">
        <v>23</v>
      </c>
      <c r="F24" s="339"/>
      <c r="G24" s="339"/>
      <c r="H24" s="339"/>
      <c r="I24" s="339"/>
      <c r="J24" s="339"/>
      <c r="K24" s="339"/>
      <c r="L24" s="70" t="s">
        <v>464</v>
      </c>
      <c r="M24" s="339"/>
      <c r="N24" s="339"/>
      <c r="O24" s="339"/>
      <c r="P24" s="339"/>
      <c r="Q24" s="340"/>
      <c r="R24" s="341"/>
      <c r="S24" s="13"/>
      <c r="T24" s="13"/>
      <c r="U24" s="13"/>
      <c r="V24" s="13"/>
    </row>
    <row r="25" spans="1:33" x14ac:dyDescent="0.25">
      <c r="A25" s="338"/>
      <c r="B25" s="339"/>
      <c r="C25" s="339"/>
      <c r="D25" s="339"/>
      <c r="E25" s="70" t="s">
        <v>24</v>
      </c>
      <c r="F25" s="339"/>
      <c r="G25" s="339"/>
      <c r="H25" s="339"/>
      <c r="I25" s="339"/>
      <c r="J25" s="339"/>
      <c r="K25" s="339"/>
      <c r="L25" s="70" t="s">
        <v>25</v>
      </c>
      <c r="M25" s="339"/>
      <c r="N25" s="339"/>
      <c r="O25" s="339"/>
      <c r="P25" s="342"/>
      <c r="Q25" s="340"/>
      <c r="R25" s="341"/>
      <c r="S25" s="1"/>
      <c r="T25" s="1"/>
      <c r="U25" s="1"/>
      <c r="V25" s="1"/>
    </row>
    <row r="26" spans="1:33" x14ac:dyDescent="0.25">
      <c r="A26" s="338"/>
      <c r="B26" s="339"/>
      <c r="C26" s="339"/>
      <c r="D26" s="339"/>
      <c r="E26" s="70" t="s">
        <v>469</v>
      </c>
      <c r="F26" s="339"/>
      <c r="G26" s="339"/>
      <c r="H26" s="339"/>
      <c r="I26" s="339"/>
      <c r="J26" s="339"/>
      <c r="K26" s="339"/>
      <c r="L26" s="70" t="s">
        <v>465</v>
      </c>
      <c r="M26" s="339"/>
      <c r="N26" s="339"/>
      <c r="O26" s="339"/>
      <c r="P26" s="339"/>
      <c r="Q26" s="340"/>
      <c r="R26" s="341"/>
      <c r="S26" s="1"/>
      <c r="T26" s="1"/>
      <c r="U26" s="1"/>
      <c r="V26" s="1"/>
    </row>
    <row r="27" spans="1:33" x14ac:dyDescent="0.25">
      <c r="A27" s="338"/>
      <c r="B27" s="339"/>
      <c r="C27" s="339"/>
      <c r="D27" s="339"/>
      <c r="E27" s="15"/>
      <c r="F27" s="339"/>
      <c r="G27" s="339"/>
      <c r="H27" s="339"/>
      <c r="I27" s="339"/>
      <c r="J27" s="339"/>
      <c r="K27" s="339"/>
      <c r="L27" s="38"/>
      <c r="M27" s="339"/>
      <c r="N27" s="339"/>
      <c r="O27" s="339"/>
      <c r="P27" s="339"/>
      <c r="Q27" s="340"/>
      <c r="R27" s="341"/>
      <c r="T27" s="919"/>
      <c r="U27" s="919"/>
      <c r="V27" s="919"/>
      <c r="W27" s="919"/>
      <c r="X27" s="919"/>
      <c r="Y27" s="919"/>
      <c r="Z27" s="919"/>
      <c r="AA27" s="919"/>
      <c r="AB27" s="919"/>
      <c r="AC27" s="919"/>
      <c r="AD27" s="919"/>
      <c r="AE27" s="919"/>
      <c r="AF27" s="919"/>
      <c r="AG27" s="919"/>
    </row>
    <row r="28" spans="1:33" x14ac:dyDescent="0.25">
      <c r="A28" s="338"/>
      <c r="B28" s="339"/>
      <c r="C28" s="339"/>
      <c r="D28" s="339"/>
      <c r="E28" s="37" t="s">
        <v>72</v>
      </c>
      <c r="F28" s="339"/>
      <c r="G28" s="339"/>
      <c r="H28" s="339"/>
      <c r="I28" s="339"/>
      <c r="J28" s="339"/>
      <c r="K28" s="339"/>
      <c r="L28" s="37" t="s">
        <v>72</v>
      </c>
      <c r="M28" s="339"/>
      <c r="N28" s="339"/>
      <c r="O28" s="339"/>
      <c r="P28" s="339"/>
      <c r="Q28" s="340"/>
      <c r="R28" s="341"/>
      <c r="T28" s="919"/>
      <c r="U28" s="919"/>
      <c r="V28" s="919"/>
      <c r="W28" s="919"/>
      <c r="X28" s="919"/>
      <c r="Y28" s="919"/>
      <c r="Z28" s="919"/>
      <c r="AA28" s="919"/>
      <c r="AB28" s="919"/>
      <c r="AC28" s="919"/>
      <c r="AD28" s="919"/>
      <c r="AE28" s="919"/>
      <c r="AF28" s="919"/>
      <c r="AG28" s="919"/>
    </row>
    <row r="29" spans="1:33" x14ac:dyDescent="0.25">
      <c r="A29" s="338"/>
      <c r="B29" s="339"/>
      <c r="C29" s="339"/>
      <c r="D29" s="339"/>
      <c r="E29" s="70" t="s">
        <v>466</v>
      </c>
      <c r="F29" s="339"/>
      <c r="G29" s="339"/>
      <c r="H29" s="339"/>
      <c r="I29" s="339"/>
      <c r="J29" s="339"/>
      <c r="K29" s="339"/>
      <c r="L29" s="71" t="s">
        <v>502</v>
      </c>
      <c r="M29" s="339"/>
      <c r="N29" s="339"/>
      <c r="O29" s="339"/>
      <c r="P29" s="339"/>
      <c r="Q29" s="340"/>
      <c r="R29" s="341"/>
      <c r="T29" s="919"/>
      <c r="U29" s="919"/>
      <c r="V29" s="919"/>
      <c r="W29" s="919"/>
      <c r="X29" s="919"/>
      <c r="Y29" s="919"/>
      <c r="Z29" s="919"/>
      <c r="AA29" s="919"/>
      <c r="AB29" s="919"/>
      <c r="AC29" s="919"/>
      <c r="AD29" s="919"/>
      <c r="AE29" s="919"/>
      <c r="AF29" s="919"/>
      <c r="AG29" s="919"/>
    </row>
    <row r="30" spans="1:33" x14ac:dyDescent="0.25">
      <c r="A30" s="338"/>
      <c r="B30" s="339"/>
      <c r="C30" s="339"/>
      <c r="D30" s="339"/>
      <c r="E30" s="70" t="s">
        <v>25</v>
      </c>
      <c r="F30" s="339"/>
      <c r="G30" s="339"/>
      <c r="H30" s="339"/>
      <c r="I30" s="339"/>
      <c r="J30" s="339"/>
      <c r="K30" s="339"/>
      <c r="L30" s="70" t="s">
        <v>504</v>
      </c>
      <c r="M30" s="339"/>
      <c r="N30" s="339"/>
      <c r="O30" s="339"/>
      <c r="P30" s="339"/>
      <c r="Q30" s="340"/>
      <c r="R30" s="341"/>
      <c r="T30" s="919"/>
      <c r="U30" s="919"/>
      <c r="V30" s="919"/>
      <c r="W30" s="919"/>
      <c r="X30" s="919"/>
      <c r="Y30" s="919"/>
      <c r="Z30" s="919"/>
      <c r="AA30" s="919"/>
      <c r="AB30" s="919"/>
      <c r="AC30" s="919"/>
      <c r="AD30" s="919"/>
      <c r="AE30" s="919"/>
      <c r="AF30" s="919"/>
      <c r="AG30" s="919"/>
    </row>
    <row r="31" spans="1:33" ht="15.75" thickBot="1" x14ac:dyDescent="0.3">
      <c r="A31" s="343"/>
      <c r="B31" s="344"/>
      <c r="C31" s="344"/>
      <c r="D31" s="344"/>
      <c r="E31" s="68" t="s">
        <v>468</v>
      </c>
      <c r="F31" s="344"/>
      <c r="G31" s="344"/>
      <c r="H31" s="344"/>
      <c r="I31" s="344"/>
      <c r="J31" s="344"/>
      <c r="K31" s="344"/>
      <c r="L31" s="68" t="s">
        <v>467</v>
      </c>
      <c r="M31" s="344"/>
      <c r="N31" s="344"/>
      <c r="O31" s="344"/>
      <c r="P31" s="344"/>
      <c r="Q31" s="345"/>
      <c r="R31" s="346"/>
      <c r="T31" s="919"/>
      <c r="U31" s="919"/>
      <c r="V31" s="919"/>
      <c r="W31" s="919"/>
      <c r="X31" s="919"/>
      <c r="Y31" s="919"/>
      <c r="Z31" s="919"/>
      <c r="AA31" s="919"/>
      <c r="AB31" s="919"/>
      <c r="AC31" s="919"/>
      <c r="AD31" s="919"/>
      <c r="AE31" s="919"/>
      <c r="AF31" s="919"/>
      <c r="AG31" s="919"/>
    </row>
  </sheetData>
  <sheetProtection sheet="1" objects="1" scenarios="1" selectLockedCells="1"/>
  <mergeCells count="12">
    <mergeCell ref="T30:AG30"/>
    <mergeCell ref="T31:AG31"/>
    <mergeCell ref="A1:R1"/>
    <mergeCell ref="A2:R2"/>
    <mergeCell ref="A3:R3"/>
    <mergeCell ref="A5:R5"/>
    <mergeCell ref="A4:R4"/>
    <mergeCell ref="Q20:Q21"/>
    <mergeCell ref="R20:R21"/>
    <mergeCell ref="T27:AG27"/>
    <mergeCell ref="T28:AG28"/>
    <mergeCell ref="T29:AG29"/>
  </mergeCells>
  <printOptions horizontalCentered="1"/>
  <pageMargins left="0.51181102362204722" right="0.51181102362204722" top="0.78740157480314965" bottom="0.78740157480314965" header="0.31496062992125984" footer="0.31496062992125984"/>
  <pageSetup paperSize="9" scale="31" fitToHeight="0" orientation="landscape"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workbookViewId="0">
      <selection activeCell="A4" sqref="A4:J4"/>
    </sheetView>
  </sheetViews>
  <sheetFormatPr defaultRowHeight="15" x14ac:dyDescent="0.25"/>
  <cols>
    <col min="1" max="1" width="23.140625" customWidth="1"/>
    <col min="2" max="2" width="11" customWidth="1"/>
    <col min="3" max="3" width="22.7109375" customWidth="1"/>
    <col min="4" max="4" width="20.5703125" customWidth="1"/>
    <col min="8" max="8" width="13.28515625" customWidth="1"/>
    <col min="10" max="10" width="11.85546875" customWidth="1"/>
  </cols>
  <sheetData>
    <row r="1" spans="1:10" x14ac:dyDescent="0.25">
      <c r="A1" s="889" t="s">
        <v>3</v>
      </c>
      <c r="B1" s="890"/>
      <c r="C1" s="890"/>
      <c r="D1" s="890"/>
      <c r="E1" s="890"/>
      <c r="F1" s="890"/>
      <c r="G1" s="890"/>
      <c r="H1" s="890"/>
      <c r="I1" s="890"/>
      <c r="J1" s="891"/>
    </row>
    <row r="2" spans="1:10" x14ac:dyDescent="0.25">
      <c r="A2" s="892" t="s">
        <v>4</v>
      </c>
      <c r="B2" s="893"/>
      <c r="C2" s="893"/>
      <c r="D2" s="893"/>
      <c r="E2" s="893"/>
      <c r="F2" s="893"/>
      <c r="G2" s="893"/>
      <c r="H2" s="893"/>
      <c r="I2" s="893"/>
      <c r="J2" s="894"/>
    </row>
    <row r="3" spans="1:10" x14ac:dyDescent="0.25">
      <c r="A3" s="892" t="s">
        <v>487</v>
      </c>
      <c r="B3" s="893"/>
      <c r="C3" s="893"/>
      <c r="D3" s="893"/>
      <c r="E3" s="893"/>
      <c r="F3" s="893"/>
      <c r="G3" s="893"/>
      <c r="H3" s="893"/>
      <c r="I3" s="893"/>
      <c r="J3" s="894"/>
    </row>
    <row r="4" spans="1:10" x14ac:dyDescent="0.25">
      <c r="A4" s="930" t="str">
        <f>ORÇAMENTO!$A$4</f>
        <v>SEGUNDA ETAPA CANALIZAÇÃO DO RIBEIRÃO PIRAPITINGA E VIAS MARGINAIS</v>
      </c>
      <c r="B4" s="931"/>
      <c r="C4" s="931"/>
      <c r="D4" s="931"/>
      <c r="E4" s="931"/>
      <c r="F4" s="931"/>
      <c r="G4" s="931"/>
      <c r="H4" s="931"/>
      <c r="I4" s="931"/>
      <c r="J4" s="932"/>
    </row>
    <row r="5" spans="1:10" x14ac:dyDescent="0.25">
      <c r="A5" s="933"/>
      <c r="B5" s="934"/>
      <c r="C5" s="934"/>
      <c r="D5" s="934"/>
      <c r="E5" s="934"/>
      <c r="F5" s="934"/>
      <c r="G5" s="934"/>
      <c r="H5" s="934"/>
      <c r="I5" s="934"/>
      <c r="J5" s="935"/>
    </row>
    <row r="6" spans="1:10" ht="33" x14ac:dyDescent="0.25">
      <c r="A6" s="48" t="s">
        <v>74</v>
      </c>
      <c r="B6" s="49" t="s">
        <v>75</v>
      </c>
      <c r="C6" s="50" t="s">
        <v>76</v>
      </c>
      <c r="D6" s="50" t="s">
        <v>77</v>
      </c>
      <c r="E6" s="50" t="s">
        <v>78</v>
      </c>
      <c r="F6" s="50" t="s">
        <v>79</v>
      </c>
      <c r="G6" s="50" t="s">
        <v>80</v>
      </c>
      <c r="H6" s="50" t="s">
        <v>81</v>
      </c>
      <c r="I6" s="50" t="s">
        <v>82</v>
      </c>
      <c r="J6" s="51" t="s">
        <v>83</v>
      </c>
    </row>
    <row r="7" spans="1:10" ht="17.25" thickBot="1" x14ac:dyDescent="0.3">
      <c r="A7" s="729">
        <v>4</v>
      </c>
      <c r="B7" s="730">
        <v>7.2</v>
      </c>
      <c r="C7" s="730">
        <v>0.56000000000000005</v>
      </c>
      <c r="D7" s="730">
        <v>0.12</v>
      </c>
      <c r="E7" s="730">
        <v>0.97</v>
      </c>
      <c r="F7" s="730">
        <v>2.4</v>
      </c>
      <c r="G7" s="730">
        <v>0.65</v>
      </c>
      <c r="H7" s="730">
        <v>3</v>
      </c>
      <c r="I7" s="730">
        <v>4.5</v>
      </c>
      <c r="J7" s="731">
        <v>26.65</v>
      </c>
    </row>
    <row r="8" spans="1:10" x14ac:dyDescent="0.25">
      <c r="A8" s="326" t="s">
        <v>84</v>
      </c>
      <c r="B8" s="10"/>
      <c r="C8" s="10"/>
      <c r="D8" s="10"/>
      <c r="E8" s="10"/>
      <c r="F8" s="10"/>
      <c r="G8" s="10"/>
      <c r="H8" s="10"/>
      <c r="I8" s="10"/>
      <c r="J8" s="19"/>
    </row>
    <row r="9" spans="1:10" x14ac:dyDescent="0.25">
      <c r="A9" s="34"/>
      <c r="B9" s="15"/>
      <c r="C9" s="15"/>
      <c r="D9" s="10"/>
      <c r="E9" s="37"/>
      <c r="F9" s="103"/>
      <c r="G9" s="38"/>
      <c r="H9" s="112"/>
      <c r="I9" s="10"/>
      <c r="J9" s="19"/>
    </row>
    <row r="10" spans="1:10" x14ac:dyDescent="0.25">
      <c r="A10" s="34"/>
      <c r="B10" s="15"/>
      <c r="C10" s="37" t="s">
        <v>72</v>
      </c>
      <c r="D10" s="10"/>
      <c r="E10" s="37"/>
      <c r="F10" s="37" t="s">
        <v>72</v>
      </c>
      <c r="G10" s="38"/>
      <c r="H10" s="112"/>
      <c r="I10" s="10"/>
      <c r="J10" s="19"/>
    </row>
    <row r="11" spans="1:10" x14ac:dyDescent="0.25">
      <c r="A11" s="34"/>
      <c r="B11" s="15"/>
      <c r="C11" s="70" t="s">
        <v>23</v>
      </c>
      <c r="D11" s="10"/>
      <c r="E11" s="37"/>
      <c r="F11" s="70" t="s">
        <v>464</v>
      </c>
      <c r="G11" s="38"/>
      <c r="H11" s="112"/>
      <c r="I11" s="10"/>
      <c r="J11" s="19"/>
    </row>
    <row r="12" spans="1:10" x14ac:dyDescent="0.25">
      <c r="A12" s="40"/>
      <c r="B12" s="41"/>
      <c r="C12" s="70" t="s">
        <v>24</v>
      </c>
      <c r="D12" s="10"/>
      <c r="E12" s="37"/>
      <c r="F12" s="70" t="s">
        <v>25</v>
      </c>
      <c r="G12" s="41"/>
      <c r="H12" s="111"/>
      <c r="I12" s="10"/>
      <c r="J12" s="19"/>
    </row>
    <row r="13" spans="1:10" x14ac:dyDescent="0.25">
      <c r="A13" s="34"/>
      <c r="B13" s="41"/>
      <c r="C13" s="70" t="s">
        <v>469</v>
      </c>
      <c r="D13" s="10"/>
      <c r="E13" s="37"/>
      <c r="F13" s="70" t="s">
        <v>465</v>
      </c>
      <c r="G13" s="41"/>
      <c r="H13" s="111"/>
      <c r="I13" s="10"/>
      <c r="J13" s="19"/>
    </row>
    <row r="14" spans="1:10" x14ac:dyDescent="0.25">
      <c r="A14" s="34"/>
      <c r="B14" s="41"/>
      <c r="C14" s="15"/>
      <c r="D14" s="10"/>
      <c r="E14" s="37"/>
      <c r="F14" s="38"/>
      <c r="G14" s="41"/>
      <c r="H14" s="111"/>
      <c r="I14" s="10"/>
      <c r="J14" s="19"/>
    </row>
    <row r="15" spans="1:10" x14ac:dyDescent="0.25">
      <c r="A15" s="34"/>
      <c r="B15" s="41"/>
      <c r="C15" s="37" t="s">
        <v>72</v>
      </c>
      <c r="D15" s="10"/>
      <c r="E15" s="37"/>
      <c r="F15" s="37" t="s">
        <v>72</v>
      </c>
      <c r="G15" s="41"/>
      <c r="H15" s="111"/>
      <c r="I15" s="10"/>
      <c r="J15" s="19"/>
    </row>
    <row r="16" spans="1:10" x14ac:dyDescent="0.25">
      <c r="A16" s="40" t="s">
        <v>47</v>
      </c>
      <c r="B16" s="41"/>
      <c r="C16" s="70" t="s">
        <v>466</v>
      </c>
      <c r="D16" s="10"/>
      <c r="E16" s="37"/>
      <c r="F16" s="347" t="s">
        <v>502</v>
      </c>
      <c r="G16" s="41"/>
      <c r="H16" s="111"/>
      <c r="I16" s="10"/>
      <c r="J16" s="19"/>
    </row>
    <row r="17" spans="1:10" x14ac:dyDescent="0.25">
      <c r="A17" s="69"/>
      <c r="B17" s="70"/>
      <c r="C17" s="70" t="s">
        <v>25</v>
      </c>
      <c r="D17" s="10"/>
      <c r="E17" s="37"/>
      <c r="F17" s="70" t="s">
        <v>504</v>
      </c>
      <c r="G17" s="70"/>
      <c r="H17" s="111"/>
      <c r="I17" s="10"/>
      <c r="J17" s="19"/>
    </row>
    <row r="18" spans="1:10" ht="15.75" thickBot="1" x14ac:dyDescent="0.3">
      <c r="A18" s="67"/>
      <c r="B18" s="68"/>
      <c r="C18" s="68" t="s">
        <v>468</v>
      </c>
      <c r="D18" s="42"/>
      <c r="E18" s="68"/>
      <c r="F18" s="68" t="s">
        <v>467</v>
      </c>
      <c r="G18" s="68"/>
      <c r="H18" s="325"/>
      <c r="I18" s="46"/>
      <c r="J18" s="47"/>
    </row>
  </sheetData>
  <sheetProtection sheet="1" objects="1" scenarios="1" selectLockedCells="1"/>
  <mergeCells count="5">
    <mergeCell ref="A1:J1"/>
    <mergeCell ref="A2:J2"/>
    <mergeCell ref="A3:J3"/>
    <mergeCell ref="A4:J4"/>
    <mergeCell ref="A5:J5"/>
  </mergeCells>
  <pageMargins left="0.51181102362204722" right="0.51181102362204722" top="0.78740157480314965" bottom="0.78740157480314965" header="0.31496062992125984" footer="0.31496062992125984"/>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3</vt:i4>
      </vt:variant>
    </vt:vector>
  </HeadingPairs>
  <TitlesOfParts>
    <vt:vector size="8" baseType="lpstr">
      <vt:lpstr>CÁLCULO</vt:lpstr>
      <vt:lpstr>ORÇAMENTO</vt:lpstr>
      <vt:lpstr>COMPOSIÇÃO</vt:lpstr>
      <vt:lpstr>CRONOGRAMA FÍSICO FINANCEIRO</vt:lpstr>
      <vt:lpstr>BDI</vt:lpstr>
      <vt:lpstr>CÁLCULO!Area_de_impressao</vt:lpstr>
      <vt:lpstr>ORÇAMENTO!Area_de_impressao</vt:lpstr>
      <vt:lpstr>ORÇAMENTO!Titulos_de_impressao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2019-08-07T12:02:12Z</cp:lastPrinted>
  <dcterms:created xsi:type="dcterms:W3CDTF">2019-02-07T16:00:56Z</dcterms:created>
  <dcterms:modified xsi:type="dcterms:W3CDTF">2019-09-04T11:10:57Z</dcterms:modified>
</cp:coreProperties>
</file>