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
    </mc:Choice>
  </mc:AlternateContent>
  <bookViews>
    <workbookView xWindow="0" yWindow="0" windowWidth="20490" windowHeight="7620" tabRatio="507"/>
  </bookViews>
  <sheets>
    <sheet name="ORÇAMENTO" sheetId="1" r:id="rId1"/>
    <sheet name="MEMÓRIA DE CÁLCULO" sheetId="2" r:id="rId2"/>
  </sheets>
  <definedNames>
    <definedName name="_xlnm.Print_Area" localSheetId="0">ORÇAMENTO!$A$3:$I$132</definedName>
    <definedName name="_xlnm.Print_Titles" localSheetId="0">ORÇAMENTO!$3:$9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3" i="1" l="1"/>
  <c r="E12" i="1"/>
  <c r="A2297" i="2" l="1"/>
  <c r="A2294" i="2"/>
  <c r="B2294" i="2"/>
  <c r="A2285" i="2"/>
  <c r="A2282" i="2"/>
  <c r="A2274" i="2" l="1"/>
  <c r="A2270" i="2"/>
  <c r="A2267" i="2"/>
  <c r="A1931" i="2"/>
  <c r="A1916" i="2"/>
  <c r="A1871" i="2"/>
  <c r="A1246" i="2"/>
  <c r="A867" i="2"/>
  <c r="A863" i="2"/>
  <c r="B863" i="2"/>
  <c r="A818" i="2"/>
  <c r="A813" i="2"/>
  <c r="A788" i="2"/>
  <c r="A763" i="2"/>
  <c r="A758" i="2"/>
  <c r="A754" i="2"/>
  <c r="A666" i="2"/>
  <c r="A647" i="2"/>
  <c r="A639" i="2"/>
  <c r="A633" i="2"/>
  <c r="B628" i="2"/>
  <c r="A628" i="2"/>
  <c r="A622" i="2"/>
  <c r="A617" i="2"/>
  <c r="A557" i="2"/>
  <c r="A551" i="2"/>
  <c r="A537" i="2"/>
  <c r="A531" i="2"/>
  <c r="A525" i="2"/>
  <c r="A519" i="2"/>
  <c r="A514" i="2"/>
  <c r="A503" i="2"/>
  <c r="A499" i="2"/>
  <c r="A482" i="2"/>
  <c r="A475" i="2"/>
  <c r="A471" i="2"/>
  <c r="A463" i="2"/>
  <c r="A453" i="2"/>
  <c r="A446" i="2"/>
  <c r="A389" i="2"/>
  <c r="A385" i="2"/>
  <c r="A368" i="2"/>
  <c r="A360" i="2"/>
  <c r="A312" i="2"/>
  <c r="A278" i="2"/>
  <c r="A270" i="2"/>
  <c r="A259" i="2"/>
  <c r="A196" i="2"/>
  <c r="A190" i="2"/>
  <c r="A180" i="2"/>
  <c r="A136" i="2"/>
  <c r="A102" i="2"/>
  <c r="A80" i="2"/>
  <c r="A76" i="2"/>
  <c r="A70" i="2"/>
  <c r="A67" i="2"/>
  <c r="A55" i="2"/>
  <c r="A43" i="2"/>
  <c r="A40" i="2"/>
  <c r="A17" i="2"/>
  <c r="A9" i="2"/>
  <c r="F2295" i="2" l="1"/>
  <c r="F2296" i="2" l="1"/>
  <c r="E121" i="1" s="1"/>
  <c r="I121" i="1" s="1"/>
  <c r="E785" i="2" l="1"/>
  <c r="D785" i="2"/>
  <c r="F784" i="2"/>
  <c r="E783" i="2"/>
  <c r="D783" i="2"/>
  <c r="F782" i="2"/>
  <c r="F778" i="2"/>
  <c r="F777" i="2"/>
  <c r="F775" i="2"/>
  <c r="F774" i="2"/>
  <c r="F772" i="2"/>
  <c r="F771" i="2"/>
  <c r="F769" i="2"/>
  <c r="F768" i="2"/>
  <c r="F766" i="2"/>
  <c r="D765" i="2"/>
  <c r="F765" i="2" s="1"/>
  <c r="B763" i="2"/>
  <c r="F767" i="2" l="1"/>
  <c r="F779" i="2"/>
  <c r="F783" i="2"/>
  <c r="F776" i="2"/>
  <c r="F773" i="2"/>
  <c r="F770" i="2"/>
  <c r="F785" i="2"/>
  <c r="F786" i="2" s="1"/>
  <c r="F68" i="2"/>
  <c r="E17" i="1" s="1"/>
  <c r="I17" i="1" s="1"/>
  <c r="E94" i="1" l="1"/>
  <c r="I94" i="1" s="1"/>
  <c r="F444" i="2"/>
  <c r="F750" i="2"/>
  <c r="F2268" i="2"/>
  <c r="E113" i="1" s="1"/>
  <c r="I113" i="1" s="1"/>
  <c r="B2267" i="2"/>
  <c r="D2243" i="2"/>
  <c r="F2243" i="2" s="1"/>
  <c r="F1945" i="2" l="1"/>
  <c r="F1944" i="2"/>
  <c r="D1943" i="2"/>
  <c r="F1943" i="2" s="1"/>
  <c r="F1942" i="2"/>
  <c r="F1941" i="2"/>
  <c r="F1929" i="2"/>
  <c r="F1928" i="2"/>
  <c r="F1926" i="2"/>
  <c r="F1925" i="2"/>
  <c r="D1927" i="2"/>
  <c r="F1927" i="2" s="1"/>
  <c r="F860" i="2"/>
  <c r="F1946" i="2" l="1"/>
  <c r="F15" i="2"/>
  <c r="D13" i="2"/>
  <c r="E104" i="1"/>
  <c r="I104" i="1" s="1"/>
  <c r="I105" i="1" l="1"/>
  <c r="F77" i="2" l="1"/>
  <c r="E22" i="1" s="1"/>
  <c r="I22" i="1" s="1"/>
  <c r="B76" i="2"/>
  <c r="D808" i="2"/>
  <c r="I23" i="1" l="1"/>
  <c r="D540" i="2"/>
  <c r="F540" i="2" s="1"/>
  <c r="D542" i="2"/>
  <c r="F542" i="2" s="1"/>
  <c r="F541" i="2"/>
  <c r="F539" i="2"/>
  <c r="F73" i="2"/>
  <c r="F72" i="2"/>
  <c r="B70" i="2"/>
  <c r="E18" i="1" l="1"/>
  <c r="I18" i="1" s="1"/>
  <c r="D2145" i="2"/>
  <c r="F2145" i="2" s="1"/>
  <c r="F1731" i="2"/>
  <c r="F1488" i="2"/>
  <c r="F1489" i="2" s="1"/>
  <c r="D1355" i="2"/>
  <c r="F1355" i="2" s="1"/>
  <c r="F1356" i="2" s="1"/>
  <c r="F1240" i="2"/>
  <c r="F1241" i="2" s="1"/>
  <c r="D1360" i="2"/>
  <c r="F1360" i="2" s="1"/>
  <c r="D1363" i="2"/>
  <c r="F1363" i="2" s="1"/>
  <c r="D1362" i="2"/>
  <c r="F1362" i="2" s="1"/>
  <c r="D1361" i="2"/>
  <c r="F1361" i="2" s="1"/>
  <c r="D1359" i="2"/>
  <c r="F1359" i="2" s="1"/>
  <c r="F1065" i="2"/>
  <c r="F1066" i="2" s="1"/>
  <c r="D948" i="2"/>
  <c r="F948" i="2" s="1"/>
  <c r="D947" i="2"/>
  <c r="F947" i="2" s="1"/>
  <c r="D946" i="2"/>
  <c r="F946" i="2" s="1"/>
  <c r="D945" i="2"/>
  <c r="F945" i="2" s="1"/>
  <c r="D951" i="2"/>
  <c r="F951" i="2" s="1"/>
  <c r="D952" i="2"/>
  <c r="F952" i="2" s="1"/>
  <c r="D953" i="2"/>
  <c r="F953" i="2" s="1"/>
  <c r="F1364" i="2" l="1"/>
  <c r="F949" i="2"/>
  <c r="F954" i="2"/>
  <c r="D934" i="2" l="1"/>
  <c r="F920" i="2"/>
  <c r="F914" i="2"/>
  <c r="D898" i="2"/>
  <c r="D885" i="2"/>
  <c r="D884" i="2"/>
  <c r="D677" i="2"/>
  <c r="F677" i="2" s="1"/>
  <c r="D676" i="2"/>
  <c r="F676" i="2" s="1"/>
  <c r="D675" i="2"/>
  <c r="F675" i="2" s="1"/>
  <c r="D674" i="2"/>
  <c r="F674" i="2" s="1"/>
  <c r="D673" i="2"/>
  <c r="F673" i="2" s="1"/>
  <c r="D672" i="2"/>
  <c r="F672" i="2" s="1"/>
  <c r="D671" i="2"/>
  <c r="F671" i="2" s="1"/>
  <c r="D670" i="2"/>
  <c r="F670" i="2" s="1"/>
  <c r="F497" i="2"/>
  <c r="F486" i="2"/>
  <c r="F492" i="2"/>
  <c r="F409" i="2"/>
  <c r="E51" i="1" l="1"/>
  <c r="I51" i="1" s="1"/>
  <c r="F2276" i="2"/>
  <c r="F2277" i="2" s="1"/>
  <c r="D2158" i="2"/>
  <c r="F2158" i="2" s="1"/>
  <c r="D2278" i="2"/>
  <c r="F2278" i="2" s="1"/>
  <c r="F2279" i="2" s="1"/>
  <c r="F630" i="2"/>
  <c r="E75" i="1" s="1"/>
  <c r="I75" i="1" s="1"/>
  <c r="F626" i="2"/>
  <c r="B622" i="2"/>
  <c r="F624" i="2"/>
  <c r="F619" i="2"/>
  <c r="E70" i="1" s="1"/>
  <c r="I70" i="1" s="1"/>
  <c r="B617" i="2"/>
  <c r="I71" i="1" l="1"/>
  <c r="E115" i="1"/>
  <c r="I115" i="1" s="1"/>
  <c r="E74" i="1"/>
  <c r="I74" i="1" s="1"/>
  <c r="F2272" i="2"/>
  <c r="F2273" i="2" s="1"/>
  <c r="E114" i="1" s="1"/>
  <c r="I114" i="1" s="1"/>
  <c r="I76" i="1" l="1"/>
  <c r="B2270" i="2"/>
  <c r="F815" i="2"/>
  <c r="F816" i="2" s="1"/>
  <c r="E96" i="1" s="1"/>
  <c r="I96" i="1" s="1"/>
  <c r="B813" i="2"/>
  <c r="F760" i="2" l="1"/>
  <c r="B758" i="2"/>
  <c r="F756" i="2"/>
  <c r="F757" i="2" s="1"/>
  <c r="E92" i="1" s="1"/>
  <c r="I92" i="1" s="1"/>
  <c r="B754" i="2"/>
  <c r="F762" i="2" l="1"/>
  <c r="E93" i="1" s="1"/>
  <c r="I93" i="1" s="1"/>
  <c r="D790" i="2"/>
  <c r="F790" i="2" s="1"/>
  <c r="F791" i="2"/>
  <c r="F793" i="2"/>
  <c r="F794" i="2"/>
  <c r="F796" i="2"/>
  <c r="F797" i="2"/>
  <c r="F799" i="2"/>
  <c r="F800" i="2"/>
  <c r="F802" i="2"/>
  <c r="F803" i="2"/>
  <c r="F795" i="2" l="1"/>
  <c r="F798" i="2"/>
  <c r="F792" i="2"/>
  <c r="F804" i="2"/>
  <c r="F801" i="2"/>
  <c r="F178" i="2" l="1"/>
  <c r="D749" i="2"/>
  <c r="F749" i="2" s="1"/>
  <c r="F751" i="2" s="1"/>
  <c r="F13" i="2"/>
  <c r="D1243" i="2"/>
  <c r="F1243" i="2" s="1"/>
  <c r="F1244" i="2" s="1"/>
  <c r="F829" i="2"/>
  <c r="F1913" i="2"/>
  <c r="F1912" i="2"/>
  <c r="D2283" i="2"/>
  <c r="F2283" i="2" s="1"/>
  <c r="F2284" i="2" s="1"/>
  <c r="E119" i="1" s="1"/>
  <c r="I119" i="1" s="1"/>
  <c r="B2282" i="2"/>
  <c r="D41" i="2"/>
  <c r="F41" i="2" s="1"/>
  <c r="F42" i="2" s="1"/>
  <c r="E14" i="1" s="1"/>
  <c r="I14" i="1" s="1"/>
  <c r="B40" i="2"/>
  <c r="F11" i="2"/>
  <c r="B9" i="2"/>
  <c r="I12" i="1" l="1"/>
  <c r="F1914" i="2"/>
  <c r="F2292" i="2"/>
  <c r="F2291" i="2"/>
  <c r="F2287" i="2"/>
  <c r="F2289" i="2"/>
  <c r="E120" i="1" l="1"/>
  <c r="I120" i="1" s="1"/>
  <c r="D2254" i="2" l="1"/>
  <c r="D2252" i="2"/>
  <c r="D2253" i="2"/>
  <c r="D2251" i="2"/>
  <c r="D2146" i="2"/>
  <c r="F2146" i="2" s="1"/>
  <c r="D2144" i="2"/>
  <c r="F2144" i="2" s="1"/>
  <c r="D2143" i="2"/>
  <c r="F2143" i="2" s="1"/>
  <c r="D2142" i="2"/>
  <c r="F2142" i="2" s="1"/>
  <c r="D2141" i="2"/>
  <c r="F2141" i="2" s="1"/>
  <c r="D2140" i="2"/>
  <c r="F2140" i="2" s="1"/>
  <c r="D2139" i="2"/>
  <c r="F2139" i="2" s="1"/>
  <c r="D2138" i="2"/>
  <c r="F2138" i="2" s="1"/>
  <c r="D2137" i="2"/>
  <c r="F2137" i="2" s="1"/>
  <c r="D2136" i="2"/>
  <c r="F2136" i="2" s="1"/>
  <c r="D2135" i="2"/>
  <c r="F2135" i="2" s="1"/>
  <c r="D2134" i="2"/>
  <c r="F2134" i="2" s="1"/>
  <c r="D2133" i="2"/>
  <c r="F2133" i="2" s="1"/>
  <c r="D2132" i="2"/>
  <c r="F2132" i="2" s="1"/>
  <c r="D2131" i="2"/>
  <c r="F2131" i="2" s="1"/>
  <c r="D2130" i="2"/>
  <c r="F2130" i="2" s="1"/>
  <c r="D2129" i="2"/>
  <c r="F2129" i="2" s="1"/>
  <c r="D2128" i="2"/>
  <c r="F2128" i="2" s="1"/>
  <c r="D2127" i="2"/>
  <c r="F2127" i="2" s="1"/>
  <c r="D2126" i="2"/>
  <c r="F2126" i="2" s="1"/>
  <c r="D2125" i="2"/>
  <c r="F2125" i="2" s="1"/>
  <c r="D2124" i="2"/>
  <c r="F2124" i="2" s="1"/>
  <c r="D2123" i="2"/>
  <c r="F2123" i="2" s="1"/>
  <c r="D2122" i="2"/>
  <c r="F2122" i="2" s="1"/>
  <c r="D2121" i="2"/>
  <c r="F2121" i="2" s="1"/>
  <c r="D2120" i="2"/>
  <c r="F2120" i="2" s="1"/>
  <c r="D2112" i="2"/>
  <c r="F2112" i="2" s="1"/>
  <c r="D2117" i="2"/>
  <c r="F2117" i="2" s="1"/>
  <c r="D2116" i="2"/>
  <c r="F2116" i="2" s="1"/>
  <c r="D2115" i="2"/>
  <c r="F2115" i="2" s="1"/>
  <c r="D2114" i="2"/>
  <c r="F2114" i="2" s="1"/>
  <c r="D2113" i="2"/>
  <c r="F2113" i="2" s="1"/>
  <c r="D2111" i="2"/>
  <c r="F2111" i="2" s="1"/>
  <c r="D2110" i="2"/>
  <c r="F2110" i="2" s="1"/>
  <c r="D2109" i="2"/>
  <c r="F2109" i="2" s="1"/>
  <c r="D2108" i="2"/>
  <c r="F2108" i="2" s="1"/>
  <c r="D2107" i="2"/>
  <c r="F2107" i="2" s="1"/>
  <c r="D2106" i="2"/>
  <c r="F2106" i="2" s="1"/>
  <c r="D2105" i="2"/>
  <c r="F2105" i="2" s="1"/>
  <c r="D2104" i="2"/>
  <c r="F2104" i="2" s="1"/>
  <c r="D2103" i="2"/>
  <c r="F2103" i="2" s="1"/>
  <c r="D2102" i="2"/>
  <c r="F2102" i="2" s="1"/>
  <c r="D2101" i="2"/>
  <c r="F2101" i="2" s="1"/>
  <c r="D2100" i="2"/>
  <c r="F2100" i="2" s="1"/>
  <c r="D2099" i="2"/>
  <c r="F2099" i="2" s="1"/>
  <c r="D2098" i="2"/>
  <c r="F2098" i="2" s="1"/>
  <c r="D2015" i="2"/>
  <c r="F2015" i="2" s="1"/>
  <c r="D2014" i="2"/>
  <c r="F2014" i="2" s="1"/>
  <c r="D2012" i="2"/>
  <c r="F2012" i="2" s="1"/>
  <c r="D2011" i="2"/>
  <c r="F2011" i="2" s="1"/>
  <c r="D2010" i="2"/>
  <c r="F2010" i="2" s="1"/>
  <c r="D2009" i="2"/>
  <c r="F2009" i="2" s="1"/>
  <c r="D2007" i="2"/>
  <c r="F2007" i="2" s="1"/>
  <c r="D2006" i="2"/>
  <c r="F2006" i="2" s="1"/>
  <c r="D2004" i="2"/>
  <c r="F2004" i="2" s="1"/>
  <c r="D2003" i="2"/>
  <c r="F2003" i="2" s="1"/>
  <c r="D2001" i="2"/>
  <c r="F2001" i="2" s="1"/>
  <c r="D2000" i="2"/>
  <c r="F2000" i="2" s="1"/>
  <c r="D1998" i="2"/>
  <c r="F1998" i="2" s="1"/>
  <c r="D1997" i="2"/>
  <c r="F1997" i="2" s="1"/>
  <c r="D1995" i="2"/>
  <c r="F1995" i="2" s="1"/>
  <c r="D1994" i="2"/>
  <c r="F1994" i="2" s="1"/>
  <c r="D1992" i="2"/>
  <c r="F1992" i="2" s="1"/>
  <c r="D1991" i="2"/>
  <c r="F1991" i="2" s="1"/>
  <c r="D1989" i="2"/>
  <c r="F1989" i="2" s="1"/>
  <c r="D1988" i="2"/>
  <c r="F1988" i="2" s="1"/>
  <c r="D1987" i="2"/>
  <c r="F1987" i="2" s="1"/>
  <c r="D1986" i="2"/>
  <c r="F1986" i="2" s="1"/>
  <c r="D1984" i="2"/>
  <c r="F1984" i="2" s="1"/>
  <c r="D1983" i="2"/>
  <c r="F1983" i="2" s="1"/>
  <c r="D1981" i="2"/>
  <c r="F1981" i="2" s="1"/>
  <c r="D1980" i="2"/>
  <c r="F1980" i="2" s="1"/>
  <c r="D1979" i="2"/>
  <c r="F1979" i="2" s="1"/>
  <c r="D1978" i="2"/>
  <c r="F1978" i="2" s="1"/>
  <c r="D1974" i="2"/>
  <c r="F1974" i="2" s="1"/>
  <c r="D1973" i="2"/>
  <c r="F1973" i="2" s="1"/>
  <c r="D1971" i="2"/>
  <c r="F1971" i="2" s="1"/>
  <c r="D1970" i="2"/>
  <c r="F1970" i="2" s="1"/>
  <c r="D1968" i="2"/>
  <c r="F1968" i="2" s="1"/>
  <c r="D1967" i="2"/>
  <c r="F1967" i="2" s="1"/>
  <c r="D1965" i="2"/>
  <c r="F1965" i="2" s="1"/>
  <c r="D1964" i="2"/>
  <c r="F1964" i="2" s="1"/>
  <c r="D1962" i="2"/>
  <c r="F1962" i="2" s="1"/>
  <c r="D1961" i="2"/>
  <c r="F1961" i="2" s="1"/>
  <c r="D1959" i="2"/>
  <c r="F1959" i="2" s="1"/>
  <c r="D1958" i="2"/>
  <c r="F1958" i="2" s="1"/>
  <c r="D1956" i="2"/>
  <c r="F1956" i="2" s="1"/>
  <c r="D1955" i="2"/>
  <c r="F1955" i="2" s="1"/>
  <c r="D1953" i="2"/>
  <c r="F1953" i="2" s="1"/>
  <c r="D1952" i="2"/>
  <c r="F1952" i="2" s="1"/>
  <c r="D1950" i="2"/>
  <c r="F1950" i="2" s="1"/>
  <c r="D1949" i="2"/>
  <c r="F1949" i="2" s="1"/>
  <c r="D1939" i="2"/>
  <c r="F1939" i="2" s="1"/>
  <c r="D1924" i="2"/>
  <c r="F1924" i="2" s="1"/>
  <c r="F1892" i="2"/>
  <c r="D1891" i="2"/>
  <c r="F1891" i="2" s="1"/>
  <c r="F1890" i="2"/>
  <c r="D1889" i="2"/>
  <c r="F1889" i="2" s="1"/>
  <c r="F1886" i="2"/>
  <c r="D1885" i="2"/>
  <c r="F1885" i="2" s="1"/>
  <c r="F1884" i="2"/>
  <c r="D1883" i="2"/>
  <c r="F1883" i="2" s="1"/>
  <c r="D1880" i="2"/>
  <c r="F1880" i="2" s="1"/>
  <c r="D1879" i="2"/>
  <c r="F1879" i="2" s="1"/>
  <c r="D1878" i="2"/>
  <c r="F1878" i="2" s="1"/>
  <c r="D1877" i="2"/>
  <c r="F1877" i="2" s="1"/>
  <c r="D1876" i="2"/>
  <c r="F1876" i="2" s="1"/>
  <c r="D1875" i="2"/>
  <c r="F1875" i="2" s="1"/>
  <c r="D1874" i="2"/>
  <c r="F1874" i="2" s="1"/>
  <c r="D1867" i="2"/>
  <c r="F1867" i="2" s="1"/>
  <c r="D1866" i="2"/>
  <c r="F1866" i="2" s="1"/>
  <c r="F1865" i="2"/>
  <c r="D1864" i="2"/>
  <c r="F1864" i="2" s="1"/>
  <c r="F1863" i="2"/>
  <c r="F1862" i="2"/>
  <c r="D1861" i="2"/>
  <c r="F1861" i="2" s="1"/>
  <c r="D1860" i="2"/>
  <c r="F1860" i="2" s="1"/>
  <c r="D1859" i="2"/>
  <c r="F1859" i="2" s="1"/>
  <c r="D1858" i="2"/>
  <c r="F1858" i="2" s="1"/>
  <c r="D1857" i="2"/>
  <c r="F1857" i="2" s="1"/>
  <c r="D1856" i="2"/>
  <c r="F1856" i="2" s="1"/>
  <c r="D1855" i="2"/>
  <c r="F1855" i="2" s="1"/>
  <c r="D1854" i="2"/>
  <c r="F1854" i="2" s="1"/>
  <c r="D1853" i="2"/>
  <c r="F1853" i="2" s="1"/>
  <c r="D1852" i="2"/>
  <c r="F1852" i="2" s="1"/>
  <c r="D1851" i="2"/>
  <c r="F1851" i="2" s="1"/>
  <c r="D1850" i="2"/>
  <c r="F1850" i="2" s="1"/>
  <c r="D1848" i="2"/>
  <c r="F1848" i="2" s="1"/>
  <c r="D1847" i="2"/>
  <c r="F1847" i="2" s="1"/>
  <c r="D1846" i="2"/>
  <c r="F1846" i="2" s="1"/>
  <c r="D1845" i="2"/>
  <c r="F1845" i="2" s="1"/>
  <c r="D1844" i="2"/>
  <c r="F1844" i="2" s="1"/>
  <c r="D1843" i="2"/>
  <c r="F1843" i="2" s="1"/>
  <c r="D1842" i="2"/>
  <c r="F1842" i="2" s="1"/>
  <c r="D1841" i="2"/>
  <c r="F1841" i="2" s="1"/>
  <c r="D1840" i="2"/>
  <c r="F1840" i="2" s="1"/>
  <c r="D1839" i="2"/>
  <c r="F1839" i="2" s="1"/>
  <c r="D1838" i="2"/>
  <c r="F1838" i="2" s="1"/>
  <c r="F1837" i="2"/>
  <c r="D1836" i="2"/>
  <c r="F1836" i="2" s="1"/>
  <c r="D1835" i="2"/>
  <c r="F1835" i="2" s="1"/>
  <c r="D1834" i="2"/>
  <c r="F1834" i="2" s="1"/>
  <c r="D1833" i="2"/>
  <c r="F1833" i="2" s="1"/>
  <c r="F1832" i="2"/>
  <c r="F1831" i="2"/>
  <c r="D1817" i="2"/>
  <c r="F1817" i="2" s="1"/>
  <c r="D1827" i="2"/>
  <c r="F1827" i="2" s="1"/>
  <c r="D1826" i="2"/>
  <c r="F1826" i="2" s="1"/>
  <c r="D1825" i="2"/>
  <c r="F1825" i="2" s="1"/>
  <c r="D1824" i="2"/>
  <c r="F1824" i="2" s="1"/>
  <c r="D1823" i="2"/>
  <c r="F1823" i="2" s="1"/>
  <c r="D1822" i="2"/>
  <c r="F1822" i="2" s="1"/>
  <c r="D1821" i="2"/>
  <c r="F1821" i="2" s="1"/>
  <c r="D1820" i="2"/>
  <c r="F1820" i="2" s="1"/>
  <c r="D1819" i="2"/>
  <c r="F1819" i="2" s="1"/>
  <c r="D1818" i="2"/>
  <c r="F1818" i="2" s="1"/>
  <c r="D1816" i="2"/>
  <c r="F1816" i="2" s="1"/>
  <c r="D1815" i="2"/>
  <c r="F1815" i="2" s="1"/>
  <c r="D1814" i="2"/>
  <c r="F1814" i="2" s="1"/>
  <c r="D1813" i="2"/>
  <c r="F1813" i="2" s="1"/>
  <c r="D1812" i="2"/>
  <c r="F1812" i="2" s="1"/>
  <c r="D1811" i="2"/>
  <c r="F1811" i="2" s="1"/>
  <c r="D1808" i="2"/>
  <c r="F1808" i="2" s="1"/>
  <c r="D1807" i="2"/>
  <c r="F1807" i="2" s="1"/>
  <c r="D1806" i="2"/>
  <c r="F1806" i="2" s="1"/>
  <c r="D1805" i="2"/>
  <c r="F1805" i="2" s="1"/>
  <c r="D1804" i="2"/>
  <c r="F1804" i="2" s="1"/>
  <c r="F2147" i="2" l="1"/>
  <c r="F1969" i="2"/>
  <c r="F2118" i="2"/>
  <c r="F1966" i="2"/>
  <c r="F1993" i="2"/>
  <c r="F2005" i="2"/>
  <c r="F2002" i="2"/>
  <c r="F1990" i="2"/>
  <c r="F1982" i="2"/>
  <c r="F2008" i="2"/>
  <c r="F2016" i="2"/>
  <c r="F1954" i="2"/>
  <c r="F1996" i="2"/>
  <c r="F1963" i="2"/>
  <c r="F1951" i="2"/>
  <c r="F1960" i="2"/>
  <c r="F1975" i="2"/>
  <c r="F1985" i="2"/>
  <c r="F1999" i="2"/>
  <c r="F2013" i="2"/>
  <c r="F1957" i="2"/>
  <c r="F1972" i="2"/>
  <c r="F1893" i="2"/>
  <c r="F1868" i="2"/>
  <c r="F1881" i="2"/>
  <c r="F1887" i="2"/>
  <c r="F1809" i="2"/>
  <c r="F1828" i="2"/>
  <c r="F1976" i="2" l="1"/>
  <c r="F1753" i="2" l="1"/>
  <c r="F1752" i="2"/>
  <c r="F1751" i="2"/>
  <c r="F1750" i="2"/>
  <c r="F1749" i="2"/>
  <c r="F1748" i="2"/>
  <c r="F1747" i="2"/>
  <c r="F1746" i="2"/>
  <c r="F1745" i="2"/>
  <c r="F1744" i="2"/>
  <c r="F1743" i="2"/>
  <c r="F1742" i="2"/>
  <c r="F1741" i="2"/>
  <c r="F1740" i="2"/>
  <c r="F1739" i="2"/>
  <c r="F1738" i="2"/>
  <c r="F1737" i="2"/>
  <c r="F1736" i="2"/>
  <c r="F1735" i="2"/>
  <c r="F1734" i="2"/>
  <c r="F1733" i="2"/>
  <c r="F1732" i="2"/>
  <c r="F1730" i="2"/>
  <c r="F1727" i="2"/>
  <c r="F1726" i="2"/>
  <c r="F1725" i="2"/>
  <c r="F1724" i="2"/>
  <c r="F1723" i="2"/>
  <c r="F1722" i="2"/>
  <c r="F1721" i="2"/>
  <c r="F1720" i="2"/>
  <c r="F1719" i="2"/>
  <c r="F1718" i="2"/>
  <c r="F1717" i="2"/>
  <c r="F1716" i="2"/>
  <c r="F1715" i="2"/>
  <c r="F1714" i="2"/>
  <c r="F1713" i="2"/>
  <c r="F1712" i="2"/>
  <c r="F1711" i="2"/>
  <c r="F1710" i="2"/>
  <c r="F1709" i="2"/>
  <c r="F1708" i="2"/>
  <c r="F1707" i="2"/>
  <c r="D1485" i="2"/>
  <c r="F1485" i="2" s="1"/>
  <c r="D1484" i="2"/>
  <c r="F1484" i="2" s="1"/>
  <c r="D1483" i="2"/>
  <c r="F1483" i="2" s="1"/>
  <c r="D1482" i="2"/>
  <c r="F1482" i="2" s="1"/>
  <c r="F1479" i="2"/>
  <c r="F1478" i="2"/>
  <c r="D1477" i="2"/>
  <c r="F1477" i="2" s="1"/>
  <c r="F1474" i="2"/>
  <c r="F1473" i="2"/>
  <c r="D1472" i="2"/>
  <c r="F1472" i="2" s="1"/>
  <c r="D1469" i="2"/>
  <c r="F1469" i="2" s="1"/>
  <c r="D1468" i="2"/>
  <c r="F1468" i="2" s="1"/>
  <c r="F1467" i="2"/>
  <c r="D1466" i="2"/>
  <c r="F1466" i="2" s="1"/>
  <c r="D1465" i="2"/>
  <c r="F1465" i="2" s="1"/>
  <c r="D1462" i="2"/>
  <c r="F1462" i="2" s="1"/>
  <c r="D1461" i="2"/>
  <c r="F1461" i="2" s="1"/>
  <c r="D1460" i="2"/>
  <c r="F1460" i="2" s="1"/>
  <c r="D1459" i="2"/>
  <c r="F1459" i="2" s="1"/>
  <c r="F1456" i="2"/>
  <c r="F1455" i="2"/>
  <c r="D1454" i="2"/>
  <c r="F1454" i="2" s="1"/>
  <c r="F1451" i="2"/>
  <c r="F1450" i="2"/>
  <c r="D1449" i="2"/>
  <c r="F1449" i="2" s="1"/>
  <c r="D1446" i="2"/>
  <c r="F1446" i="2" s="1"/>
  <c r="D1445" i="2"/>
  <c r="F1445" i="2" s="1"/>
  <c r="F1444" i="2"/>
  <c r="F1443" i="2"/>
  <c r="F1442" i="2"/>
  <c r="D1441" i="2"/>
  <c r="F1441" i="2" s="1"/>
  <c r="D1440" i="2"/>
  <c r="F1440" i="2" s="1"/>
  <c r="D1439" i="2"/>
  <c r="F1439" i="2" s="1"/>
  <c r="F1436" i="2"/>
  <c r="D1435" i="2"/>
  <c r="F1435" i="2" s="1"/>
  <c r="D1434" i="2"/>
  <c r="F1434" i="2" s="1"/>
  <c r="D1431" i="2"/>
  <c r="F1431" i="2" s="1"/>
  <c r="D1430" i="2"/>
  <c r="F1430" i="2" s="1"/>
  <c r="F1429" i="2"/>
  <c r="D1426" i="2"/>
  <c r="F1426" i="2" s="1"/>
  <c r="D1425" i="2"/>
  <c r="F1425" i="2" s="1"/>
  <c r="D1424" i="2"/>
  <c r="F1424" i="2" s="1"/>
  <c r="F1421" i="2"/>
  <c r="D1420" i="2"/>
  <c r="F1420" i="2" s="1"/>
  <c r="D1419" i="2"/>
  <c r="F1419" i="2" s="1"/>
  <c r="D1418" i="2"/>
  <c r="F1418" i="2" s="1"/>
  <c r="D1417" i="2"/>
  <c r="F1417" i="2" s="1"/>
  <c r="D1414" i="2"/>
  <c r="F1414" i="2" s="1"/>
  <c r="D1413" i="2"/>
  <c r="F1413" i="2" s="1"/>
  <c r="D1412" i="2"/>
  <c r="F1412" i="2" s="1"/>
  <c r="D1411" i="2"/>
  <c r="F1411" i="2" s="1"/>
  <c r="D1408" i="2"/>
  <c r="F1408" i="2" s="1"/>
  <c r="D1407" i="2"/>
  <c r="F1407" i="2" s="1"/>
  <c r="D1406" i="2"/>
  <c r="F1406" i="2" s="1"/>
  <c r="D1405" i="2"/>
  <c r="F1405" i="2" s="1"/>
  <c r="F1402" i="2"/>
  <c r="D1401" i="2"/>
  <c r="F1401" i="2" s="1"/>
  <c r="D1400" i="2"/>
  <c r="F1400" i="2" s="1"/>
  <c r="D1399" i="2"/>
  <c r="F1399" i="2" s="1"/>
  <c r="F1396" i="2"/>
  <c r="D1395" i="2"/>
  <c r="F1395" i="2" s="1"/>
  <c r="D1394" i="2"/>
  <c r="F1394" i="2" s="1"/>
  <c r="D1393" i="2"/>
  <c r="F1393" i="2" s="1"/>
  <c r="D1390" i="2"/>
  <c r="F1390" i="2" s="1"/>
  <c r="D1389" i="2"/>
  <c r="F1389" i="2" s="1"/>
  <c r="D1388" i="2"/>
  <c r="F1388" i="2" s="1"/>
  <c r="D1387" i="2"/>
  <c r="F1387" i="2" s="1"/>
  <c r="D1384" i="2"/>
  <c r="F1384" i="2" s="1"/>
  <c r="D1383" i="2"/>
  <c r="F1383" i="2" s="1"/>
  <c r="D1382" i="2"/>
  <c r="F1382" i="2" s="1"/>
  <c r="D1381" i="2"/>
  <c r="F1381" i="2" s="1"/>
  <c r="D1380" i="2"/>
  <c r="F1380" i="2" s="1"/>
  <c r="D1377" i="2"/>
  <c r="F1377" i="2" s="1"/>
  <c r="F1376" i="2"/>
  <c r="D1375" i="2"/>
  <c r="F1375" i="2" s="1"/>
  <c r="D1374" i="2"/>
  <c r="F1374" i="2" s="1"/>
  <c r="D1371" i="2"/>
  <c r="F1371" i="2" s="1"/>
  <c r="F1370" i="2"/>
  <c r="F1369" i="2"/>
  <c r="D1368" i="2"/>
  <c r="F1368" i="2" s="1"/>
  <c r="D1367" i="2"/>
  <c r="F1367" i="2" s="1"/>
  <c r="D1366" i="2"/>
  <c r="F1366" i="2" s="1"/>
  <c r="F1754" i="2" l="1"/>
  <c r="F1480" i="2"/>
  <c r="F1427" i="2"/>
  <c r="F1372" i="2"/>
  <c r="F1452" i="2"/>
  <c r="F1385" i="2"/>
  <c r="F1397" i="2"/>
  <c r="F1409" i="2"/>
  <c r="F1437" i="2"/>
  <c r="F1457" i="2"/>
  <c r="F1475" i="2"/>
  <c r="F1415" i="2"/>
  <c r="F1432" i="2"/>
  <c r="F1403" i="2"/>
  <c r="F1447" i="2"/>
  <c r="F1422" i="2"/>
  <c r="F1470" i="2"/>
  <c r="F1378" i="2"/>
  <c r="F1391" i="2"/>
  <c r="F1463" i="2"/>
  <c r="F1486" i="2"/>
  <c r="F1352" i="2" l="1"/>
  <c r="D1351" i="2"/>
  <c r="F1351" i="2" s="1"/>
  <c r="D1350" i="2"/>
  <c r="F1350" i="2" s="1"/>
  <c r="F1347" i="2"/>
  <c r="F1346" i="2"/>
  <c r="D1345" i="2"/>
  <c r="F1345" i="2" s="1"/>
  <c r="F1342" i="2"/>
  <c r="F1341" i="2"/>
  <c r="D1340" i="2"/>
  <c r="F1340" i="2" s="1"/>
  <c r="D1337" i="2"/>
  <c r="F1337" i="2" s="1"/>
  <c r="F1336" i="2"/>
  <c r="D1335" i="2"/>
  <c r="F1335" i="2" s="1"/>
  <c r="D1334" i="2"/>
  <c r="F1334" i="2" s="1"/>
  <c r="D1333" i="2"/>
  <c r="F1333" i="2" s="1"/>
  <c r="F1330" i="2"/>
  <c r="F1329" i="2"/>
  <c r="D1328" i="2"/>
  <c r="F1328" i="2" s="1"/>
  <c r="F1325" i="2"/>
  <c r="F1324" i="2"/>
  <c r="D1323" i="2"/>
  <c r="F1323" i="2" s="1"/>
  <c r="F1320" i="2"/>
  <c r="F1319" i="2"/>
  <c r="D1318" i="2"/>
  <c r="F1318" i="2" s="1"/>
  <c r="D1317" i="2"/>
  <c r="F1317" i="2" s="1"/>
  <c r="D1316" i="2"/>
  <c r="F1316" i="2" s="1"/>
  <c r="F1313" i="2"/>
  <c r="F1312" i="2"/>
  <c r="D1311" i="2"/>
  <c r="F1311" i="2" s="1"/>
  <c r="F1308" i="2"/>
  <c r="F1307" i="2"/>
  <c r="D1306" i="2"/>
  <c r="F1306" i="2" s="1"/>
  <c r="F1303" i="2"/>
  <c r="F1302" i="2"/>
  <c r="D1301" i="2"/>
  <c r="F1301" i="2" s="1"/>
  <c r="D1300" i="2"/>
  <c r="F1300" i="2" s="1"/>
  <c r="D1299" i="2"/>
  <c r="F1299" i="2" s="1"/>
  <c r="F1296" i="2"/>
  <c r="D1295" i="2"/>
  <c r="F1295" i="2" s="1"/>
  <c r="F1294" i="2"/>
  <c r="D1293" i="2"/>
  <c r="F1293" i="2" s="1"/>
  <c r="F1290" i="2"/>
  <c r="D1289" i="2"/>
  <c r="F1289" i="2" s="1"/>
  <c r="F1288" i="2"/>
  <c r="D1287" i="2"/>
  <c r="F1287" i="2" s="1"/>
  <c r="F1284" i="2"/>
  <c r="F1283" i="2"/>
  <c r="D1282" i="2"/>
  <c r="F1282" i="2" s="1"/>
  <c r="F1279" i="2"/>
  <c r="F1278" i="2"/>
  <c r="F1277" i="2"/>
  <c r="D1276" i="2"/>
  <c r="F1276" i="2" s="1"/>
  <c r="F1273" i="2"/>
  <c r="F1272" i="2"/>
  <c r="F1271" i="2"/>
  <c r="D1270" i="2"/>
  <c r="F1270" i="2" s="1"/>
  <c r="F1267" i="2"/>
  <c r="F1266" i="2"/>
  <c r="F1265" i="2"/>
  <c r="D1264" i="2"/>
  <c r="F1264" i="2" s="1"/>
  <c r="F1261" i="2"/>
  <c r="D1260" i="2"/>
  <c r="F1260" i="2" s="1"/>
  <c r="D1259" i="2"/>
  <c r="F1259" i="2" s="1"/>
  <c r="D1258" i="2"/>
  <c r="F1258" i="2" s="1"/>
  <c r="D1255" i="2"/>
  <c r="F1255" i="2" s="1"/>
  <c r="D1254" i="2"/>
  <c r="F1254" i="2" s="1"/>
  <c r="D1253" i="2"/>
  <c r="F1253" i="2" s="1"/>
  <c r="D1252" i="2"/>
  <c r="F1252" i="2" s="1"/>
  <c r="D1251" i="2"/>
  <c r="F1251" i="2" s="1"/>
  <c r="D1250" i="2"/>
  <c r="F1250" i="2" s="1"/>
  <c r="F844" i="2"/>
  <c r="D690" i="2"/>
  <c r="F690" i="2" s="1"/>
  <c r="D689" i="2"/>
  <c r="F689" i="2" s="1"/>
  <c r="D688" i="2"/>
  <c r="F688" i="2" s="1"/>
  <c r="D687" i="2"/>
  <c r="F687" i="2" s="1"/>
  <c r="D686" i="2"/>
  <c r="F686" i="2" s="1"/>
  <c r="D685" i="2"/>
  <c r="F685" i="2" s="1"/>
  <c r="D684" i="2"/>
  <c r="F684" i="2" s="1"/>
  <c r="D683" i="2"/>
  <c r="F683" i="2" s="1"/>
  <c r="D682" i="2"/>
  <c r="F682" i="2" s="1"/>
  <c r="D681" i="2"/>
  <c r="F681" i="2" s="1"/>
  <c r="F653" i="2"/>
  <c r="F652" i="2"/>
  <c r="F651" i="2"/>
  <c r="F650" i="2"/>
  <c r="F649" i="2"/>
  <c r="E590" i="2"/>
  <c r="D590" i="2"/>
  <c r="D589" i="2"/>
  <c r="F589" i="2" s="1"/>
  <c r="D588" i="2"/>
  <c r="F588" i="2" s="1"/>
  <c r="D587" i="2"/>
  <c r="F587" i="2" s="1"/>
  <c r="D586" i="2"/>
  <c r="F586" i="2" s="1"/>
  <c r="D585" i="2"/>
  <c r="F585" i="2" s="1"/>
  <c r="D584" i="2"/>
  <c r="F584" i="2" s="1"/>
  <c r="D583" i="2"/>
  <c r="F583" i="2" s="1"/>
  <c r="D581" i="2"/>
  <c r="F581" i="2" s="1"/>
  <c r="E580" i="2"/>
  <c r="D580" i="2"/>
  <c r="D579" i="2"/>
  <c r="F579" i="2" s="1"/>
  <c r="D578" i="2"/>
  <c r="F578" i="2" s="1"/>
  <c r="D577" i="2"/>
  <c r="F577" i="2" s="1"/>
  <c r="D576" i="2"/>
  <c r="F576" i="2" s="1"/>
  <c r="D575" i="2"/>
  <c r="F575" i="2" s="1"/>
  <c r="D574" i="2"/>
  <c r="F574" i="2" s="1"/>
  <c r="D573" i="2"/>
  <c r="F573" i="2" s="1"/>
  <c r="F1297" i="2" l="1"/>
  <c r="F1268" i="2"/>
  <c r="F1274" i="2"/>
  <c r="F1280" i="2"/>
  <c r="F1285" i="2"/>
  <c r="F1314" i="2"/>
  <c r="F1331" i="2"/>
  <c r="F1353" i="2"/>
  <c r="F1309" i="2"/>
  <c r="F1326" i="2"/>
  <c r="F1348" i="2"/>
  <c r="F1343" i="2"/>
  <c r="F1262" i="2"/>
  <c r="F1321" i="2"/>
  <c r="F654" i="2"/>
  <c r="F1291" i="2"/>
  <c r="F1256" i="2"/>
  <c r="F1338" i="2"/>
  <c r="F1304" i="2"/>
  <c r="F580" i="2"/>
  <c r="F590" i="2"/>
  <c r="E43" i="1"/>
  <c r="I43" i="1" s="1"/>
  <c r="B446" i="2"/>
  <c r="F399" i="2" l="1"/>
  <c r="E33" i="1"/>
  <c r="I33" i="1" s="1"/>
  <c r="F332" i="2"/>
  <c r="F188" i="2"/>
  <c r="F184" i="2"/>
  <c r="E32" i="1" l="1"/>
  <c r="I32" i="1" s="1"/>
  <c r="F1062" i="2"/>
  <c r="D1061" i="2"/>
  <c r="F1061" i="2" s="1"/>
  <c r="F1058" i="2"/>
  <c r="D1057" i="2"/>
  <c r="F1057" i="2" s="1"/>
  <c r="D1054" i="2"/>
  <c r="F1054" i="2" s="1"/>
  <c r="D1053" i="2"/>
  <c r="F1053" i="2" s="1"/>
  <c r="F1052" i="2"/>
  <c r="D1051" i="2"/>
  <c r="F1051" i="2" s="1"/>
  <c r="D1048" i="2"/>
  <c r="F1048" i="2" s="1"/>
  <c r="D1047" i="2"/>
  <c r="F1047" i="2" s="1"/>
  <c r="D1046" i="2"/>
  <c r="F1046" i="2" s="1"/>
  <c r="F1043" i="2"/>
  <c r="D1042" i="2"/>
  <c r="F1042" i="2" s="1"/>
  <c r="F1039" i="2"/>
  <c r="D1038" i="2"/>
  <c r="F1038" i="2" s="1"/>
  <c r="F1035" i="2"/>
  <c r="D1034" i="2"/>
  <c r="F1034" i="2" s="1"/>
  <c r="D1033" i="2"/>
  <c r="F1033" i="2" s="1"/>
  <c r="F1032" i="2"/>
  <c r="F1031" i="2"/>
  <c r="D1030" i="2"/>
  <c r="F1030" i="2" s="1"/>
  <c r="D1029" i="2"/>
  <c r="F1029" i="2" s="1"/>
  <c r="F1026" i="2"/>
  <c r="D1025" i="2"/>
  <c r="F1025" i="2" s="1"/>
  <c r="D1022" i="2"/>
  <c r="F1022" i="2" s="1"/>
  <c r="F1021" i="2"/>
  <c r="D1018" i="2"/>
  <c r="F1018" i="2" s="1"/>
  <c r="D1017" i="2"/>
  <c r="F1017" i="2" s="1"/>
  <c r="E1014" i="2"/>
  <c r="F1014" i="2" s="1"/>
  <c r="F1015" i="2" s="1"/>
  <c r="F1011" i="2"/>
  <c r="D1010" i="2"/>
  <c r="F1010" i="2" s="1"/>
  <c r="D1009" i="2"/>
  <c r="F1009" i="2" s="1"/>
  <c r="D1008" i="2"/>
  <c r="F1008" i="2" s="1"/>
  <c r="D1005" i="2"/>
  <c r="F1005" i="2" s="1"/>
  <c r="D1004" i="2"/>
  <c r="F1004" i="2" s="1"/>
  <c r="D1003" i="2"/>
  <c r="F1003" i="2" s="1"/>
  <c r="D1000" i="2"/>
  <c r="F1000" i="2" s="1"/>
  <c r="D999" i="2"/>
  <c r="F999" i="2" s="1"/>
  <c r="D998" i="2"/>
  <c r="F998" i="2" s="1"/>
  <c r="F995" i="2"/>
  <c r="D994" i="2"/>
  <c r="F994" i="2" s="1"/>
  <c r="D993" i="2"/>
  <c r="F993" i="2" s="1"/>
  <c r="F990" i="2"/>
  <c r="D989" i="2"/>
  <c r="F989" i="2" s="1"/>
  <c r="D988" i="2"/>
  <c r="F988" i="2" s="1"/>
  <c r="D985" i="2"/>
  <c r="F985" i="2" s="1"/>
  <c r="D984" i="2"/>
  <c r="F984" i="2" s="1"/>
  <c r="D983" i="2"/>
  <c r="F983" i="2" s="1"/>
  <c r="D980" i="2"/>
  <c r="F980" i="2" s="1"/>
  <c r="D979" i="2"/>
  <c r="F979" i="2" s="1"/>
  <c r="D978" i="2"/>
  <c r="F978" i="2" s="1"/>
  <c r="D977" i="2"/>
  <c r="F977" i="2" s="1"/>
  <c r="F974" i="2"/>
  <c r="D973" i="2"/>
  <c r="F973" i="2" s="1"/>
  <c r="F970" i="2"/>
  <c r="D969" i="2"/>
  <c r="F969" i="2" s="1"/>
  <c r="D966" i="2"/>
  <c r="F966" i="2" s="1"/>
  <c r="D965" i="2"/>
  <c r="F965" i="2" s="1"/>
  <c r="D964" i="2"/>
  <c r="F964" i="2" s="1"/>
  <c r="D961" i="2"/>
  <c r="F961" i="2" s="1"/>
  <c r="F960" i="2"/>
  <c r="F959" i="2"/>
  <c r="D958" i="2"/>
  <c r="F958" i="2" s="1"/>
  <c r="D957" i="2"/>
  <c r="F957" i="2" s="1"/>
  <c r="D956" i="2"/>
  <c r="F956" i="2" s="1"/>
  <c r="F1513" i="2"/>
  <c r="F1514" i="2"/>
  <c r="F1063" i="2" l="1"/>
  <c r="F975" i="2"/>
  <c r="F1023" i="2"/>
  <c r="F1044" i="2"/>
  <c r="F1036" i="2"/>
  <c r="F1012" i="2"/>
  <c r="F971" i="2"/>
  <c r="F1027" i="2"/>
  <c r="F1059" i="2"/>
  <c r="F967" i="2"/>
  <c r="F981" i="2"/>
  <c r="F991" i="2"/>
  <c r="F1040" i="2"/>
  <c r="F1055" i="2"/>
  <c r="F1049" i="2"/>
  <c r="F1006" i="2"/>
  <c r="F1001" i="2"/>
  <c r="F996" i="2"/>
  <c r="F1019" i="2"/>
  <c r="F986" i="2"/>
  <c r="F962" i="2"/>
  <c r="F913" i="2" l="1"/>
  <c r="F919" i="2"/>
  <c r="F908" i="2"/>
  <c r="F903" i="2"/>
  <c r="D870" i="2"/>
  <c r="F870" i="2" s="1"/>
  <c r="F871" i="2"/>
  <c r="D874" i="2"/>
  <c r="F874" i="2" s="1"/>
  <c r="F875" i="2"/>
  <c r="F876" i="2"/>
  <c r="D879" i="2"/>
  <c r="F879" i="2" s="1"/>
  <c r="D880" i="2"/>
  <c r="F880" i="2" s="1"/>
  <c r="F881" i="2"/>
  <c r="F884" i="2"/>
  <c r="F885" i="2"/>
  <c r="D888" i="2"/>
  <c r="F888" i="2" s="1"/>
  <c r="F889" i="2"/>
  <c r="F890" i="2"/>
  <c r="D893" i="2"/>
  <c r="F893" i="2" s="1"/>
  <c r="F894" i="2"/>
  <c r="F895" i="2"/>
  <c r="F898" i="2"/>
  <c r="D899" i="2"/>
  <c r="F899" i="2" s="1"/>
  <c r="D902" i="2"/>
  <c r="F902" i="2" s="1"/>
  <c r="F904" i="2"/>
  <c r="D907" i="2"/>
  <c r="F907" i="2" s="1"/>
  <c r="F909" i="2"/>
  <c r="D912" i="2"/>
  <c r="F912" i="2" s="1"/>
  <c r="D915" i="2"/>
  <c r="F915" i="2" s="1"/>
  <c r="D918" i="2"/>
  <c r="F918" i="2" s="1"/>
  <c r="D921" i="2"/>
  <c r="F921" i="2" s="1"/>
  <c r="D924" i="2"/>
  <c r="F924" i="2" s="1"/>
  <c r="F925" i="2"/>
  <c r="D926" i="2"/>
  <c r="F926" i="2" s="1"/>
  <c r="D927" i="2"/>
  <c r="F927" i="2" s="1"/>
  <c r="D930" i="2"/>
  <c r="F930" i="2" s="1"/>
  <c r="F931" i="2"/>
  <c r="F934" i="2"/>
  <c r="D935" i="2"/>
  <c r="F935" i="2" s="1"/>
  <c r="D936" i="2"/>
  <c r="F936" i="2" s="1"/>
  <c r="F937" i="2"/>
  <c r="F938" i="2"/>
  <c r="D941" i="2"/>
  <c r="F941" i="2" s="1"/>
  <c r="F942" i="2" s="1"/>
  <c r="F861" i="2"/>
  <c r="E100" i="1" s="1"/>
  <c r="I100" i="1" s="1"/>
  <c r="D582" i="2"/>
  <c r="F582" i="2" s="1"/>
  <c r="F310" i="2"/>
  <c r="F257" i="2"/>
  <c r="F916" i="2" l="1"/>
  <c r="F922" i="2"/>
  <c r="F886" i="2"/>
  <c r="E42" i="1"/>
  <c r="I42" i="1" s="1"/>
  <c r="F932" i="2"/>
  <c r="F882" i="2"/>
  <c r="F939" i="2"/>
  <c r="F910" i="2"/>
  <c r="F905" i="2"/>
  <c r="F900" i="2"/>
  <c r="F896" i="2"/>
  <c r="F891" i="2"/>
  <c r="F877" i="2"/>
  <c r="F872" i="2"/>
  <c r="F928" i="2"/>
  <c r="D59" i="2" l="1"/>
  <c r="F53" i="2"/>
  <c r="F48" i="2"/>
  <c r="D680" i="2"/>
  <c r="F680" i="2" s="1"/>
  <c r="D694" i="2"/>
  <c r="F317" i="2"/>
  <c r="F54" i="2" l="1"/>
  <c r="F358" i="2" l="1"/>
  <c r="F2298" i="2" l="1"/>
  <c r="E122" i="1" l="1"/>
  <c r="D58" i="2"/>
  <c r="I122" i="1" l="1"/>
  <c r="I123" i="1" s="1"/>
  <c r="D569" i="2"/>
  <c r="F569" i="2" s="1"/>
  <c r="D568" i="2"/>
  <c r="F568" i="2" s="1"/>
  <c r="D567" i="2"/>
  <c r="F567" i="2" s="1"/>
  <c r="E34" i="1"/>
  <c r="I34" i="1" s="1"/>
  <c r="D566" i="2"/>
  <c r="F566" i="2" s="1"/>
  <c r="E50" i="1"/>
  <c r="I50" i="1" s="1"/>
  <c r="D565" i="2"/>
  <c r="F565" i="2" s="1"/>
  <c r="E36" i="1"/>
  <c r="I36" i="1" s="1"/>
  <c r="D1706" i="2"/>
  <c r="F1706" i="2" s="1"/>
  <c r="D669" i="2"/>
  <c r="F669" i="2" s="1"/>
  <c r="D19" i="2"/>
  <c r="F19" i="2" s="1"/>
  <c r="D29" i="2"/>
  <c r="D1705" i="2"/>
  <c r="F1705" i="2" s="1"/>
  <c r="D564" i="2"/>
  <c r="F564" i="2" s="1"/>
  <c r="E40" i="1"/>
  <c r="I40" i="1" s="1"/>
  <c r="D563" i="2"/>
  <c r="F563" i="2" s="1"/>
  <c r="D562" i="2"/>
  <c r="F562" i="2" s="1"/>
  <c r="D560" i="2"/>
  <c r="F560" i="2" s="1"/>
  <c r="D668" i="2"/>
  <c r="F668" i="2" s="1"/>
  <c r="D561" i="2"/>
  <c r="F561" i="2" s="1"/>
  <c r="E49" i="1"/>
  <c r="I49" i="1" s="1"/>
  <c r="D559" i="2"/>
  <c r="F559" i="2" s="1"/>
  <c r="D1704" i="2"/>
  <c r="F1704" i="2" s="1"/>
  <c r="D57" i="2"/>
  <c r="F60" i="2" s="1"/>
  <c r="F1728" i="2" l="1"/>
  <c r="D85" i="2" l="1"/>
  <c r="F85" i="2" s="1"/>
  <c r="D84" i="2"/>
  <c r="F84" i="2" s="1"/>
  <c r="D83" i="2"/>
  <c r="F83" i="2" s="1"/>
  <c r="D82" i="2"/>
  <c r="F82" i="2" s="1"/>
  <c r="D23" i="2"/>
  <c r="F23" i="2" s="1"/>
  <c r="D36" i="2"/>
  <c r="D24" i="2"/>
  <c r="F24" i="2" s="1"/>
  <c r="D25" i="2"/>
  <c r="F25" i="2" s="1"/>
  <c r="D26" i="2"/>
  <c r="F26" i="2" s="1"/>
  <c r="F86" i="2" l="1"/>
  <c r="F1923" i="2"/>
  <c r="D1922" i="2"/>
  <c r="F1922" i="2" s="1"/>
  <c r="D1921" i="2"/>
  <c r="F1921" i="2" s="1"/>
  <c r="D1920" i="2"/>
  <c r="F1920" i="2" s="1"/>
  <c r="D1919" i="2"/>
  <c r="F1919" i="2" s="1"/>
  <c r="D1918" i="2"/>
  <c r="F1918" i="2" s="1"/>
  <c r="D1917" i="2"/>
  <c r="F1917" i="2" s="1"/>
  <c r="F1938" i="2"/>
  <c r="D1936" i="2" l="1"/>
  <c r="F1936" i="2" s="1"/>
  <c r="D1935" i="2"/>
  <c r="D1934" i="2"/>
  <c r="D1933" i="2"/>
  <c r="D727" i="2"/>
  <c r="F727" i="2" s="1"/>
  <c r="D723" i="2"/>
  <c r="F723" i="2" s="1"/>
  <c r="D721" i="2"/>
  <c r="F721" i="2" s="1"/>
  <c r="D2192" i="2"/>
  <c r="F2192" i="2" s="1"/>
  <c r="D2193" i="2"/>
  <c r="F2193" i="2" s="1"/>
  <c r="F2181" i="2"/>
  <c r="D716" i="2"/>
  <c r="F716" i="2" s="1"/>
  <c r="D695" i="2"/>
  <c r="F695" i="2" s="1"/>
  <c r="F37" i="2"/>
  <c r="F662" i="2"/>
  <c r="D1071" i="2"/>
  <c r="F1071" i="2" s="1"/>
  <c r="D1085" i="2"/>
  <c r="F1085" i="2" s="1"/>
  <c r="D365" i="2"/>
  <c r="D612" i="2"/>
  <c r="F612" i="2" s="1"/>
  <c r="D613" i="2"/>
  <c r="F613" i="2" s="1"/>
  <c r="F661" i="2"/>
  <c r="F660" i="2"/>
  <c r="F659" i="2"/>
  <c r="F658" i="2"/>
  <c r="E2264" i="2"/>
  <c r="D2263" i="2"/>
  <c r="F2263" i="2" s="1"/>
  <c r="D2264" i="2"/>
  <c r="D2262" i="2"/>
  <c r="F2262" i="2" s="1"/>
  <c r="D2261" i="2"/>
  <c r="F2261" i="2" s="1"/>
  <c r="D2260" i="2"/>
  <c r="F2260" i="2" s="1"/>
  <c r="D2259" i="2"/>
  <c r="F2259" i="2" s="1"/>
  <c r="D2258" i="2"/>
  <c r="F2258" i="2" s="1"/>
  <c r="D2257" i="2"/>
  <c r="F2194" i="2" l="1"/>
  <c r="F2264" i="2"/>
  <c r="F2257" i="2"/>
  <c r="D2052" i="2"/>
  <c r="F2052" i="2" s="1"/>
  <c r="F2051" i="2"/>
  <c r="D2050" i="2"/>
  <c r="F2050" i="2" s="1"/>
  <c r="D2179" i="2"/>
  <c r="F2179" i="2" s="1"/>
  <c r="D2238" i="2"/>
  <c r="F2238" i="2" s="1"/>
  <c r="D2235" i="2"/>
  <c r="F2235" i="2" s="1"/>
  <c r="D2232" i="2"/>
  <c r="F2232" i="2" s="1"/>
  <c r="D2229" i="2"/>
  <c r="F2229" i="2" s="1"/>
  <c r="D2226" i="2"/>
  <c r="F2226" i="2" s="1"/>
  <c r="D2223" i="2"/>
  <c r="F2223" i="2" s="1"/>
  <c r="D2220" i="2"/>
  <c r="F2220" i="2" s="1"/>
  <c r="D2217" i="2"/>
  <c r="F2217" i="2" s="1"/>
  <c r="D2214" i="2"/>
  <c r="F2214" i="2" s="1"/>
  <c r="D2211" i="2"/>
  <c r="F2211" i="2" s="1"/>
  <c r="D2208" i="2"/>
  <c r="F2208" i="2" s="1"/>
  <c r="D2205" i="2"/>
  <c r="F2205" i="2" s="1"/>
  <c r="D2202" i="2"/>
  <c r="F2202" i="2" s="1"/>
  <c r="D2199" i="2"/>
  <c r="F2199" i="2" s="1"/>
  <c r="D2196" i="2"/>
  <c r="F2196" i="2" s="1"/>
  <c r="D2189" i="2"/>
  <c r="F2189" i="2" s="1"/>
  <c r="D2186" i="2"/>
  <c r="F2186" i="2" s="1"/>
  <c r="D2183" i="2"/>
  <c r="F2183" i="2" s="1"/>
  <c r="D2178" i="2"/>
  <c r="F2178" i="2" s="1"/>
  <c r="D2175" i="2"/>
  <c r="F2175" i="2" s="1"/>
  <c r="D2172" i="2"/>
  <c r="F2172" i="2" s="1"/>
  <c r="D2169" i="2"/>
  <c r="F2169" i="2" s="1"/>
  <c r="D2160" i="2"/>
  <c r="D2157" i="2"/>
  <c r="F2157" i="2" s="1"/>
  <c r="D2156" i="2"/>
  <c r="F2156" i="2" s="1"/>
  <c r="D2153" i="2"/>
  <c r="F2153" i="2" s="1"/>
  <c r="D2154" i="2"/>
  <c r="F2154" i="2" s="1"/>
  <c r="D2155" i="2"/>
  <c r="F2155" i="2" s="1"/>
  <c r="D2152" i="2"/>
  <c r="F2152" i="2" s="1"/>
  <c r="D2151" i="2"/>
  <c r="F2151" i="2" s="1"/>
  <c r="D2150" i="2"/>
  <c r="F2150" i="2" s="1"/>
  <c r="D2161" i="2"/>
  <c r="F2161" i="2" s="1"/>
  <c r="D2166" i="2"/>
  <c r="F2166" i="2" s="1"/>
  <c r="D2163" i="2"/>
  <c r="F2163" i="2" s="1"/>
  <c r="F2160" i="2"/>
  <c r="D1932" i="2"/>
  <c r="F1932" i="2" s="1"/>
  <c r="E810" i="2"/>
  <c r="D810" i="2"/>
  <c r="F809" i="2"/>
  <c r="E808" i="2"/>
  <c r="F807" i="2"/>
  <c r="D547" i="2"/>
  <c r="F547" i="2" s="1"/>
  <c r="F546" i="2"/>
  <c r="D545" i="2"/>
  <c r="F545" i="2" s="1"/>
  <c r="F544" i="2"/>
  <c r="E57" i="1"/>
  <c r="I57" i="1" s="1"/>
  <c r="F518" i="2"/>
  <c r="D62" i="2"/>
  <c r="E38" i="1"/>
  <c r="I38" i="1" s="1"/>
  <c r="E37" i="1"/>
  <c r="I37" i="1" s="1"/>
  <c r="E35" i="1"/>
  <c r="I35" i="1" s="1"/>
  <c r="E31" i="1"/>
  <c r="I31" i="1" s="1"/>
  <c r="E30" i="1"/>
  <c r="I30" i="1" s="1"/>
  <c r="F36" i="2"/>
  <c r="D35" i="2"/>
  <c r="F35" i="2" s="1"/>
  <c r="D34" i="2"/>
  <c r="F34" i="2" s="1"/>
  <c r="D33" i="2"/>
  <c r="F33" i="2" s="1"/>
  <c r="D32" i="2"/>
  <c r="F32" i="2" s="1"/>
  <c r="D31" i="2"/>
  <c r="F31" i="2" s="1"/>
  <c r="D30" i="2"/>
  <c r="F30" i="2" s="1"/>
  <c r="F29" i="2"/>
  <c r="D2239" i="2"/>
  <c r="F2239" i="2" s="1"/>
  <c r="D2236" i="2"/>
  <c r="F2236" i="2" s="1"/>
  <c r="D2233" i="2"/>
  <c r="F2233" i="2" s="1"/>
  <c r="D2230" i="2"/>
  <c r="F2230" i="2" s="1"/>
  <c r="D2227" i="2"/>
  <c r="F2227" i="2" s="1"/>
  <c r="D2224" i="2"/>
  <c r="F2224" i="2" s="1"/>
  <c r="D2221" i="2"/>
  <c r="F2221" i="2" s="1"/>
  <c r="D2218" i="2"/>
  <c r="F2218" i="2" s="1"/>
  <c r="D2215" i="2"/>
  <c r="F2215" i="2" s="1"/>
  <c r="D2212" i="2"/>
  <c r="F2212" i="2" s="1"/>
  <c r="D2209" i="2"/>
  <c r="F2209" i="2" s="1"/>
  <c r="D2206" i="2"/>
  <c r="F2206" i="2" s="1"/>
  <c r="D2203" i="2"/>
  <c r="F2203" i="2" s="1"/>
  <c r="D2200" i="2"/>
  <c r="F2200" i="2" s="1"/>
  <c r="D2197" i="2"/>
  <c r="F2197" i="2" s="1"/>
  <c r="D2190" i="2"/>
  <c r="F2190" i="2" s="1"/>
  <c r="D2187" i="2"/>
  <c r="F2187" i="2" s="1"/>
  <c r="D2184" i="2"/>
  <c r="F2184" i="2" s="1"/>
  <c r="D2180" i="2"/>
  <c r="F2180" i="2" s="1"/>
  <c r="D2176" i="2"/>
  <c r="F2176" i="2" s="1"/>
  <c r="D2173" i="2"/>
  <c r="F2173" i="2" s="1"/>
  <c r="D2170" i="2"/>
  <c r="F2170" i="2" s="1"/>
  <c r="D2167" i="2"/>
  <c r="F2167" i="2" s="1"/>
  <c r="D2164" i="2"/>
  <c r="F2164" i="2" s="1"/>
  <c r="D2247" i="2"/>
  <c r="F2247" i="2" s="1"/>
  <c r="D2248" i="2"/>
  <c r="F2248" i="2" s="1"/>
  <c r="D2092" i="2"/>
  <c r="F2092" i="2" s="1"/>
  <c r="D2091" i="2"/>
  <c r="F2091" i="2" s="1"/>
  <c r="D2089" i="2"/>
  <c r="F2089" i="2" s="1"/>
  <c r="D2088" i="2"/>
  <c r="F2088" i="2" s="1"/>
  <c r="D2086" i="2"/>
  <c r="F2086" i="2" s="1"/>
  <c r="D2085" i="2"/>
  <c r="F2085" i="2" s="1"/>
  <c r="D2083" i="2"/>
  <c r="F2083" i="2" s="1"/>
  <c r="D2082" i="2"/>
  <c r="F2082" i="2" s="1"/>
  <c r="D2080" i="2"/>
  <c r="F2080" i="2" s="1"/>
  <c r="D2079" i="2"/>
  <c r="F2079" i="2" s="1"/>
  <c r="D2077" i="2"/>
  <c r="F2077" i="2" s="1"/>
  <c r="D2076" i="2"/>
  <c r="F2076" i="2" s="1"/>
  <c r="D2074" i="2"/>
  <c r="F2074" i="2" s="1"/>
  <c r="D2073" i="2"/>
  <c r="F2073" i="2" s="1"/>
  <c r="D2071" i="2"/>
  <c r="F2071" i="2" s="1"/>
  <c r="D2070" i="2"/>
  <c r="F2070" i="2" s="1"/>
  <c r="D2068" i="2"/>
  <c r="F2068" i="2" s="1"/>
  <c r="D2067" i="2"/>
  <c r="F2067" i="2" s="1"/>
  <c r="D2065" i="2"/>
  <c r="F2065" i="2" s="1"/>
  <c r="D2064" i="2"/>
  <c r="F2064" i="2" s="1"/>
  <c r="D2062" i="2"/>
  <c r="F2062" i="2" s="1"/>
  <c r="D2061" i="2"/>
  <c r="F2061" i="2" s="1"/>
  <c r="D2059" i="2"/>
  <c r="F2059" i="2" s="1"/>
  <c r="D2058" i="2"/>
  <c r="F2058" i="2" s="1"/>
  <c r="D2056" i="2"/>
  <c r="F2056" i="2" s="1"/>
  <c r="D2055" i="2"/>
  <c r="F2055" i="2" s="1"/>
  <c r="F548" i="2" l="1"/>
  <c r="F2159" i="2"/>
  <c r="F2265" i="2"/>
  <c r="F38" i="2"/>
  <c r="F2182" i="2"/>
  <c r="F2162" i="2"/>
  <c r="F2053" i="2"/>
  <c r="F808" i="2"/>
  <c r="F810" i="2"/>
  <c r="F2072" i="2"/>
  <c r="F2078" i="2"/>
  <c r="F2168" i="2"/>
  <c r="F2219" i="2"/>
  <c r="F2057" i="2"/>
  <c r="F2081" i="2"/>
  <c r="F2165" i="2"/>
  <c r="F2177" i="2"/>
  <c r="F2185" i="2"/>
  <c r="F2191" i="2"/>
  <c r="F2204" i="2"/>
  <c r="F2210" i="2"/>
  <c r="F2216" i="2"/>
  <c r="F2228" i="2"/>
  <c r="F2234" i="2"/>
  <c r="F2240" i="2"/>
  <c r="F2174" i="2"/>
  <c r="F2201" i="2"/>
  <c r="F2225" i="2"/>
  <c r="F2188" i="2"/>
  <c r="F2213" i="2"/>
  <c r="F2237" i="2"/>
  <c r="F2171" i="2"/>
  <c r="F2198" i="2"/>
  <c r="F2207" i="2"/>
  <c r="F2222" i="2"/>
  <c r="F2231" i="2"/>
  <c r="F2063" i="2"/>
  <c r="F2087" i="2"/>
  <c r="F2075" i="2"/>
  <c r="F2066" i="2"/>
  <c r="F2090" i="2"/>
  <c r="F2249" i="2"/>
  <c r="F2060" i="2"/>
  <c r="F2069" i="2"/>
  <c r="F2084" i="2"/>
  <c r="F2093" i="2"/>
  <c r="D746" i="2"/>
  <c r="F746" i="2" s="1"/>
  <c r="D745" i="2"/>
  <c r="F745" i="2" s="1"/>
  <c r="D744" i="2"/>
  <c r="F744" i="2" s="1"/>
  <c r="D743" i="2"/>
  <c r="F743" i="2" s="1"/>
  <c r="D742" i="2"/>
  <c r="F742" i="2" s="1"/>
  <c r="D741" i="2"/>
  <c r="F741" i="2" s="1"/>
  <c r="D740" i="2"/>
  <c r="F740" i="2" s="1"/>
  <c r="D739" i="2"/>
  <c r="F739" i="2" s="1"/>
  <c r="D738" i="2"/>
  <c r="F738" i="2" s="1"/>
  <c r="D737" i="2"/>
  <c r="F737" i="2" s="1"/>
  <c r="D736" i="2"/>
  <c r="F736" i="2" s="1"/>
  <c r="D735" i="2"/>
  <c r="F735" i="2" s="1"/>
  <c r="D733" i="2"/>
  <c r="F733" i="2" s="1"/>
  <c r="D732" i="2"/>
  <c r="F732" i="2" s="1"/>
  <c r="D731" i="2"/>
  <c r="F731" i="2" s="1"/>
  <c r="D730" i="2"/>
  <c r="F730" i="2" s="1"/>
  <c r="D729" i="2"/>
  <c r="F729" i="2" s="1"/>
  <c r="D728" i="2"/>
  <c r="F728" i="2" s="1"/>
  <c r="D726" i="2"/>
  <c r="F726" i="2" s="1"/>
  <c r="D725" i="2"/>
  <c r="F725" i="2" s="1"/>
  <c r="D724" i="2"/>
  <c r="F724" i="2" s="1"/>
  <c r="D722" i="2"/>
  <c r="F722" i="2" s="1"/>
  <c r="D717" i="2"/>
  <c r="F717" i="2" s="1"/>
  <c r="D715" i="2"/>
  <c r="F715" i="2" s="1"/>
  <c r="D714" i="2"/>
  <c r="F714" i="2" s="1"/>
  <c r="D713" i="2"/>
  <c r="F713" i="2" s="1"/>
  <c r="D712" i="2"/>
  <c r="F712" i="2" s="1"/>
  <c r="D711" i="2"/>
  <c r="F711" i="2" s="1"/>
  <c r="D710" i="2"/>
  <c r="F710" i="2" s="1"/>
  <c r="D709" i="2"/>
  <c r="F709" i="2" s="1"/>
  <c r="D708" i="2"/>
  <c r="F708" i="2" s="1"/>
  <c r="D707" i="2"/>
  <c r="F707" i="2" s="1"/>
  <c r="D706" i="2"/>
  <c r="F706" i="2" s="1"/>
  <c r="D705" i="2"/>
  <c r="F705" i="2" s="1"/>
  <c r="D703" i="2"/>
  <c r="F703" i="2" s="1"/>
  <c r="D702" i="2"/>
  <c r="F702" i="2" s="1"/>
  <c r="D701" i="2"/>
  <c r="F701" i="2" s="1"/>
  <c r="D700" i="2"/>
  <c r="F700" i="2" s="1"/>
  <c r="D699" i="2"/>
  <c r="F699" i="2" s="1"/>
  <c r="D698" i="2"/>
  <c r="F698" i="2" s="1"/>
  <c r="D697" i="2"/>
  <c r="F697" i="2" s="1"/>
  <c r="D696" i="2"/>
  <c r="F696" i="2" s="1"/>
  <c r="F694" i="2"/>
  <c r="F811" i="2" l="1"/>
  <c r="E95" i="1" s="1"/>
  <c r="I13" i="1"/>
  <c r="F718" i="2"/>
  <c r="F747" i="2"/>
  <c r="I95" i="1" l="1"/>
  <c r="I97" i="1" s="1"/>
  <c r="E88" i="1"/>
  <c r="I88" i="1" s="1"/>
  <c r="F657" i="2" l="1"/>
  <c r="F656" i="2"/>
  <c r="F637" i="2"/>
  <c r="E79" i="1" s="1"/>
  <c r="I79" i="1" s="1"/>
  <c r="I80" i="1" l="1"/>
  <c r="F663" i="2"/>
  <c r="E84" i="1" s="1"/>
  <c r="I84" i="1" s="1"/>
  <c r="B1931" i="2"/>
  <c r="D2047" i="2" l="1"/>
  <c r="D2044" i="2"/>
  <c r="D2041" i="2"/>
  <c r="D2038" i="2"/>
  <c r="D2035" i="2"/>
  <c r="D2032" i="2"/>
  <c r="D2026" i="2"/>
  <c r="D2023" i="2"/>
  <c r="D2020" i="2"/>
  <c r="D2048" i="2"/>
  <c r="F2048" i="2" s="1"/>
  <c r="D2045" i="2"/>
  <c r="F2045" i="2" s="1"/>
  <c r="D2042" i="2"/>
  <c r="F2042" i="2" s="1"/>
  <c r="D2039" i="2"/>
  <c r="F2039" i="2" s="1"/>
  <c r="D2036" i="2"/>
  <c r="F2036" i="2" s="1"/>
  <c r="D2033" i="2"/>
  <c r="F2033" i="2" s="1"/>
  <c r="D2030" i="2"/>
  <c r="F2030" i="2" s="1"/>
  <c r="D2027" i="2"/>
  <c r="F2027" i="2" s="1"/>
  <c r="D2024" i="2"/>
  <c r="F2024" i="2" s="1"/>
  <c r="D2021" i="2"/>
  <c r="F2021" i="2" s="1"/>
  <c r="D1566" i="2"/>
  <c r="F1566" i="2" s="1"/>
  <c r="D1534" i="2"/>
  <c r="D1515" i="2"/>
  <c r="F1515" i="2" s="1"/>
  <c r="D1144" i="2"/>
  <c r="F642" i="2" l="1"/>
  <c r="F643" i="2"/>
  <c r="F644" i="2"/>
  <c r="F645" i="2"/>
  <c r="F641" i="2"/>
  <c r="D611" i="2"/>
  <c r="D1580" i="2" l="1"/>
  <c r="F1580" i="2" s="1"/>
  <c r="D1571" i="2"/>
  <c r="F1571" i="2" s="1"/>
  <c r="D609" i="2"/>
  <c r="E83" i="1" l="1"/>
  <c r="I83" i="1" s="1"/>
  <c r="F1534" i="2"/>
  <c r="D1557" i="2"/>
  <c r="F1557" i="2" s="1"/>
  <c r="D1551" i="2"/>
  <c r="F1551" i="2" s="1"/>
  <c r="D1546" i="2"/>
  <c r="F1546" i="2" s="1"/>
  <c r="D1540" i="2"/>
  <c r="F1540" i="2" s="1"/>
  <c r="D1527" i="2"/>
  <c r="F1527" i="2" s="1"/>
  <c r="D1528" i="2"/>
  <c r="F1528" i="2" s="1"/>
  <c r="D1684" i="2"/>
  <c r="F1684" i="2" s="1"/>
  <c r="D1666" i="2"/>
  <c r="F1666" i="2" s="1"/>
  <c r="D1656" i="2"/>
  <c r="F1656" i="2" s="1"/>
  <c r="D1650" i="2"/>
  <c r="F1650" i="2" s="1"/>
  <c r="D1644" i="2"/>
  <c r="F1644" i="2" s="1"/>
  <c r="D1638" i="2"/>
  <c r="F1638" i="2" s="1"/>
  <c r="D1632" i="2"/>
  <c r="F1632" i="2" s="1"/>
  <c r="D1626" i="2"/>
  <c r="F1626" i="2" s="1"/>
  <c r="D1620" i="2"/>
  <c r="F1620" i="2" s="1"/>
  <c r="D1614" i="2"/>
  <c r="F1614" i="2" s="1"/>
  <c r="D1608" i="2"/>
  <c r="F1608" i="2" s="1"/>
  <c r="D1602" i="2"/>
  <c r="F1602" i="2" s="1"/>
  <c r="D1596" i="2"/>
  <c r="F1596" i="2" s="1"/>
  <c r="D1690" i="2"/>
  <c r="F1690" i="2" s="1"/>
  <c r="D1677" i="2"/>
  <c r="F1677" i="2" s="1"/>
  <c r="D1662" i="2"/>
  <c r="F1662" i="2" s="1"/>
  <c r="D1671" i="2"/>
  <c r="F1671" i="2" s="1"/>
  <c r="F1603" i="2"/>
  <c r="I85" i="1" l="1"/>
  <c r="D1685" i="2"/>
  <c r="F1685" i="2" s="1"/>
  <c r="D1227" i="2"/>
  <c r="F1227" i="2" s="1"/>
  <c r="D1516" i="2"/>
  <c r="F1516" i="2" s="1"/>
  <c r="F1686" i="2"/>
  <c r="F1517" i="2"/>
  <c r="D1079" i="2"/>
  <c r="F1228" i="2"/>
  <c r="F609" i="2" l="1"/>
  <c r="F611" i="2"/>
  <c r="D610" i="2"/>
  <c r="F610" i="2" s="1"/>
  <c r="D608" i="2"/>
  <c r="F608" i="2" s="1"/>
  <c r="D607" i="2"/>
  <c r="F607" i="2" s="1"/>
  <c r="D604" i="2"/>
  <c r="F604" i="2" s="1"/>
  <c r="D597" i="2"/>
  <c r="F597" i="2" s="1"/>
  <c r="D595" i="2"/>
  <c r="F595" i="2" s="1"/>
  <c r="D596" i="2"/>
  <c r="F596" i="2" s="1"/>
  <c r="D598" i="2"/>
  <c r="F598" i="2" s="1"/>
  <c r="D599" i="2"/>
  <c r="F599" i="2" s="1"/>
  <c r="D600" i="2"/>
  <c r="F600" i="2" s="1"/>
  <c r="D601" i="2"/>
  <c r="F601" i="2" s="1"/>
  <c r="D602" i="2"/>
  <c r="F602" i="2" s="1"/>
  <c r="D603" i="2"/>
  <c r="F603" i="2" s="1"/>
  <c r="D605" i="2"/>
  <c r="F605" i="2" s="1"/>
  <c r="D606" i="2"/>
  <c r="F606" i="2" s="1"/>
  <c r="D594" i="2"/>
  <c r="F594" i="2" s="1"/>
  <c r="B551" i="2"/>
  <c r="D97" i="2"/>
  <c r="F97" i="2" s="1"/>
  <c r="D96" i="2"/>
  <c r="F96" i="2" s="1"/>
  <c r="D95" i="2"/>
  <c r="F95" i="2" s="1"/>
  <c r="D98" i="2"/>
  <c r="F98" i="2" s="1"/>
  <c r="D92" i="2"/>
  <c r="F92" i="2" s="1"/>
  <c r="D91" i="2"/>
  <c r="F91" i="2" s="1"/>
  <c r="D89" i="2"/>
  <c r="F89" i="2" s="1"/>
  <c r="D90" i="2"/>
  <c r="F90" i="2" s="1"/>
  <c r="F614" i="2" l="1"/>
  <c r="F93" i="2"/>
  <c r="F99" i="2"/>
  <c r="E66" i="1" l="1"/>
  <c r="I66" i="1" s="1"/>
  <c r="E26" i="1"/>
  <c r="I26" i="1" s="1"/>
  <c r="F2254" i="2"/>
  <c r="F2253" i="2"/>
  <c r="F2252" i="2"/>
  <c r="F2251" i="2"/>
  <c r="F1798" i="2"/>
  <c r="F1799" i="2"/>
  <c r="F1794" i="2"/>
  <c r="F1796" i="2"/>
  <c r="F1795" i="2"/>
  <c r="F1797" i="2"/>
  <c r="F1782" i="2"/>
  <c r="F1783" i="2"/>
  <c r="F1784" i="2"/>
  <c r="F1785" i="2"/>
  <c r="F1786" i="2"/>
  <c r="F1787" i="2"/>
  <c r="F1788" i="2"/>
  <c r="F1789" i="2"/>
  <c r="F1790" i="2"/>
  <c r="F1791" i="2"/>
  <c r="F1792" i="2"/>
  <c r="F1793" i="2"/>
  <c r="F1781" i="2"/>
  <c r="F1762" i="2"/>
  <c r="F1761" i="2"/>
  <c r="F1760" i="2"/>
  <c r="F1759" i="2"/>
  <c r="F1800" i="2" l="1"/>
  <c r="F2255" i="2"/>
  <c r="F1775" i="2"/>
  <c r="F1776" i="2"/>
  <c r="F1777" i="2"/>
  <c r="F1778" i="2"/>
  <c r="F1774" i="2"/>
  <c r="F1773" i="2"/>
  <c r="F1772" i="2"/>
  <c r="F1771" i="2"/>
  <c r="F1758" i="2"/>
  <c r="F1763" i="2"/>
  <c r="F1764" i="2"/>
  <c r="F1765" i="2"/>
  <c r="F1766" i="2"/>
  <c r="F1767" i="2"/>
  <c r="F1768" i="2"/>
  <c r="F1769" i="2"/>
  <c r="F1770" i="2"/>
  <c r="F1757" i="2"/>
  <c r="I27" i="1"/>
  <c r="E47" i="1"/>
  <c r="I47" i="1" s="1"/>
  <c r="F1779" i="2" l="1"/>
  <c r="D555" i="2"/>
  <c r="F555" i="2" s="1"/>
  <c r="D553" i="2"/>
  <c r="F553" i="2" s="1"/>
  <c r="E56" i="1" l="1"/>
  <c r="I56" i="1" s="1"/>
  <c r="E55" i="1"/>
  <c r="I55" i="1" s="1"/>
  <c r="E41" i="1"/>
  <c r="I41" i="1" s="1"/>
  <c r="D1069" i="2"/>
  <c r="F1069" i="2" s="1"/>
  <c r="D1506" i="2"/>
  <c r="F1506" i="2" s="1"/>
  <c r="D1083" i="2"/>
  <c r="D1520" i="2"/>
  <c r="F1520" i="2" s="1"/>
  <c r="E65" i="1" l="1"/>
  <c r="I65" i="1" s="1"/>
  <c r="E61" i="1"/>
  <c r="I61" i="1" s="1"/>
  <c r="D2029" i="2"/>
  <c r="F1909" i="2"/>
  <c r="F1907" i="2"/>
  <c r="I67" i="1" l="1"/>
  <c r="I62" i="1"/>
  <c r="F1910" i="2"/>
  <c r="F2047" i="2" l="1"/>
  <c r="F2049" i="2" s="1"/>
  <c r="F2038" i="2"/>
  <c r="F2040" i="2" s="1"/>
  <c r="F2041" i="2"/>
  <c r="F2043" i="2" s="1"/>
  <c r="F2044" i="2"/>
  <c r="F2046" i="2" s="1"/>
  <c r="F2035" i="2"/>
  <c r="F2037" i="2" s="1"/>
  <c r="F2032" i="2"/>
  <c r="F2034" i="2" s="1"/>
  <c r="F2029" i="2"/>
  <c r="F2031" i="2" s="1"/>
  <c r="F2026" i="2"/>
  <c r="F2028" i="2" s="1"/>
  <c r="F2023" i="2"/>
  <c r="F2025" i="2" s="1"/>
  <c r="F2020" i="2"/>
  <c r="F2022" i="2" s="1"/>
  <c r="F1080" i="2" l="1"/>
  <c r="F1079" i="2"/>
  <c r="D63" i="2"/>
  <c r="F65" i="2" s="1"/>
  <c r="E16" i="1" l="1"/>
  <c r="I16" i="1" s="1"/>
  <c r="E54" i="1"/>
  <c r="I54" i="1" s="1"/>
  <c r="E48" i="1"/>
  <c r="I48" i="1" s="1"/>
  <c r="E53" i="1"/>
  <c r="I53" i="1" s="1"/>
  <c r="F502" i="2"/>
  <c r="E52" i="1" s="1"/>
  <c r="I52" i="1" s="1"/>
  <c r="D1937" i="2"/>
  <c r="F1937" i="2" s="1"/>
  <c r="E39" i="1"/>
  <c r="D1522" i="2"/>
  <c r="D1074" i="2"/>
  <c r="F1078" i="2"/>
  <c r="I39" i="1" l="1"/>
  <c r="I44" i="1" s="1"/>
  <c r="E15" i="1"/>
  <c r="I15" i="1" s="1"/>
  <c r="I19" i="1" s="1"/>
  <c r="F1147" i="2"/>
  <c r="F1148" i="2" s="1"/>
  <c r="F1699" i="2"/>
  <c r="F1700" i="2" s="1"/>
  <c r="F1590" i="2"/>
  <c r="F1591" i="2" s="1"/>
  <c r="I58" i="1" l="1"/>
  <c r="I89" i="1"/>
  <c r="F1935" i="2" l="1"/>
  <c r="F1934" i="2"/>
  <c r="F1933" i="2"/>
  <c r="F1940" i="2" l="1"/>
  <c r="E111" i="1"/>
  <c r="I111" i="1" s="1"/>
  <c r="E112" i="1" l="1"/>
  <c r="I112" i="1" s="1"/>
  <c r="D1076" i="2"/>
  <c r="F1076" i="2" s="1"/>
  <c r="D1075" i="2"/>
  <c r="F1075" i="2" s="1"/>
  <c r="I101" i="1" l="1"/>
  <c r="F1565" i="2"/>
  <c r="D1564" i="2"/>
  <c r="F1564" i="2" s="1"/>
  <c r="F1563" i="2"/>
  <c r="D1562" i="2"/>
  <c r="F1562" i="2" s="1"/>
  <c r="D1559" i="2"/>
  <c r="D1556" i="2"/>
  <c r="F1119" i="2"/>
  <c r="F1121" i="2"/>
  <c r="D1120" i="2"/>
  <c r="F1120" i="2" s="1"/>
  <c r="D1118" i="2"/>
  <c r="F1118" i="2" s="1"/>
  <c r="D1115" i="2"/>
  <c r="D1113" i="2"/>
  <c r="D1126" i="2"/>
  <c r="F1126" i="2" s="1"/>
  <c r="D1125" i="2"/>
  <c r="F1125" i="2" s="1"/>
  <c r="F1567" i="2" l="1"/>
  <c r="F1122" i="2"/>
  <c r="F1236" i="2"/>
  <c r="D1235" i="2"/>
  <c r="F1235" i="2" s="1"/>
  <c r="D1232" i="2"/>
  <c r="F1232" i="2" s="1"/>
  <c r="D1231" i="2"/>
  <c r="F1231" i="2" s="1"/>
  <c r="D1226" i="2"/>
  <c r="F1226" i="2" s="1"/>
  <c r="F1225" i="2"/>
  <c r="D1224" i="2"/>
  <c r="F1224" i="2" s="1"/>
  <c r="F1221" i="2"/>
  <c r="D1220" i="2"/>
  <c r="F1220" i="2" s="1"/>
  <c r="D1219" i="2"/>
  <c r="F1219" i="2" s="1"/>
  <c r="D1216" i="2"/>
  <c r="F1216" i="2" s="1"/>
  <c r="D1215" i="2"/>
  <c r="F1215" i="2" s="1"/>
  <c r="F1212" i="2"/>
  <c r="D1211" i="2"/>
  <c r="F1211" i="2" s="1"/>
  <c r="F1208" i="2"/>
  <c r="D1207" i="2"/>
  <c r="F1207" i="2" s="1"/>
  <c r="D1206" i="2"/>
  <c r="F1206" i="2" s="1"/>
  <c r="F1203" i="2"/>
  <c r="D1202" i="2"/>
  <c r="F1202" i="2" s="1"/>
  <c r="D1201" i="2"/>
  <c r="F1201" i="2" s="1"/>
  <c r="F1198" i="2"/>
  <c r="D1197" i="2"/>
  <c r="F1197" i="2" s="1"/>
  <c r="D1196" i="2"/>
  <c r="F1196" i="2" s="1"/>
  <c r="F1193" i="2"/>
  <c r="D1192" i="2"/>
  <c r="F1192" i="2" s="1"/>
  <c r="D1191" i="2"/>
  <c r="F1191" i="2" s="1"/>
  <c r="F1188" i="2"/>
  <c r="D1187" i="2"/>
  <c r="F1187" i="2" s="1"/>
  <c r="D1186" i="2"/>
  <c r="F1186" i="2" s="1"/>
  <c r="F1183" i="2"/>
  <c r="D1182" i="2"/>
  <c r="F1182" i="2" s="1"/>
  <c r="D1181" i="2"/>
  <c r="F1181" i="2" s="1"/>
  <c r="F1178" i="2"/>
  <c r="D1177" i="2"/>
  <c r="F1177" i="2" s="1"/>
  <c r="D1176" i="2"/>
  <c r="F1176" i="2" s="1"/>
  <c r="F1173" i="2"/>
  <c r="D1172" i="2"/>
  <c r="F1172" i="2" s="1"/>
  <c r="D1171" i="2"/>
  <c r="F1171" i="2" s="1"/>
  <c r="F1168" i="2"/>
  <c r="D1167" i="2"/>
  <c r="F1167" i="2" s="1"/>
  <c r="D1166" i="2"/>
  <c r="F1166" i="2" s="1"/>
  <c r="F1152" i="2"/>
  <c r="F1163" i="2"/>
  <c r="D1162" i="2"/>
  <c r="F1162" i="2" s="1"/>
  <c r="D1161" i="2"/>
  <c r="F1161" i="2" s="1"/>
  <c r="F1158" i="2"/>
  <c r="D1157" i="2"/>
  <c r="F1157" i="2" s="1"/>
  <c r="D1156" i="2"/>
  <c r="F1156" i="2" s="1"/>
  <c r="D1153" i="2"/>
  <c r="F1153" i="2" s="1"/>
  <c r="D1151" i="2"/>
  <c r="F1151" i="2" s="1"/>
  <c r="F1144" i="2"/>
  <c r="F1143" i="2"/>
  <c r="D1142" i="2"/>
  <c r="F1142" i="2" s="1"/>
  <c r="D1139" i="2"/>
  <c r="F1139" i="2" s="1"/>
  <c r="D1138" i="2"/>
  <c r="F1138" i="2" s="1"/>
  <c r="F1132" i="2"/>
  <c r="D1131" i="2"/>
  <c r="F1131" i="2" s="1"/>
  <c r="D1128" i="2"/>
  <c r="F1128" i="2" s="1"/>
  <c r="F1127" i="2"/>
  <c r="D1124" i="2"/>
  <c r="F1124" i="2" s="1"/>
  <c r="F1115" i="2"/>
  <c r="F1114" i="2"/>
  <c r="F1113" i="2"/>
  <c r="D1110" i="2"/>
  <c r="F1110" i="2" s="1"/>
  <c r="F1109" i="2"/>
  <c r="D1108" i="2"/>
  <c r="F1108" i="2" s="1"/>
  <c r="D1105" i="2"/>
  <c r="F1105" i="2" s="1"/>
  <c r="F1104" i="2"/>
  <c r="D1103" i="2"/>
  <c r="F1103" i="2" s="1"/>
  <c r="F1100" i="2"/>
  <c r="F1099" i="2"/>
  <c r="D1098" i="2"/>
  <c r="F1098" i="2" s="1"/>
  <c r="F1095" i="2"/>
  <c r="F1094" i="2"/>
  <c r="D1093" i="2"/>
  <c r="F1093" i="2" s="1"/>
  <c r="D1090" i="2"/>
  <c r="F1090" i="2" s="1"/>
  <c r="F1089" i="2"/>
  <c r="D1088" i="2"/>
  <c r="F1088" i="2" s="1"/>
  <c r="F1084" i="2"/>
  <c r="F1083" i="2"/>
  <c r="D1077" i="2"/>
  <c r="F1077" i="2" s="1"/>
  <c r="F1074" i="2"/>
  <c r="F1070" i="2"/>
  <c r="F1072" i="2" s="1"/>
  <c r="D1135" i="2"/>
  <c r="F1135" i="2" s="1"/>
  <c r="F1136" i="2" s="1"/>
  <c r="F1086" i="2" l="1"/>
  <c r="F1081" i="2"/>
  <c r="F1145" i="2"/>
  <c r="F1229" i="2"/>
  <c r="F1111" i="2"/>
  <c r="F1154" i="2"/>
  <c r="F1189" i="2"/>
  <c r="F1129" i="2"/>
  <c r="F1204" i="2"/>
  <c r="F1217" i="2"/>
  <c r="F1233" i="2"/>
  <c r="F1237" i="2"/>
  <c r="F1133" i="2"/>
  <c r="F1164" i="2"/>
  <c r="F1213" i="2"/>
  <c r="F1194" i="2"/>
  <c r="F1169" i="2"/>
  <c r="F1174" i="2"/>
  <c r="F1209" i="2"/>
  <c r="F1091" i="2"/>
  <c r="F1199" i="2"/>
  <c r="F1116" i="2"/>
  <c r="F1101" i="2"/>
  <c r="F1222" i="2"/>
  <c r="F1184" i="2"/>
  <c r="F1179" i="2"/>
  <c r="F1159" i="2"/>
  <c r="F1140" i="2"/>
  <c r="F1106" i="2"/>
  <c r="F1096" i="2"/>
  <c r="D1904" i="2"/>
  <c r="F1904" i="2" s="1"/>
  <c r="D1903" i="2"/>
  <c r="F1903" i="2" s="1"/>
  <c r="F1695" i="2"/>
  <c r="D1694" i="2"/>
  <c r="F1694" i="2" s="1"/>
  <c r="D1691" i="2"/>
  <c r="F1691" i="2" s="1"/>
  <c r="D1689" i="2"/>
  <c r="F1689" i="2" s="1"/>
  <c r="D1683" i="2"/>
  <c r="F1683" i="2" s="1"/>
  <c r="F1682" i="2"/>
  <c r="D1681" i="2"/>
  <c r="F1681" i="2" s="1"/>
  <c r="F1678" i="2"/>
  <c r="D1676" i="2"/>
  <c r="F1676" i="2" s="1"/>
  <c r="D1675" i="2"/>
  <c r="F1675" i="2" s="1"/>
  <c r="E108" i="1" l="1"/>
  <c r="I108" i="1" s="1"/>
  <c r="F1687" i="2"/>
  <c r="F1692" i="2"/>
  <c r="F1679" i="2"/>
  <c r="F1696" i="2"/>
  <c r="F1905" i="2"/>
  <c r="D1672" i="2"/>
  <c r="F1672" i="2" s="1"/>
  <c r="D1670" i="2"/>
  <c r="F1670" i="2" s="1"/>
  <c r="F1667" i="2"/>
  <c r="F1668" i="2" s="1"/>
  <c r="F1663" i="2"/>
  <c r="D1661" i="2"/>
  <c r="F1661" i="2" s="1"/>
  <c r="D1660" i="2"/>
  <c r="F1660" i="2" s="1"/>
  <c r="F1657" i="2"/>
  <c r="D1655" i="2"/>
  <c r="F1655" i="2" s="1"/>
  <c r="D1654" i="2"/>
  <c r="F1654" i="2" s="1"/>
  <c r="F1651" i="2"/>
  <c r="D1649" i="2"/>
  <c r="F1649" i="2" s="1"/>
  <c r="D1648" i="2"/>
  <c r="F1648" i="2" s="1"/>
  <c r="F1645" i="2"/>
  <c r="D1643" i="2"/>
  <c r="F1643" i="2" s="1"/>
  <c r="D1642" i="2"/>
  <c r="F1642" i="2" s="1"/>
  <c r="F1639" i="2"/>
  <c r="D1637" i="2"/>
  <c r="F1637" i="2" s="1"/>
  <c r="D1636" i="2"/>
  <c r="F1636" i="2" s="1"/>
  <c r="F1633" i="2"/>
  <c r="D1631" i="2"/>
  <c r="F1631" i="2" s="1"/>
  <c r="D1630" i="2"/>
  <c r="F1630" i="2" s="1"/>
  <c r="F1627" i="2"/>
  <c r="D1625" i="2"/>
  <c r="F1625" i="2" s="1"/>
  <c r="D1624" i="2"/>
  <c r="F1624" i="2" s="1"/>
  <c r="F1621" i="2"/>
  <c r="D1619" i="2"/>
  <c r="F1619" i="2" s="1"/>
  <c r="D1618" i="2"/>
  <c r="F1618" i="2" s="1"/>
  <c r="F1615" i="2"/>
  <c r="D1613" i="2"/>
  <c r="F1613" i="2" s="1"/>
  <c r="D1612" i="2"/>
  <c r="F1612" i="2" s="1"/>
  <c r="F1609" i="2"/>
  <c r="D1607" i="2"/>
  <c r="F1607" i="2" s="1"/>
  <c r="D1606" i="2"/>
  <c r="F1606" i="2" s="1"/>
  <c r="D1601" i="2"/>
  <c r="F1601" i="2" s="1"/>
  <c r="D1600" i="2"/>
  <c r="F1600" i="2" s="1"/>
  <c r="F1597" i="2"/>
  <c r="D1595" i="2"/>
  <c r="F1595" i="2" s="1"/>
  <c r="D1594" i="2"/>
  <c r="F1594" i="2" s="1"/>
  <c r="D1900" i="2"/>
  <c r="F1900" i="2" s="1"/>
  <c r="F1899" i="2"/>
  <c r="D1898" i="2"/>
  <c r="F1898" i="2" s="1"/>
  <c r="D1897" i="2"/>
  <c r="F1897" i="2" s="1"/>
  <c r="D1896" i="2"/>
  <c r="D1586" i="2"/>
  <c r="F1586" i="2" s="1"/>
  <c r="F1585" i="2"/>
  <c r="D1584" i="2"/>
  <c r="F1584" i="2" s="1"/>
  <c r="D1581" i="2"/>
  <c r="F1581" i="2" s="1"/>
  <c r="D1579" i="2"/>
  <c r="F1579" i="2" s="1"/>
  <c r="F1576" i="2"/>
  <c r="D1575" i="2"/>
  <c r="F1575" i="2" s="1"/>
  <c r="F1570" i="2"/>
  <c r="D1572" i="2"/>
  <c r="F1572" i="2" s="1"/>
  <c r="D1569" i="2"/>
  <c r="F1569" i="2" s="1"/>
  <c r="F1559" i="2"/>
  <c r="F1558" i="2"/>
  <c r="F1556" i="2"/>
  <c r="D1553" i="2"/>
  <c r="F1553" i="2" s="1"/>
  <c r="F1552" i="2"/>
  <c r="D1550" i="2"/>
  <c r="F1550" i="2" s="1"/>
  <c r="F1545" i="2"/>
  <c r="D1547" i="2"/>
  <c r="F1547" i="2" s="1"/>
  <c r="D1544" i="2"/>
  <c r="F1544" i="2" s="1"/>
  <c r="F1541" i="2"/>
  <c r="F1539" i="2"/>
  <c r="D1538" i="2"/>
  <c r="F1535" i="2"/>
  <c r="F1533" i="2"/>
  <c r="D1532" i="2"/>
  <c r="F1532" i="2" s="1"/>
  <c r="F1529" i="2"/>
  <c r="F1526" i="2"/>
  <c r="D1525" i="2"/>
  <c r="F1525" i="2" s="1"/>
  <c r="F1548" i="2" l="1"/>
  <c r="F1673" i="2"/>
  <c r="F1530" i="2"/>
  <c r="F1554" i="2"/>
  <c r="F1536" i="2"/>
  <c r="F1628" i="2"/>
  <c r="F1652" i="2"/>
  <c r="F1604" i="2"/>
  <c r="F1622" i="2"/>
  <c r="F1646" i="2"/>
  <c r="F1616" i="2"/>
  <c r="F1640" i="2"/>
  <c r="F1664" i="2"/>
  <c r="F1610" i="2"/>
  <c r="F1634" i="2"/>
  <c r="F1658" i="2"/>
  <c r="F1598" i="2"/>
  <c r="F1587" i="2"/>
  <c r="F1560" i="2"/>
  <c r="F1577" i="2"/>
  <c r="F1573" i="2"/>
  <c r="F1582" i="2"/>
  <c r="F1896" i="2"/>
  <c r="F1901" i="2" s="1"/>
  <c r="F1522" i="2"/>
  <c r="F1521" i="2"/>
  <c r="D1512" i="2"/>
  <c r="F1507" i="2"/>
  <c r="D1511" i="2"/>
  <c r="D1508" i="2"/>
  <c r="F1508" i="2" s="1"/>
  <c r="D1503" i="2"/>
  <c r="D1499" i="2"/>
  <c r="F1499" i="2" s="1"/>
  <c r="D1498" i="2"/>
  <c r="F1494" i="2"/>
  <c r="D1492" i="2"/>
  <c r="F1500" i="2"/>
  <c r="D1495" i="2"/>
  <c r="F1495" i="2" s="1"/>
  <c r="F1523" i="2" l="1"/>
  <c r="E110" i="1" l="1"/>
  <c r="I110" i="1" s="1"/>
  <c r="F1538" i="2"/>
  <c r="F1542" i="2" s="1"/>
  <c r="F1493" i="2"/>
  <c r="F1492" i="2"/>
  <c r="F1512" i="2"/>
  <c r="F1511" i="2"/>
  <c r="F1509" i="2"/>
  <c r="F1503" i="2"/>
  <c r="F1504" i="2" s="1"/>
  <c r="F1498" i="2"/>
  <c r="F1501" i="2" s="1"/>
  <c r="F1518" i="2" l="1"/>
  <c r="F1496" i="2"/>
  <c r="E109" i="1" l="1"/>
  <c r="I109" i="1" s="1"/>
  <c r="I116" i="1" l="1"/>
  <c r="I125" i="1" s="1"/>
  <c r="I126" i="1" s="1"/>
  <c r="I127" i="1" s="1"/>
</calcChain>
</file>

<file path=xl/sharedStrings.xml><?xml version="1.0" encoding="utf-8"?>
<sst xmlns="http://schemas.openxmlformats.org/spreadsheetml/2006/main" count="3584" uniqueCount="1053">
  <si>
    <t>PREFEITURA MUNICIPAL DE CATALÃO</t>
  </si>
  <si>
    <t>ITEM</t>
  </si>
  <si>
    <t>CÓDIGO</t>
  </si>
  <si>
    <t xml:space="preserve">DESCRIÇÃO </t>
  </si>
  <si>
    <t>QUANT.</t>
  </si>
  <si>
    <t>UNID.</t>
  </si>
  <si>
    <t>MATERIAL</t>
  </si>
  <si>
    <t>MÃO DE OBRA</t>
  </si>
  <si>
    <t>TOTAL</t>
  </si>
  <si>
    <t xml:space="preserve">TOTAL </t>
  </si>
  <si>
    <t>TOTAL :</t>
  </si>
  <si>
    <t>TOTAL COM BDI :</t>
  </si>
  <si>
    <t>PINTURA</t>
  </si>
  <si>
    <t>m2</t>
  </si>
  <si>
    <t>SUBTOTAL</t>
  </si>
  <si>
    <t>Secretário Municipal de Obras</t>
  </si>
  <si>
    <t xml:space="preserve">m2 </t>
  </si>
  <si>
    <t>AGETOP</t>
  </si>
  <si>
    <t>ALTURA</t>
  </si>
  <si>
    <t>COMPRIMENTO</t>
  </si>
  <si>
    <t>TOTAIS</t>
  </si>
  <si>
    <t xml:space="preserve">ÁREA EXTERNA </t>
  </si>
  <si>
    <t>SECRETARIA MUNICIPAL DE OBRAS</t>
  </si>
  <si>
    <t>GRUPO DE SERVIÇO:188 - PINTURA</t>
  </si>
  <si>
    <t xml:space="preserve">FUNDO ANTICORROSIVO PARA ESQUADRIAS METÁLICAS </t>
  </si>
  <si>
    <t xml:space="preserve"> m2 </t>
  </si>
  <si>
    <t>Desconto de vão de Porta</t>
  </si>
  <si>
    <t>Parede (2,35+2,35+2,35+2,35=9,40)</t>
  </si>
  <si>
    <t>CIRCULAÇÃO 1</t>
  </si>
  <si>
    <t xml:space="preserve">Desconto de vão de Porta </t>
  </si>
  <si>
    <t>Desconto de vão de 2 Portas (0,90X2,50)</t>
  </si>
  <si>
    <t>DEPÓSITO 2</t>
  </si>
  <si>
    <t>DEPÓSITO 1</t>
  </si>
  <si>
    <t>ÁREA DE SERVIÇO</t>
  </si>
  <si>
    <t xml:space="preserve">CIRCULAÇÃO 2 </t>
  </si>
  <si>
    <t>BANHEIRO FEMININO</t>
  </si>
  <si>
    <t>Desconto de vão de 3 Janelas</t>
  </si>
  <si>
    <t>Parede (12,43+6,05+12,36+6,05=36,89)</t>
  </si>
  <si>
    <t>Desconto de vão de 4 Portas (90x2,50)</t>
  </si>
  <si>
    <t>Parede (7,75+7,75=15,50)</t>
  </si>
  <si>
    <t>HALL DE ACESSO</t>
  </si>
  <si>
    <t>Parede (6,50+6,35+7,35+6,50+6,50+7,35</t>
  </si>
  <si>
    <t>Desconto de vão de 5 Portas (2,24x2,50)</t>
  </si>
  <si>
    <t>BANHEIRO MASCULINO</t>
  </si>
  <si>
    <t xml:space="preserve">SECRETARIA </t>
  </si>
  <si>
    <t>Parede (6,15+4,85+6,15+4,85=22,00)</t>
  </si>
  <si>
    <t>COORDENAÇÃO</t>
  </si>
  <si>
    <t>Parede ( 6,15+2,35+6,15+2,35=17,00)</t>
  </si>
  <si>
    <t>Direção</t>
  </si>
  <si>
    <t>Parede (2,35+6,15+2,35+6,15=17,00)</t>
  </si>
  <si>
    <t>Parede (4,85+6,15+4,85+6,15=22,00)</t>
  </si>
  <si>
    <t>Parede (7,34+6,15+7,34+6,15=26,98)</t>
  </si>
  <si>
    <t>Parede (9,84+6,15+9,84+6,15=31,98)</t>
  </si>
  <si>
    <t>Parede (2,34+2,35+2,34+2,35=9,38)</t>
  </si>
  <si>
    <t>Parede (20,05+2,35+20,05=42,45)</t>
  </si>
  <si>
    <t>Desconto de vão de 8 Portas</t>
  </si>
  <si>
    <t>Parede (5,95+14,95+5,95+14,95=41,80)</t>
  </si>
  <si>
    <t>Parede ( 22,75+21,50+22,75+6,20+2,5+28,79+15,25+28,79=148,53)</t>
  </si>
  <si>
    <t>Desconto de vão de 5 Janelas (1,50 x 1,00)</t>
  </si>
  <si>
    <t>Desconto de vão de 6 Janelas (2,24 x 0,35)</t>
  </si>
  <si>
    <t>Desconto de vão de porta (1,20 x 2,50)</t>
  </si>
  <si>
    <t>Desconto de vão de porta (0,90 x 2,50)</t>
  </si>
  <si>
    <t>LABORATÓRIO DE INFORMÁTICA 1</t>
  </si>
  <si>
    <t>SALA DOS PROFESSORES</t>
  </si>
  <si>
    <t>DEPÓSITO 3</t>
  </si>
  <si>
    <t>CIRCULAÇÃO 3</t>
  </si>
  <si>
    <t>LABORATÓRIO DE INFORMÁTICA 2</t>
  </si>
  <si>
    <t>SALA 1</t>
  </si>
  <si>
    <t>Parede ( 6,15+7,36+6,15+7,36=27,02)</t>
  </si>
  <si>
    <t>Desconto de vão de 3 janelas (2,24 x 1,65)</t>
  </si>
  <si>
    <t xml:space="preserve">Desconto de vão de porta </t>
  </si>
  <si>
    <t>SALA 2</t>
  </si>
  <si>
    <t>SALA 3</t>
  </si>
  <si>
    <t>SALA 4</t>
  </si>
  <si>
    <t>SALA 5</t>
  </si>
  <si>
    <t>SALA 6</t>
  </si>
  <si>
    <t>SALA 7</t>
  </si>
  <si>
    <t>SALA 8</t>
  </si>
  <si>
    <t>SALA 9</t>
  </si>
  <si>
    <t>SALA 10</t>
  </si>
  <si>
    <t>SALA 11</t>
  </si>
  <si>
    <t>SALA 12</t>
  </si>
  <si>
    <t>Parede (4,86+2,35+4,86+2,35=14,42)</t>
  </si>
  <si>
    <t>Parede (17,55+2,35+17,55=37,45)</t>
  </si>
  <si>
    <t>Desconto de vão de 7 portas</t>
  </si>
  <si>
    <t>Parede (6,15+7,35+2,08+2,50+4,07+4,85=27,00)</t>
  </si>
  <si>
    <t>Parede (6,50+7,35+6,50+7,28+4,09+2,35+4,09=38,16)</t>
  </si>
  <si>
    <t>Desconto de vão de porta (0,90x2,50)</t>
  </si>
  <si>
    <t>Desconto de vão de 3 portas (2,24x2,50)</t>
  </si>
  <si>
    <t>Parede ( 20,17+20,17+2,35= 42,69)</t>
  </si>
  <si>
    <t>Desconto de vão de 7 portas (0,90x2,50)</t>
  </si>
  <si>
    <t>Desconto de vão de porta  (0,90x2,50)</t>
  </si>
  <si>
    <t>Parede ( 15,35+22,50+22,55+15,35+52,75= 128,50)</t>
  </si>
  <si>
    <t>Desconto de vão de 5 Portas (2,24 x 2,50)</t>
  </si>
  <si>
    <t>Parede (6,50+6,35+7,35+6,50+6,50+7,35 = 40,55)</t>
  </si>
  <si>
    <t>QUANTIDADE</t>
  </si>
  <si>
    <t>ÁREA</t>
  </si>
  <si>
    <t>Sala 1</t>
  </si>
  <si>
    <t>Depósito 1</t>
  </si>
  <si>
    <t>Parede Balcão c/ Pia ((2,60+0,15+2,60+0,70+1,23+0,70) x2 = 15,96)</t>
  </si>
  <si>
    <t>Parede Balcão de Gás ((1,60+0,15+1,60+0,15) x2= 7,00)</t>
  </si>
  <si>
    <t>Parede (4,85+6,15+4,15+2,60+2,00+2,25=22,00)</t>
  </si>
  <si>
    <t>Parede (4,85+6,15+4,15+2,60+2,00+2,25 =22,00)</t>
  </si>
  <si>
    <t>Banheiro Sala dos Professores)</t>
  </si>
  <si>
    <t>Paredes (Feminino) (1,70+1,15+1,70+1,15=5,70)</t>
  </si>
  <si>
    <t>Paredes (Masculino) (1,70+1,15+1,70+1,15=5,70)</t>
  </si>
  <si>
    <t>INSTALAÇÕES ELÉTRICAS</t>
  </si>
  <si>
    <t>LÂMPADA FLUORESCENTE TUBULAR T5 DE 14 W</t>
  </si>
  <si>
    <t xml:space="preserve"> un </t>
  </si>
  <si>
    <t xml:space="preserve">LÂMPADA FLUORESCENTE TUBULAR T5 DE 28 W </t>
  </si>
  <si>
    <t>Desconto de vão de Janela (2,20 x 1,35)</t>
  </si>
  <si>
    <t>GRUPO DE SERVIÇO:169 - INST. ELÉT./TELEFÔNICA/CABEAMENTO ESTRUTURADO</t>
  </si>
  <si>
    <t xml:space="preserve">un </t>
  </si>
  <si>
    <t>Secretaria</t>
  </si>
  <si>
    <t>Coordenação (Mecanografia)</t>
  </si>
  <si>
    <t>Laboratório de Informática 1</t>
  </si>
  <si>
    <t>Laboratório de Ciências</t>
  </si>
  <si>
    <t>Sala dos Professores</t>
  </si>
  <si>
    <t>Sala 2</t>
  </si>
  <si>
    <t>Sala 3</t>
  </si>
  <si>
    <t>Sala 4</t>
  </si>
  <si>
    <t>Sala 5</t>
  </si>
  <si>
    <t>Sala 6</t>
  </si>
  <si>
    <t>Coordenação</t>
  </si>
  <si>
    <t>1.1</t>
  </si>
  <si>
    <t>2.1</t>
  </si>
  <si>
    <t>FERRAGENS</t>
  </si>
  <si>
    <t>Und</t>
  </si>
  <si>
    <t xml:space="preserve">Laboratório de Informática 1 </t>
  </si>
  <si>
    <t xml:space="preserve">FECH.(ALAV.) LAFONTE 6236 I /8766- I18 IMAB OU EQUIV. </t>
  </si>
  <si>
    <t xml:space="preserve">LUMINÁRIA DE SOBREPOR COM REFLETOR DE ALUMÍNIO E ALETAS 2X28W </t>
  </si>
  <si>
    <t>1.2</t>
  </si>
  <si>
    <t>3.1</t>
  </si>
  <si>
    <t xml:space="preserve">LÂMPADA FLUORESCENTE TUBULAR T5 DE 14 W </t>
  </si>
  <si>
    <t>Sala 7</t>
  </si>
  <si>
    <t>Sala 8</t>
  </si>
  <si>
    <t>Sala 9</t>
  </si>
  <si>
    <t>Sala 10</t>
  </si>
  <si>
    <t>Sala 11</t>
  </si>
  <si>
    <t>Sala 12</t>
  </si>
  <si>
    <t>Circulação 1 (Pavimento térreo)</t>
  </si>
  <si>
    <t>Varanda 1</t>
  </si>
  <si>
    <t>Varanda 2</t>
  </si>
  <si>
    <t>LUMINÁRIA DE SOBREPOR COM REFLETOR DE ALUMÍNIO E ALETAS 2X14W</t>
  </si>
  <si>
    <t>Paredes (Banheiro Feminino) (1,70+1,15+1,70+1,15=5,70)</t>
  </si>
  <si>
    <t>Paredes (Banheiro Masculino) (1,70+1,15+1,70+1,15=5,70)</t>
  </si>
  <si>
    <t>Banheiro Feminino (Sala dos Professores)</t>
  </si>
  <si>
    <t xml:space="preserve">Banheiro Masculino </t>
  </si>
  <si>
    <t>Hall de Acesso (Pavimento superior)</t>
  </si>
  <si>
    <t>Banheiro Masculino (Sala dos Professores)</t>
  </si>
  <si>
    <t>Hall de Acesso (Pavimento térreo)</t>
  </si>
  <si>
    <t>Banheiro Masculino</t>
  </si>
  <si>
    <t>Hall de Acesso (Pav. Térreo)</t>
  </si>
  <si>
    <t>GRUPO DE SERVIÇO:185 - FERRAGENS</t>
  </si>
  <si>
    <t>GRUPO DE SERVIÇO:181- VIDROS</t>
  </si>
  <si>
    <t>VIDROS</t>
  </si>
  <si>
    <t xml:space="preserve">VIDRO FUME COMUM 4MM - COLOCADO </t>
  </si>
  <si>
    <t>Desconto de vão de 3 Janelas (2,24 x 1,60)</t>
  </si>
  <si>
    <t>Desconto de vão de Janela (2,24 x 1,60)</t>
  </si>
  <si>
    <t>Desconto de vão de 2 Janelas (2,24 x 1,60)</t>
  </si>
  <si>
    <t xml:space="preserve">Desconto de vão de Janela (2,24 x 1,60) </t>
  </si>
  <si>
    <t>Desconto de vão de 4 Janelas (2,24 X 1,60)</t>
  </si>
  <si>
    <t>Desconto de vão de 3 janelas (2,24 x 1,60)</t>
  </si>
  <si>
    <t>Desconto de vão de 2 Janelas (2,24x1,60)</t>
  </si>
  <si>
    <t>Desconto de vão de 4 Janelas (2,24x1,60)</t>
  </si>
  <si>
    <t>Desconto de vão de 39 janelas (2,24 x 1,60)</t>
  </si>
  <si>
    <t xml:space="preserve"> PINT.ESMALTE S/ANTICOR 2 DEMAOS </t>
  </si>
  <si>
    <t xml:space="preserve"> PINTURA PVA LATEX 2 DEMAOS SEM SELADOR</t>
  </si>
  <si>
    <t>PILAR ( PINTURA DOS 4 LADOS) (Área 0,25 x 4= 1,00)</t>
  </si>
  <si>
    <t>Pilares Pavimento Térreo</t>
  </si>
  <si>
    <t>PILAR ( Pintura dos 4 Lados) (Área 0,25 x 4= 1,00)</t>
  </si>
  <si>
    <t>PINTURA DOS PILARES (Barrado)</t>
  </si>
  <si>
    <t>Pilares Pavimento Superior</t>
  </si>
  <si>
    <t>PINTURA DOS PILARES (Acima Barrado)</t>
  </si>
  <si>
    <t xml:space="preserve">PINT.ESMALTE 2 DEM. ESQ.FERRO (SEM FUNDO ANTICOR.) </t>
  </si>
  <si>
    <t xml:space="preserve">MICTORIO DE LOUCA C/SIFAO INTEGRADO </t>
  </si>
  <si>
    <t xml:space="preserve">Un </t>
  </si>
  <si>
    <t>INSTALAÇÕES HIDROSSANITÁRIAS</t>
  </si>
  <si>
    <t>Sala 5 (0,50X1,60)</t>
  </si>
  <si>
    <t>Sala 9 (0,50X1,60)</t>
  </si>
  <si>
    <t>Sala 8 (0,50X1,60)</t>
  </si>
  <si>
    <t>TOTAL GERAL (Barrado)</t>
  </si>
  <si>
    <t>Pav.Superior (Acima Barrado)</t>
  </si>
  <si>
    <t>TOTAL GERAL (Acima Barrado)</t>
  </si>
  <si>
    <t>Pav. Superior (Parede Externa)</t>
  </si>
  <si>
    <t>Pav. Térreo (Parede Externa)</t>
  </si>
  <si>
    <t>TOTAL GERAL (Parede Externa)</t>
  </si>
  <si>
    <t>Desconto de vão de Janela ( 2,24x1,60)</t>
  </si>
  <si>
    <t>Balcão Bebedouro (0,40+0,40 = 0,80)</t>
  </si>
  <si>
    <t>Parede Balcão c/ Pia (0,40+0,10+0,40+0,40+0,10+0,40 = 1,80)</t>
  </si>
  <si>
    <t>Desconto de vão de 3 Janelas (2,24x0,35)</t>
  </si>
  <si>
    <t>Circulação 2 (Pavimento superior)</t>
  </si>
  <si>
    <t>SALA DE RECURSO MULTIFUNCIONAL</t>
  </si>
  <si>
    <t>Banheiro (Sala dos Professores)</t>
  </si>
  <si>
    <t>Desconto de vão de 5 janelas (2,00 x 1,00)</t>
  </si>
  <si>
    <t>Desconto de vão de 5 Janelas (2,00 x 1,00)</t>
  </si>
  <si>
    <t>Laboratório de Informática 2</t>
  </si>
  <si>
    <t>Rampa (Acesso Pavimento Superior) (15,10+15,10+3,00)</t>
  </si>
  <si>
    <t>LARGURA</t>
  </si>
  <si>
    <t>Refeitório</t>
  </si>
  <si>
    <t>REATOR ELETRÔNICO AFP 2 X 14W</t>
  </si>
  <si>
    <t>REATOR ELETRÔNICO AFP 2 X 28W</t>
  </si>
  <si>
    <t>Depósito 2</t>
  </si>
  <si>
    <t xml:space="preserve"> Un </t>
  </si>
  <si>
    <t>TORNEIRA DE MESA PARA LAVATÓRIO DIÂMETRO DE 1/2"</t>
  </si>
  <si>
    <t xml:space="preserve">Banheiro Feminino </t>
  </si>
  <si>
    <t xml:space="preserve">CAIXA DE DESCARGA EXTERNA </t>
  </si>
  <si>
    <t>Banheiro Feminino</t>
  </si>
  <si>
    <t>VÁLVULA DE DESCARGA COM SISTEMA PASSANTE EM POLÍMERO - OPÇÃO ECONÔMICA (ALTA SEGURANÇA)</t>
  </si>
  <si>
    <t>CHUVEIRO ELÉTRICO EM PVC COM BRAÇO METÁLICO</t>
  </si>
  <si>
    <t>GRUPO DE SERVIÇO:164 - SERVIÇOS PRELIMINARES</t>
  </si>
  <si>
    <t xml:space="preserve">DEMOLIÇAO DE CAIXA DESCARGA EXTERNA C/ TRANSP. ATÉ CB. E CARGA </t>
  </si>
  <si>
    <t xml:space="preserve">H </t>
  </si>
  <si>
    <t>H</t>
  </si>
  <si>
    <t>Desconto de vão da parte metálica (Mural da Mangueira)  0,70 x 1,00</t>
  </si>
  <si>
    <t xml:space="preserve">Pintura das Janelas </t>
  </si>
  <si>
    <t xml:space="preserve">Área de Serviço/ Cozinha </t>
  </si>
  <si>
    <t>Sala de Recurso Multifuncional</t>
  </si>
  <si>
    <t>Pavimento Térreo</t>
  </si>
  <si>
    <t xml:space="preserve">Direção </t>
  </si>
  <si>
    <t>Pintura de Porta</t>
  </si>
  <si>
    <t xml:space="preserve">Secretaria </t>
  </si>
  <si>
    <t>Laboratório de Informática 2 (0,90x2,10)</t>
  </si>
  <si>
    <t>Câmara Fria (1,20x2,50)</t>
  </si>
  <si>
    <t>Área Externa  (1,20x2,50)</t>
  </si>
  <si>
    <t>Depósito 1 / Circulação 1 (0,90 x2,50)</t>
  </si>
  <si>
    <t>Circulação 1 / Área Externa (0,90 x2,50)</t>
  </si>
  <si>
    <t>Cozinha 2 / Área de Serviço (0,90 x2,50)</t>
  </si>
  <si>
    <t>Depósito 2 / Área de Serviço (0,90 x2,50)</t>
  </si>
  <si>
    <t>Secretaria (0,90 x2,50)</t>
  </si>
  <si>
    <t>Coordenação (Mecanografia) (0,90 x2,50)</t>
  </si>
  <si>
    <t>Direção (0,90 x2,50)</t>
  </si>
  <si>
    <t>Sala de Recurso Multifuncional (0,90 x2,50)</t>
  </si>
  <si>
    <t>Laboratório de Informática 1 (0,90 x2,50)</t>
  </si>
  <si>
    <t>Laboratório de Ciências  (0,90 x2,50)</t>
  </si>
  <si>
    <t xml:space="preserve"> </t>
  </si>
  <si>
    <t>Sala dos Professores (0,90 x2,50)</t>
  </si>
  <si>
    <t>Banheiro Masculino (0,90 x2,50)</t>
  </si>
  <si>
    <t>Pav. Térreo</t>
  </si>
  <si>
    <t>Pav. Superior</t>
  </si>
  <si>
    <t>Depósito 3 (0,90 x2,50)</t>
  </si>
  <si>
    <t xml:space="preserve">Bloco 1 Clara Bóia </t>
  </si>
  <si>
    <t>Bloco 2 Clara Bóia</t>
  </si>
  <si>
    <t xml:space="preserve">Cozinha/Área Externa </t>
  </si>
  <si>
    <t>Desconto de vão de Janela  (2,24 x 1,30)</t>
  </si>
  <si>
    <t>GRUPO DE SERVIÇO:172- ALVENARIAS E DIVISÓRIAS</t>
  </si>
  <si>
    <t>ALVENARIAS E DIVISORIAS</t>
  </si>
  <si>
    <t>ALVENARIAS E DIVISÓRIAS</t>
  </si>
  <si>
    <t xml:space="preserve">COMPRIMENTO </t>
  </si>
  <si>
    <t>Banheiro Masculino lado 2</t>
  </si>
  <si>
    <t xml:space="preserve">DEMOLIÇÃO DAS INSTALAÇÕES HIDROSANITÁRIAS E AFINS C/ TRANSP. ATÉ CB. E CARGA </t>
  </si>
  <si>
    <t>Desconto de vão de 6 portas (0,50x1,60)</t>
  </si>
  <si>
    <t>Desconto de vão de 7 portas (0,50x1,60)</t>
  </si>
  <si>
    <t>Parede (1,05+1,05+7,25+6,15+6,10+2,80+4,35+0,75+3,77+6,15+0,15+0,15= 39,87)</t>
  </si>
  <si>
    <t>Parede (6,10+1,05+0,15+1,05+6,15+3,77+0,15+4,35+0,75+6,15+0,15+6,10=35,95)</t>
  </si>
  <si>
    <t xml:space="preserve">DIVISORIA PAINEL E RODAPE SIMPLES PERFIL AÇO PINTADO </t>
  </si>
  <si>
    <t>GRUPO DE SERVIÇO:182 - REVESTIMENTO DE PAREDE</t>
  </si>
  <si>
    <t>REVESTIMENTO COM CERÂMICA</t>
  </si>
  <si>
    <t xml:space="preserve">REVESTIMENTO DE PAREDES </t>
  </si>
  <si>
    <t xml:space="preserve"> VIDROS</t>
  </si>
  <si>
    <t>REVESTIMENTO DE PAREDE</t>
  </si>
  <si>
    <t xml:space="preserve">ELETRODUTO PVC FLEXÍVEL - MANGUEIRA CORRUGADA LEVE - DIAM. 25MM </t>
  </si>
  <si>
    <t xml:space="preserve">M </t>
  </si>
  <si>
    <t xml:space="preserve">REATOR ELETRÔNICO AFP 2 X 28W </t>
  </si>
  <si>
    <t>SIFAO FLEXIVEL UNIVERSAL ( SANFONADO) EM PVC PARA LAVATORIO</t>
  </si>
  <si>
    <t>m</t>
  </si>
  <si>
    <t xml:space="preserve">TUBO SOLDAVEL P/ESGOTO DIAM. 100 MM </t>
  </si>
  <si>
    <t xml:space="preserve">m </t>
  </si>
  <si>
    <t>GRUPO DE SERVIÇO:174 - IMPERMEABILIZAÇÃO</t>
  </si>
  <si>
    <t>IMPERMEABILIZACAO</t>
  </si>
  <si>
    <t>IMPERMEABILIZAÇÃO</t>
  </si>
  <si>
    <t>VOLUME</t>
  </si>
  <si>
    <t xml:space="preserve">ADESIVO PLASTICO - FRASCO 850 G </t>
  </si>
  <si>
    <t>Janelas Clarabóias</t>
  </si>
  <si>
    <t>Bloco 1 Clara Bóia (2,15x0,60)</t>
  </si>
  <si>
    <t xml:space="preserve">VASO SANITARIO </t>
  </si>
  <si>
    <t>GRUPO DE SERVIÇO: 168 - ESTRUTURA</t>
  </si>
  <si>
    <t>ESTRUTURA</t>
  </si>
  <si>
    <t xml:space="preserve"> ANDAIME METALICO FACHADEIRO (ALUGUEL/MES) </t>
  </si>
  <si>
    <t xml:space="preserve">m2  </t>
  </si>
  <si>
    <t xml:space="preserve">RETIRADA DE JANELAS OU PORTAIS C/ TRANSP. ATÉ CB. E CARGA </t>
  </si>
  <si>
    <t>SERVIÇOS PRELIMINARES</t>
  </si>
  <si>
    <t>Janelas (Sala de aula- Pavimento Superior)</t>
  </si>
  <si>
    <t>Portas (Banheiro Masculino ) (6=1,90x1,00)</t>
  </si>
  <si>
    <t xml:space="preserve">SERVIÇOS PRELIMINARES </t>
  </si>
  <si>
    <t xml:space="preserve">PINTURA DO TETO </t>
  </si>
  <si>
    <t>DIREÇÃO</t>
  </si>
  <si>
    <t>Pintura das Marquizes</t>
  </si>
  <si>
    <t>Bloco 1</t>
  </si>
  <si>
    <t>TOTAL GERAL (Pintura Esmalte Esq. Metálica)</t>
  </si>
  <si>
    <t xml:space="preserve">INTERRUPTOR SIMPLES (1 SECAO) </t>
  </si>
  <si>
    <t xml:space="preserve">Pav. Térreo </t>
  </si>
  <si>
    <t>Banheiros (Sala dos Professores)</t>
  </si>
  <si>
    <t xml:space="preserve">INTERRUPTOR SIMPLES (2 SECOES) </t>
  </si>
  <si>
    <t xml:space="preserve">TOMADA HEXAGONAL 2P + T - 10A - 250V (LINHA X OU EQUIVALENTE) </t>
  </si>
  <si>
    <t>Sala 1 (0,50X1,60)</t>
  </si>
  <si>
    <t>Sala 3 (0,50X1,60)</t>
  </si>
  <si>
    <t>Sala 7 (0,50X1,60)</t>
  </si>
  <si>
    <t>Sala 11 (0,50X1,60)</t>
  </si>
  <si>
    <t xml:space="preserve">ÁREA </t>
  </si>
  <si>
    <t>MÊS</t>
  </si>
  <si>
    <t xml:space="preserve">ANDAIME METALICO FACHADEIRO (ALUGUEL/MES)  </t>
  </si>
  <si>
    <t>Fachada Frontal (21,50x3,50)</t>
  </si>
  <si>
    <t>Fachada Lateral Esquerda (58,79x3,50)</t>
  </si>
  <si>
    <t>Fachada Lateral Direita (58,79x3,50)</t>
  </si>
  <si>
    <t>Fachada Posterior (21,55x3,50)</t>
  </si>
  <si>
    <t xml:space="preserve">Pav. Superior </t>
  </si>
  <si>
    <t>Fachada Frontal (15,35x3,50)</t>
  </si>
  <si>
    <t xml:space="preserve">Fachada Lateral Esquerda (52,74x3,50) </t>
  </si>
  <si>
    <t>Fachada Lateral Direita (52,74x3,50)</t>
  </si>
  <si>
    <t xml:space="preserve">Fachada Posterior (15,35x3,50) </t>
  </si>
  <si>
    <t xml:space="preserve">IMPERMEABILIZACAO-C/CIMENTO CRISTALIZANTE 3 DEMAOS </t>
  </si>
  <si>
    <t>ARGAMASSA TRAÇO 1:3 (CIMENTO E AREIA), PREPARO MECANICO , INCLUSO ADITIVO IMPERMEABILIZANTE</t>
  </si>
  <si>
    <t xml:space="preserve">M3  </t>
  </si>
  <si>
    <t>SINAPI</t>
  </si>
  <si>
    <t>M3</t>
  </si>
  <si>
    <t>Mural da mangueira de incêndio (0,85+0,20+0,85+0,20=2,10)</t>
  </si>
  <si>
    <t>Mural da mangueira de incêndio (0,85+0,20+0,20+0,85+0,85=2,90)</t>
  </si>
  <si>
    <t>Mural da mangueira de incêndio (0,30+0,30+0,90+0,90=2,40)</t>
  </si>
  <si>
    <t>Mural da mangueira de incêndio (0,30+0,30+0,90=1,50)</t>
  </si>
  <si>
    <t>Desconto de vão de 6 janelas (2,24x35)</t>
  </si>
  <si>
    <t>Parede (4,36+2,35+2,35+4,36 =13,42)</t>
  </si>
  <si>
    <t xml:space="preserve">Desconto de vão de 2 Janelas (2,24x0,35)            </t>
  </si>
  <si>
    <t>Parede(6,05+2,53+2,50+1,35+0,15+1,35+7,22+1,35+4,65+6,37+0,60+0,15+0,60+0,60+0,60+0,15+0,60= 36,82)</t>
  </si>
  <si>
    <t>Desconto de vão de 4 Janelas (2,24x0,35)</t>
  </si>
  <si>
    <t>COORDENAÇÃO (Mecanografia)</t>
  </si>
  <si>
    <t>Desconto de vão de 2 Janelas (2,24x0,35)</t>
  </si>
  <si>
    <t>Desconto de vão de 1 Janelas (2,24x0,35)</t>
  </si>
  <si>
    <t>Desconto de vão de 6 Janelas (2,24x0,35)</t>
  </si>
  <si>
    <t>Desconto de vão de 7 Janelas (2,24x0,35)</t>
  </si>
  <si>
    <t>Desconto de vão de 16 Janelas (2,24x0,35)</t>
  </si>
  <si>
    <t>Desconto de vão de 18 janelas (2,24x0,35)</t>
  </si>
  <si>
    <t>Desconto de vão de 3 janelas (2,24x0,35)</t>
  </si>
  <si>
    <t>Desconto de vão de 6 janelas (2,24x0,35)</t>
  </si>
  <si>
    <t>Desconto de vão de 16 janelas (2,24x0,35)</t>
  </si>
  <si>
    <t>GRUPO DE SERVIÇO:180 - ESQUADRIAS METÁLICAS</t>
  </si>
  <si>
    <t>ESQUADRIAS METÁLICAS - ( OBS.: 1- OS VIDROS NÃO ESTÃO INCLUSOS NAS ESQUADRIAS; 2- JÁ ESTÁ CONSIDERADO NO CUSTO DAS ESQUADRIAS DE ALUMÍNIO O CONTRAMARCO )</t>
  </si>
  <si>
    <t>GRELHA DE FERRO FUNDIDO PARA CANALETA LARG = 30CM, FORNECIMENTO E ASSENTAMENTO</t>
  </si>
  <si>
    <t xml:space="preserve"> M </t>
  </si>
  <si>
    <t xml:space="preserve">ESQUADRIAS METÁLICAS </t>
  </si>
  <si>
    <t>Grelha 1 (2,50x0,30)</t>
  </si>
  <si>
    <t>Grelha 2 (2,00x0,30)</t>
  </si>
  <si>
    <t>Sala 2 (0,50X1,60)</t>
  </si>
  <si>
    <t>Sala 4 (0,50X1,60)</t>
  </si>
  <si>
    <t>Sala 6 (0,50X1,60)</t>
  </si>
  <si>
    <t>Sala 10 (0,50X1,60)</t>
  </si>
  <si>
    <t>Desconto de vão de Janela (2,24x1,60)</t>
  </si>
  <si>
    <t>Desconto de Vão de Vidro (0,50x1,60)</t>
  </si>
  <si>
    <t>Circulação 2</t>
  </si>
  <si>
    <t>GRUPO DE SERVIÇO:179 - ESQUADRIAS DE MADEIRAS</t>
  </si>
  <si>
    <t xml:space="preserve">PORTA DE SANITARIO 60x 160v200CM C/PORTAL /ALISAR S/FERRAGENS </t>
  </si>
  <si>
    <t>ESQUADRIAS DE MADEIRA</t>
  </si>
  <si>
    <t>Banheiro Femino</t>
  </si>
  <si>
    <t>PORTAO DE ABRIR CHAPA 14 PT-4 C/FERRAGENS</t>
  </si>
  <si>
    <t>Banheirro Feminino</t>
  </si>
  <si>
    <t>BDI (26,65):</t>
  </si>
  <si>
    <t>Pav. Térreo (Janelas)</t>
  </si>
  <si>
    <t>Coordenação (Mecanografia) (0,50x1,60)</t>
  </si>
  <si>
    <t xml:space="preserve">Direção (0,50x1,60) </t>
  </si>
  <si>
    <t>Secretaria (0,50x1,60)</t>
  </si>
  <si>
    <t>Pav.  Superior (Janelas)</t>
  </si>
  <si>
    <t>Pav. Térreo (Portas)</t>
  </si>
  <si>
    <t>Coordenação (Mecanografia) (0,70x1,20)</t>
  </si>
  <si>
    <t xml:space="preserve">Direção (0,70x1,20) </t>
  </si>
  <si>
    <t>Secretaria (0,70x1,20)</t>
  </si>
  <si>
    <t>Pav.  Superior (Portas)</t>
  </si>
  <si>
    <t>Sala 1 (0,70x1,20)</t>
  </si>
  <si>
    <t>Sala 2 (0,70x1,20)</t>
  </si>
  <si>
    <t>Sala 3 (0,70x1,20)</t>
  </si>
  <si>
    <t>Sala 4 (0,70x1,20)</t>
  </si>
  <si>
    <t>Sala 5 (0,70x1,20)</t>
  </si>
  <si>
    <t>Sala 6 (0,70x1,20)</t>
  </si>
  <si>
    <t>Sala 7 (0,70x1,20)</t>
  </si>
  <si>
    <t>Sala 8 (0,70x1,20)</t>
  </si>
  <si>
    <t>Sala 9 (0,70x1,20)</t>
  </si>
  <si>
    <t>Sala 10 (0,70x1,20)</t>
  </si>
  <si>
    <t>Sala 11 (0,70x1,20)</t>
  </si>
  <si>
    <t>TOTAL GERAL (Vidros)</t>
  </si>
  <si>
    <t>Área de Serviço (1,00x2,50)</t>
  </si>
  <si>
    <t>Desconto de Vão de Vidro (0,70x1,20)</t>
  </si>
  <si>
    <t>Pavimento Superior (Pintura de Janela)</t>
  </si>
  <si>
    <t xml:space="preserve"> CORPO CX. SIFONADA DIAM. 150 X 150 X 50 </t>
  </si>
  <si>
    <t xml:space="preserve">CORPO CX. SIFONADA DIAM. 150 X 150 X 50 </t>
  </si>
  <si>
    <t>Banheiro Masculino lado 1</t>
  </si>
  <si>
    <t>Banheiro Masculino (Parede acima da pia)</t>
  </si>
  <si>
    <t>Banheiro Masculino (Parede abaixo da pia)</t>
  </si>
  <si>
    <t>Banheiro Feminino (Parede acima da pia)</t>
  </si>
  <si>
    <t>Banheiro Feminino (Parede abaixo da pia)</t>
  </si>
  <si>
    <t>Desconto de Vão de Vidro (1,80x1,20)</t>
  </si>
  <si>
    <t>Refeitório (2,25x2,50)</t>
  </si>
  <si>
    <t>Grade Laboratorio de Informática 2 (0,90x2,15)</t>
  </si>
  <si>
    <t>Janela acima da Viga (2,24x0,35)</t>
  </si>
  <si>
    <t>Desconto de Vão de Vidro (1,60x0,60)</t>
  </si>
  <si>
    <t>Alambrados</t>
  </si>
  <si>
    <t>Alambrado Corredor Varanda (1,50x1,60)</t>
  </si>
  <si>
    <t>Aambrado Interno Lateral (2,00x1,70)</t>
  </si>
  <si>
    <t>Alambrado Interno Lateral (1,25x1,70)</t>
  </si>
  <si>
    <t>Alambrado Externo (2,00x2,00)</t>
  </si>
  <si>
    <t>Alambrado Externo (1,80x1,80)</t>
  </si>
  <si>
    <t>Alambrado Externo (1,55x165)</t>
  </si>
  <si>
    <t>Alambrado Externo (2,00x1,70)</t>
  </si>
  <si>
    <t>Alambrado Externo (2,00x1,60)</t>
  </si>
  <si>
    <t xml:space="preserve">Sala 5 </t>
  </si>
  <si>
    <t>Depósito</t>
  </si>
  <si>
    <t>Varanda 2  (2,25x0,60)</t>
  </si>
  <si>
    <t>Varanda 2  (5,90x1,00)</t>
  </si>
  <si>
    <t>Parede divisória (1,15x2,05)</t>
  </si>
  <si>
    <t>Refeitório (8,65x1,00)</t>
  </si>
  <si>
    <t>Refeitório (2,25x0,60)</t>
  </si>
  <si>
    <t xml:space="preserve">Piso (Rampa Acesso Pavimento Superior) </t>
  </si>
  <si>
    <t>Laboratório de Informática 2 (Pav. Térreo) (0,90x2,50)</t>
  </si>
  <si>
    <t>Área de Serviço</t>
  </si>
  <si>
    <t>Hall de Acesso</t>
  </si>
  <si>
    <t>Depósito 3</t>
  </si>
  <si>
    <t>Circulação 1</t>
  </si>
  <si>
    <t xml:space="preserve">ELETRODUTO DE PVC RIGIDO DIAMETRO 3/4" </t>
  </si>
  <si>
    <t>Condutor Laboratorio de Informática 1</t>
  </si>
  <si>
    <t>Condutor Laboratorio de Informática 2</t>
  </si>
  <si>
    <t>Refeitório (0,50x2,00)</t>
  </si>
  <si>
    <t>Cozinha 1 (0,50x1,60)</t>
  </si>
  <si>
    <t>Coordenação (0,50x1,60)</t>
  </si>
  <si>
    <t>Porta (0,90x2,10)</t>
  </si>
  <si>
    <t>Hall de Acesso (0,50x1,60)</t>
  </si>
  <si>
    <t>Sala de Recurso Multifuncional (0,50x1,60)</t>
  </si>
  <si>
    <t>Sala dos Professores (0,50x1,60)</t>
  </si>
  <si>
    <t>Laboratório de Ciências (0,50x1,60)</t>
  </si>
  <si>
    <t>Laboratório de Informática 1 (0,50x1,60)</t>
  </si>
  <si>
    <t>Refeitório (1,80x1,20)</t>
  </si>
  <si>
    <t>Depósito 2 (0,70x1,20)</t>
  </si>
  <si>
    <t>Hall de Acesso (1,80x1,20)</t>
  </si>
  <si>
    <t>Sala dos Professores (0,70x1,20)</t>
  </si>
  <si>
    <t>Laboratório de Ciências (0,70x1,20)</t>
  </si>
  <si>
    <t>Laboratório de Informática 1 (0,70x1,20)</t>
  </si>
  <si>
    <t>Depósito 3 (0,70x1,20)</t>
  </si>
  <si>
    <t>Sala de Recurso Multifuncional (0,70x1,20)</t>
  </si>
  <si>
    <t>Depósito 1 (0,70x1,20)</t>
  </si>
  <si>
    <t>Circulação 1 (0,70x1,20)</t>
  </si>
  <si>
    <t>PILAR (Pintura dos 4 Lados) (Área 0,25 x 4= 1,00)</t>
  </si>
  <si>
    <t>Pilares Pav. Superior</t>
  </si>
  <si>
    <t>Câmara Fria</t>
  </si>
  <si>
    <t>Parte Cozinha 1</t>
  </si>
  <si>
    <t>Cozinha 1</t>
  </si>
  <si>
    <t>Cozinha 2</t>
  </si>
  <si>
    <t xml:space="preserve">Circulação 2 </t>
  </si>
  <si>
    <t>Sala dos Professores (Banheiro Sala dos Professores)</t>
  </si>
  <si>
    <t xml:space="preserve">Laboratório de Ciências </t>
  </si>
  <si>
    <t>Parte Coordenação</t>
  </si>
  <si>
    <t>Sala 1 (6,15X1,00)</t>
  </si>
  <si>
    <t>Sala 2 (6,15X1,00)</t>
  </si>
  <si>
    <t>Sala 3 (6,15X1,00)</t>
  </si>
  <si>
    <t>Sala 4 (6,15X1,00)</t>
  </si>
  <si>
    <t>Sala 5 (6,15X1,00)</t>
  </si>
  <si>
    <t>Sala 6 (6,15X1,00)</t>
  </si>
  <si>
    <t>Sala 7 (6,15X1,00)</t>
  </si>
  <si>
    <t>Sala 8 (6,15X1,00)</t>
  </si>
  <si>
    <t>Sala 9 (6,15X1,00)</t>
  </si>
  <si>
    <t>Sala 10 (6,15X1,00)</t>
  </si>
  <si>
    <t>Sala 11 (6,15X1,00)</t>
  </si>
  <si>
    <t>Sala 12 (6,15X1,00)</t>
  </si>
  <si>
    <t>Circulação 1 (2,35x1,00)</t>
  </si>
  <si>
    <t>Circulação 2 (2,35x1,00)</t>
  </si>
  <si>
    <t>Coordenação  (6,15x1,00)</t>
  </si>
  <si>
    <t>Hall de Acesso (2,35x1,00)</t>
  </si>
  <si>
    <t>Hall de Acesso (2,25x0,60)</t>
  </si>
  <si>
    <t>Hall de Acesso (6,15x1,00)</t>
  </si>
  <si>
    <t>Cozinha 1 (6,15x1,00)</t>
  </si>
  <si>
    <t>Cozinha 2 (6,15x1,00)</t>
  </si>
  <si>
    <t>Banheiro Feminino (6,15x1,00)</t>
  </si>
  <si>
    <t>Hall de Acesso (2,35x0,60)</t>
  </si>
  <si>
    <t>Banheiro Masculino (6,15x1,00)</t>
  </si>
  <si>
    <t>Secretaria (6,15x1,00)</t>
  </si>
  <si>
    <t>Sala de Recurso Multifuncional (6,15x1,00)</t>
  </si>
  <si>
    <t>Laboratório de Informática 1 (6,15x1,00)</t>
  </si>
  <si>
    <t>Laboratório de Ciências (6,15x1,00)</t>
  </si>
  <si>
    <t>Sala dos Professores (6,15x1,00)</t>
  </si>
  <si>
    <t>4 Corrimãos Entrada da Escola (8,30x1,15)</t>
  </si>
  <si>
    <t>2 Corrimão (Escada Hall de Entrada Pavimento Térreo) (2x (5,50+5,50+5,50+5,50=44,00)</t>
  </si>
  <si>
    <t>2 Corrimão (Rampa de Acesso ao Pavimento Superior) (2x(13,50+13,50+13,40+13,40+4,60+2,70+3,90+5,70+5,70+8,10+18,40)=205,80)</t>
  </si>
  <si>
    <t>2 Corrimão (Hall de Acesso Pavimento Superior)</t>
  </si>
  <si>
    <t>1.3</t>
  </si>
  <si>
    <t>4.1</t>
  </si>
  <si>
    <t>4.2</t>
  </si>
  <si>
    <t>4.3</t>
  </si>
  <si>
    <t>4.4</t>
  </si>
  <si>
    <t>4.5</t>
  </si>
  <si>
    <t>4.6</t>
  </si>
  <si>
    <t>4.7</t>
  </si>
  <si>
    <t>4.8</t>
  </si>
  <si>
    <t>4.9</t>
  </si>
  <si>
    <t>4.10</t>
  </si>
  <si>
    <t>5.1</t>
  </si>
  <si>
    <t>6.1</t>
  </si>
  <si>
    <t>7.1</t>
  </si>
  <si>
    <t>8.1</t>
  </si>
  <si>
    <t>9.1</t>
  </si>
  <si>
    <t>11.1</t>
  </si>
  <si>
    <t>12.1</t>
  </si>
  <si>
    <t xml:space="preserve">Coordenação </t>
  </si>
  <si>
    <t>Pav. Superior (Placas com Rachaduras - 0,65x2,10)</t>
  </si>
  <si>
    <t xml:space="preserve">LABORATÓRIO DE CIÊNCIAS </t>
  </si>
  <si>
    <t>Portas Banheiros (Circulação 3)</t>
  </si>
  <si>
    <t>Porta Auditório (2,25x2,50)</t>
  </si>
  <si>
    <t>Porta Circulação Auditório (2,25x2,50)</t>
  </si>
  <si>
    <t>Porta Depósito (Pav. Superior) (0,90x2,50)</t>
  </si>
  <si>
    <t>Fachada Frontal (21,15x3,50)</t>
  </si>
  <si>
    <t>Fachada Lateral Esquerda (55,25x3,50)</t>
  </si>
  <si>
    <t>Fachada Lateral Direita (55,25x3,50)</t>
  </si>
  <si>
    <t>Fachada Posterior (19,10x3,50)</t>
  </si>
  <si>
    <t>Cozinha (1 e 2)</t>
  </si>
  <si>
    <t>Circulação  1</t>
  </si>
  <si>
    <t>Varanda de Saída</t>
  </si>
  <si>
    <t>Banheiro 2 (Circulação 3)</t>
  </si>
  <si>
    <t>Banheiro 1 (Circulação 3)</t>
  </si>
  <si>
    <t>Circulação 3</t>
  </si>
  <si>
    <t>Depósito 2 (Auditório)</t>
  </si>
  <si>
    <t>Depósito 1 (Auditório)</t>
  </si>
  <si>
    <t xml:space="preserve">Oficina </t>
  </si>
  <si>
    <t>Banheiro (Circulação 3)</t>
  </si>
  <si>
    <t>Banheiro 1 (Circulação 1)</t>
  </si>
  <si>
    <t>Banheiro 2 (Circulação 1)</t>
  </si>
  <si>
    <t>W.C. 3 (Sala de Cabeleireiro)</t>
  </si>
  <si>
    <t>Sala Cabeleireiro</t>
  </si>
  <si>
    <t>Sala de Vacina</t>
  </si>
  <si>
    <t>Sala de Enfermagem</t>
  </si>
  <si>
    <t>Aerosol</t>
  </si>
  <si>
    <t>Cozinha</t>
  </si>
  <si>
    <t xml:space="preserve">Recepção </t>
  </si>
  <si>
    <t>Sala de Espera</t>
  </si>
  <si>
    <t xml:space="preserve">Circulação </t>
  </si>
  <si>
    <t xml:space="preserve">INTERRUPTOR SIMPLES 1 SEÇÃO E 1 TOMADA HEXAGONAL 2P + T - 10A CONJUGADOS </t>
  </si>
  <si>
    <t>Consultório Médico</t>
  </si>
  <si>
    <t>Consultório Médico (4,30x1,00)</t>
  </si>
  <si>
    <t>ASSENTO EM POLIPROPILENO COM SISTEMA DE FECHAMENTO SUAVE PARA VASO</t>
  </si>
  <si>
    <t>4.11</t>
  </si>
  <si>
    <t>Banheiro (Laboratório Médico)</t>
  </si>
  <si>
    <t>Consultorio Médico</t>
  </si>
  <si>
    <t>Sala de Vacina  (0,50x2,00)</t>
  </si>
  <si>
    <t xml:space="preserve">Sala de Pesagem </t>
  </si>
  <si>
    <t xml:space="preserve"> INTERRUPTOR PARALELO DUPLO (2 SECOES) </t>
  </si>
  <si>
    <t>Sala Cabeleireiro (4,30x1,00)</t>
  </si>
  <si>
    <t>Janela Sala Cabeleireiro (2,24x2,50)</t>
  </si>
  <si>
    <t>Sala Cabeleireiro (0,50x2,00)</t>
  </si>
  <si>
    <t>Consultório Ondotológico (4,30x1,00)</t>
  </si>
  <si>
    <t>Consultório Ondotológico</t>
  </si>
  <si>
    <t>Banheiro  (Sala Cabeleireiro)</t>
  </si>
  <si>
    <t>Banheiro (Sala de Espera)</t>
  </si>
  <si>
    <t>Banheiro (Sala Cabeleireiro)</t>
  </si>
  <si>
    <t xml:space="preserve">Cozinha </t>
  </si>
  <si>
    <t xml:space="preserve">Cozinha (Nucleo) </t>
  </si>
  <si>
    <t>Recepção</t>
  </si>
  <si>
    <t>Bloco 2</t>
  </si>
  <si>
    <t>Condutor Biblioteca</t>
  </si>
  <si>
    <t>Condutor Sala 5</t>
  </si>
  <si>
    <t>Auditório</t>
  </si>
  <si>
    <t>Biblioteca</t>
  </si>
  <si>
    <t>Varanda Saída</t>
  </si>
  <si>
    <t>Portas (Banheiro Feminino) (0,90x2,50)</t>
  </si>
  <si>
    <t>Portas (Banheiro Masculino) (0,90x2,50)</t>
  </si>
  <si>
    <t>GRUPO DE SERVIÇO:189 - DIVERSOS</t>
  </si>
  <si>
    <t>DIVERSOS</t>
  </si>
  <si>
    <t>13.1</t>
  </si>
  <si>
    <t xml:space="preserve">BANCADA DE GRANITINA </t>
  </si>
  <si>
    <t>Sala  5 (Bloco 2)</t>
  </si>
  <si>
    <t>Bloco 3</t>
  </si>
  <si>
    <t>Janela de vidro Sala 5 (2,24x2,50)</t>
  </si>
  <si>
    <t>Bloco 1- Núcleo Severo Gomides</t>
  </si>
  <si>
    <t>Porta Sala 5 Pav. Superior (0,90x2,50)</t>
  </si>
  <si>
    <t>Porta Sala 11 Pav. Superior (0,90x2,50)</t>
  </si>
  <si>
    <t>PINTURA LATEX ACRILICO 2 DEMAOS</t>
  </si>
  <si>
    <t>Sala 4 (0,50x2,00)</t>
  </si>
  <si>
    <t>Bloco 1 e 2</t>
  </si>
  <si>
    <t>Varanda Entrada</t>
  </si>
  <si>
    <t>Varanda  Saída</t>
  </si>
  <si>
    <t>Varanda  (Pav. Térreo)</t>
  </si>
  <si>
    <t>,</t>
  </si>
  <si>
    <t>Sala 4  (0,65x2,10)</t>
  </si>
  <si>
    <t xml:space="preserve">Calha Cobertura </t>
  </si>
  <si>
    <t>Calha Cobertura</t>
  </si>
  <si>
    <t>Bloco 1-2</t>
  </si>
  <si>
    <t xml:space="preserve">Clara Bóia </t>
  </si>
  <si>
    <t xml:space="preserve">Reparo da Canaleta </t>
  </si>
  <si>
    <t>Parede (0,25+0,25+0,25+0,25=1,00)</t>
  </si>
  <si>
    <t>Pilar Sala de Espera</t>
  </si>
  <si>
    <t>Desconto de vão de 2 Portas (0,70x2,50)</t>
  </si>
  <si>
    <t>Parede(5,60+4,85+2,00+5,25+2,00+2,35+2,00+12,75+2,15+2,41+5,75+27,41=74,52)</t>
  </si>
  <si>
    <t>SALA DE ESPERA</t>
  </si>
  <si>
    <t>Parede (1,80+1,10+1,80+1,10=5,80)</t>
  </si>
  <si>
    <t>DEPÓSITO LABORATÓRIO ODONTOLOGICO</t>
  </si>
  <si>
    <t>Desconto de vão de 2 Janelas (2,24x2,00)</t>
  </si>
  <si>
    <t>Parede (4,25+4,85+4,25+4,85=18,20)</t>
  </si>
  <si>
    <t>LABORATÓRIO ODONTOLOGICO</t>
  </si>
  <si>
    <t>SALA CABELEIREIRO</t>
  </si>
  <si>
    <t>LABORATÓRIO MÉDICO</t>
  </si>
  <si>
    <t>Parede (6,20+2,35+6,20+2,35=17,10)</t>
  </si>
  <si>
    <t>SALA VACINA</t>
  </si>
  <si>
    <t>SALA ENFERMAGEM</t>
  </si>
  <si>
    <t>PESAGEM</t>
  </si>
  <si>
    <t>Parede (2,35+3,00+2,35+3,00=10,70)</t>
  </si>
  <si>
    <t>AEROSOL</t>
  </si>
  <si>
    <t>Parede (1,80+4,85+1,80+4,85=13,30)</t>
  </si>
  <si>
    <t>RECEPÇÃO</t>
  </si>
  <si>
    <t>CIRCULAÇÃO</t>
  </si>
  <si>
    <t>Parede (3+2,35+3+2,35=10,70)</t>
  </si>
  <si>
    <t>CURATIVO</t>
  </si>
  <si>
    <t>Parede (4,25+2,35+4,25+2,35=13,20)</t>
  </si>
  <si>
    <t>COZINHA</t>
  </si>
  <si>
    <t>LAVANDERIA</t>
  </si>
  <si>
    <t>Parede (2,40+2,35+2,40+2,35=9,50)</t>
  </si>
  <si>
    <t>Desconto de vão de Porta (0,90x2,50)</t>
  </si>
  <si>
    <t>Desconto de vão de  Janela (2,24x2,00)</t>
  </si>
  <si>
    <t>Desconto de vão de  Porta (0,90x2,50)</t>
  </si>
  <si>
    <t>Desconto de vão de Janela (2,24x2,00)</t>
  </si>
  <si>
    <t>Desconto de vão de Porta (0,90X2,50)</t>
  </si>
  <si>
    <t>Bloco 1- Barrado</t>
  </si>
  <si>
    <t>Desconto de vão de  Porta (2,25x2,50)</t>
  </si>
  <si>
    <t>Desconto de vão de  Janela (2,25 x 1,20)</t>
  </si>
  <si>
    <t>Desconto de vão de Janela (2,25 x 1,20)</t>
  </si>
  <si>
    <t>Desconto de vão de  Porta (0,70x2,50)</t>
  </si>
  <si>
    <t>Bloco 2- Barrado</t>
  </si>
  <si>
    <t>Bloco 3- Barrado</t>
  </si>
  <si>
    <t xml:space="preserve">HALL DE ACESSO </t>
  </si>
  <si>
    <t xml:space="preserve">PINTURA DOS PILARES </t>
  </si>
  <si>
    <t xml:space="preserve">Pav.Superior </t>
  </si>
  <si>
    <t>OFICINA (BARRADO)</t>
  </si>
  <si>
    <t>Parede (8,65+7,36+ 8,65+7,36= 32,02 )</t>
  </si>
  <si>
    <t>Desconto de vão de  Janela (1,35x2,00)</t>
  </si>
  <si>
    <t>Desconto de vão de Porta (2,25x2,50)</t>
  </si>
  <si>
    <t>Desconto de vão de Porta (3,00x2,50)</t>
  </si>
  <si>
    <t>Parede(2,35+4,25+2,35+4,25= 13,20)</t>
  </si>
  <si>
    <t>Desconto de vão de 2 Portas (0,90x2,50)</t>
  </si>
  <si>
    <t>BANHEIRO 1 (Circulação 1)</t>
  </si>
  <si>
    <t>Parede (1,10+1,75+1,10+1,75= 5,70)</t>
  </si>
  <si>
    <t>Desconto de vão de Porta (0,70x2,50)</t>
  </si>
  <si>
    <t>BANHEIRO 2 (Circulação 1)</t>
  </si>
  <si>
    <t>Parede (1,10+1,75+1,10+1,75=5,70)</t>
  </si>
  <si>
    <t>Desconto de vão de 3 Portas (0,90 x 2,50)</t>
  </si>
  <si>
    <t>Parede(6,15+2,35+6,15+2,35=17,00)</t>
  </si>
  <si>
    <t>Desconto de vão de Porta (0,90 x 2,50)</t>
  </si>
  <si>
    <t xml:space="preserve">PROGRAMA MAIS EDUCAÇÃO </t>
  </si>
  <si>
    <t xml:space="preserve">AUDITÓRIO </t>
  </si>
  <si>
    <t>Parede (6,35+12,35+6,35+3,85+9,85+3,80+2,70+2,30=47,55)</t>
  </si>
  <si>
    <t>Desconto de vão de 5 Janelas (2,24x2,00)</t>
  </si>
  <si>
    <t>PALCO AUDITÓRIO</t>
  </si>
  <si>
    <t xml:space="preserve">Parede </t>
  </si>
  <si>
    <t>DEPÓSITO 1 (Auditório)</t>
  </si>
  <si>
    <t>Parede (3,65+2,35+3,65+2,35=12,00)</t>
  </si>
  <si>
    <t>DEPÓSITO 2 (Auditório)</t>
  </si>
  <si>
    <t>CIRCULAÇÃO (Auditório)</t>
  </si>
  <si>
    <t>Parede (8,85+2,35+6,50+2,35=20,05)</t>
  </si>
  <si>
    <t>BIBLIOTECA</t>
  </si>
  <si>
    <t>Parede (6,20+24,85+6,20+24,85=62,10)</t>
  </si>
  <si>
    <t>Desconto de vão de 9 Janelas (2,24x2,00)</t>
  </si>
  <si>
    <t>Desconto de vão de Janela (1,25x2,00)</t>
  </si>
  <si>
    <t>Desconto de vão de Porta (1,00x2,50)</t>
  </si>
  <si>
    <t>W.C. 1 (BIBLIOTECA)</t>
  </si>
  <si>
    <t xml:space="preserve">W.C. 2 (BIBLIOTECA) </t>
  </si>
  <si>
    <t>Parede (3,65+7,35+3,65+7,35=22)</t>
  </si>
  <si>
    <t>Parede (2,35+10+10=22,35)</t>
  </si>
  <si>
    <t>Desconto de vão de 3 Portas  (0,90x2,50)</t>
  </si>
  <si>
    <t>BANHEIRO 1 (Circulação 3)</t>
  </si>
  <si>
    <t>BANHEIRO 2 (Circulação 3)</t>
  </si>
  <si>
    <t>Janela Biblioteca (2,24 x 2,00 )</t>
  </si>
  <si>
    <t>Programa mais Educação</t>
  </si>
  <si>
    <t>BLOCO 2</t>
  </si>
  <si>
    <t>Circulação (Auditório)</t>
  </si>
  <si>
    <t>W.c. 1 (Biblioteca)</t>
  </si>
  <si>
    <t xml:space="preserve">W.c. 2 (Biblioteca) </t>
  </si>
  <si>
    <t>Oficina</t>
  </si>
  <si>
    <t>W.C (Circulação 1)</t>
  </si>
  <si>
    <t>W.C (Circulação 2)</t>
  </si>
  <si>
    <t xml:space="preserve">Programa mais Educação </t>
  </si>
  <si>
    <t xml:space="preserve">Auditório </t>
  </si>
  <si>
    <t>W.C. 1 (Biblioteca)</t>
  </si>
  <si>
    <t>Banheiro 1  (Circulação 3)</t>
  </si>
  <si>
    <t>(Placas com Rachaduras - 0,65x2,10)</t>
  </si>
  <si>
    <t>Lavanderia</t>
  </si>
  <si>
    <t>Auditório (Circulação)</t>
  </si>
  <si>
    <t>Banheio 2 (Circulação 3)</t>
  </si>
  <si>
    <t>Bloco 1 - Acima do Barrado</t>
  </si>
  <si>
    <t>Núcleo de Sáude Severo Gomides</t>
  </si>
  <si>
    <t>Parede (5,60+4,85+2,00+5,25+2,00+2,35+2,00+12,74+2,15+5,75+2,41+27,40= 74,50)</t>
  </si>
  <si>
    <t xml:space="preserve">Desconto de vão de 18 Janelas (2,24x0,35)            </t>
  </si>
  <si>
    <t>Desconto de vão de Janela (2,25x1,20)</t>
  </si>
  <si>
    <t>Desconto de vão de 9 Portas (0,90x2,50)</t>
  </si>
  <si>
    <t>Parede (2,35+4,25+2,35+4,25=13,20)</t>
  </si>
  <si>
    <t xml:space="preserve">Desconto de vão de Janela (2,24x0,35)            </t>
  </si>
  <si>
    <t>Parede (2,35+4,25+2,35+4,25= 10,70)</t>
  </si>
  <si>
    <t>Parede (2,35+3,00+2,35+3,00= 10,70)</t>
  </si>
  <si>
    <t>Parede (3,05+2,35+3,05+2,35= 10,80)</t>
  </si>
  <si>
    <t>SALA DE ENFERMAGEM</t>
  </si>
  <si>
    <t>Parede (2,35+6,20+2,35+2,35+6,20=17,10)</t>
  </si>
  <si>
    <t>SALA DE VACINA</t>
  </si>
  <si>
    <t>Parede (2,35+6,20+2,35+2,35+6,20= 17,10)</t>
  </si>
  <si>
    <t>W.C. 1 (Sala de Espera)</t>
  </si>
  <si>
    <t xml:space="preserve">Desconto de vão de  Janela (2,24x0,35)            </t>
  </si>
  <si>
    <t>W.C. 1 (Laboratório Médico)</t>
  </si>
  <si>
    <t xml:space="preserve">SALA CABELEIREIRO </t>
  </si>
  <si>
    <t>Parede (4,25+4,85+4,25+4,85= 18,20)</t>
  </si>
  <si>
    <t>W.C. 1 (Sala de Cabeleireiro)</t>
  </si>
  <si>
    <t>Parede (1,80+1,10+1,80+1,10= 5,80)</t>
  </si>
  <si>
    <t>W.C. 2 (Sala de Espera)</t>
  </si>
  <si>
    <t>LABORATÓRIO ODONTOLÓGICO</t>
  </si>
  <si>
    <t>Desconto de vão de  2 Portas (0,70x2,50)</t>
  </si>
  <si>
    <t>BANHEIRO (Laboratório Ondotológico)</t>
  </si>
  <si>
    <t>DEPÓSITO (Laboratório Ondotológico)</t>
  </si>
  <si>
    <t>Bloco 2 - Acima do Barrado</t>
  </si>
  <si>
    <t>Parede (2,40+2,35+2,40+2,35= 9,50)</t>
  </si>
  <si>
    <t>OFICINA (Acima Barrado)</t>
  </si>
  <si>
    <t>Parede (8,65+7,36+8,65+7,36=32,02 )</t>
  </si>
  <si>
    <t xml:space="preserve">Desconto de vão de 6 Janelas (2,24x0,35)            </t>
  </si>
  <si>
    <t xml:space="preserve">Desconto de vão de 2 Janelas (2,24x2,00)            </t>
  </si>
  <si>
    <t>Parede ( 6,15+4,85+6,15+4,85=22,00)</t>
  </si>
  <si>
    <t xml:space="preserve">Desconto de vão de 4 Janelas (2,24x0,35)            </t>
  </si>
  <si>
    <t>Parede (6,15+4,85+6,15+4,85= 22,00)</t>
  </si>
  <si>
    <t>Parede (6,35+12,35+6,35+3,85+9,85+3,80+2,70+2,30= 47,55)</t>
  </si>
  <si>
    <t xml:space="preserve">Desconto de vão de 10 Janelas (2,24x0,35)            </t>
  </si>
  <si>
    <t>Desconto de vão de 2 Portas (0,90 x 2,50)</t>
  </si>
  <si>
    <t>Desconto de vão de Porta (2,25x 2,50)</t>
  </si>
  <si>
    <t>Parede (3,65+2,35+3,65+2,35= 12,00)</t>
  </si>
  <si>
    <t>Parede (8,85+2,35+6,50+2,35= 20,05)</t>
  </si>
  <si>
    <t>Parede (6,20+24,85+6,20+24,85= 62,10)</t>
  </si>
  <si>
    <t xml:space="preserve">Desconto de vão de 20 Janelas (2,24x0,35)            </t>
  </si>
  <si>
    <t>Desconto de vão de 2 Portas (0,70 x 2,50)</t>
  </si>
  <si>
    <t>Parede (3,65+ 7,35+ 3,65 +7,35= 22)</t>
  </si>
  <si>
    <t>Desconto de vão de 2 Portas (90 x 2,50)</t>
  </si>
  <si>
    <t>Parede (2,35+10+10= 22,35)</t>
  </si>
  <si>
    <t xml:space="preserve">Desconto de vão de 8 Janelas (2,24x0,35)            </t>
  </si>
  <si>
    <t>CIRCULAÇÃO 2</t>
  </si>
  <si>
    <t>Parede (2,35+6,50+10,35+2,35+6,55+2,55+3,85+2,30+2,70+6,50=48,25)</t>
  </si>
  <si>
    <t>Desconto de vão de 3 Portas (2,25x2,50)</t>
  </si>
  <si>
    <t>Desconto de vão de 2 Portas  (0,90x2,50)</t>
  </si>
  <si>
    <t>Bloco 3 - Acima do Barrado</t>
  </si>
  <si>
    <t>Curativo</t>
  </si>
  <si>
    <t>Circulação</t>
  </si>
  <si>
    <t>Pesagem</t>
  </si>
  <si>
    <t>Sala de Cabeleireiro</t>
  </si>
  <si>
    <t>Laboratório Ondotológico</t>
  </si>
  <si>
    <t>Banheiro (Laboratório Ondotológico)</t>
  </si>
  <si>
    <t>Depósito (Laboratório Ondotológico)</t>
  </si>
  <si>
    <t>Banheiro (Sala de Cabeleireiro)</t>
  </si>
  <si>
    <t>Palco Auditório</t>
  </si>
  <si>
    <t xml:space="preserve">W.C. 2 (Biblioteca) </t>
  </si>
  <si>
    <t xml:space="preserve">Bloco 3 - PINTURA DO TETO </t>
  </si>
  <si>
    <t xml:space="preserve">Bloco 1 - PINTURA DO TETO </t>
  </si>
  <si>
    <t xml:space="preserve">Bloco 2 - PINTURA DO TETO </t>
  </si>
  <si>
    <t>TOTAL GERAL (Pintura do Teto)</t>
  </si>
  <si>
    <t>Pintura das Vigas</t>
  </si>
  <si>
    <t>Sala de Espera (3,65x1,00)</t>
  </si>
  <si>
    <t>Sala de Espera (2,25x0,60)</t>
  </si>
  <si>
    <t>Oficina (6,15x1,00)</t>
  </si>
  <si>
    <t>Oficina (2,25x0,60)</t>
  </si>
  <si>
    <t>Sala 1  (6,15x1,00)</t>
  </si>
  <si>
    <t>Sala 2 (6,15x1,00)</t>
  </si>
  <si>
    <t>Sala 3 (6,15x1,00)</t>
  </si>
  <si>
    <t>Sala 4 (6,15x1,00)</t>
  </si>
  <si>
    <t>Programa mais Educação (6,15x1,00)</t>
  </si>
  <si>
    <t>Auditório (12,45x1,00)</t>
  </si>
  <si>
    <t>Circulação (Auditório) (2,25x0,60)</t>
  </si>
  <si>
    <t>Biblioteca (6,20x1,00)</t>
  </si>
  <si>
    <t>Circulação 3 (2,25x0,60)</t>
  </si>
  <si>
    <t>Circulação 2 (2,25x0,60)</t>
  </si>
  <si>
    <t>Circulação 2 (6,15x0,60)</t>
  </si>
  <si>
    <t>Varada 1 (6,35x1,00)</t>
  </si>
  <si>
    <t>Varada 2 (6,30x1,00)</t>
  </si>
  <si>
    <t>Circulação 1 (2,25x0,60)</t>
  </si>
  <si>
    <t>Bloco 1 - Pintura das Vigas</t>
  </si>
  <si>
    <t>Bloco 2 - Pintura das Vigas</t>
  </si>
  <si>
    <t>Sala 5 (3,65x1,00)</t>
  </si>
  <si>
    <t>Bloco 3 - Pintura das Vigas</t>
  </si>
  <si>
    <t>TOTAL GERAL (Pintura das Vigas)</t>
  </si>
  <si>
    <t>Parede Externa</t>
  </si>
  <si>
    <t>Bloco 1 e 2 - Parede Externa</t>
  </si>
  <si>
    <t>Parede (2,37+6,35+27,74+27,50+19,20+25,00+2,75+27,50+4,40+2,61+8,50= 153,92)</t>
  </si>
  <si>
    <t>Desconto de vão de 33 Janelas (2,24 x 2,00)</t>
  </si>
  <si>
    <t>Desconto de vão de 5 Janelas (2,24 x 2,50)</t>
  </si>
  <si>
    <t>Desconto de vão de 2 Janelas (1,35 x 2,00)</t>
  </si>
  <si>
    <t xml:space="preserve">Desconto de vão de 44 Janela (2,24x0,35)            </t>
  </si>
  <si>
    <t>Desconto de vão de 5 portas (2,25 x 2,50)</t>
  </si>
  <si>
    <t>Desconto de vão de 2 portas (0,90 x 2,50)</t>
  </si>
  <si>
    <t>PINTURA AREA EXTERNA OFICINA</t>
  </si>
  <si>
    <t>Parte externa (6,35+17,75+6,35=59,38)</t>
  </si>
  <si>
    <t>Desconto de vão de portão (3,00 x 1,65)</t>
  </si>
  <si>
    <t>Parte interna (6,20+17,45+6,20= 29,85)</t>
  </si>
  <si>
    <t>PINTURA AREA EXTERNA NUCLEO DE SAÚDE</t>
  </si>
  <si>
    <t>Parte externa (4,43+2,67+1,85+15,00+6,33= 30,28)</t>
  </si>
  <si>
    <t>Desconto de vão de portão (1,00 x 1,00)</t>
  </si>
  <si>
    <t>Parte interna (4,33+2,65+1,85+14,70=29,71)</t>
  </si>
  <si>
    <t>Bloco 3 - Parede Externa</t>
  </si>
  <si>
    <t>PINTURA PVA LATEX 2 DEMAOS SEM SELADOR</t>
  </si>
  <si>
    <t>TOTAL GERAL (PINTURA PVA LATEX 2 DEMAOS SEM SELADOR)</t>
  </si>
  <si>
    <t>FUNDO ANTICORROSIVO PARA ESQUADRIAS METÁLICAS</t>
  </si>
  <si>
    <t>2 Corrimão (Rampa de Acesso ao Auditório) (2x(2,35+3,80)=12,30)</t>
  </si>
  <si>
    <t>Bloco 1 - Janelas</t>
  </si>
  <si>
    <t>Desconto de Vão de Vidro (0,50x2,00)</t>
  </si>
  <si>
    <t>TOTAL (Janelas Bloco 1)</t>
  </si>
  <si>
    <t>Bloco 2 - Janelas</t>
  </si>
  <si>
    <t>Oficina (2,24x2,00)</t>
  </si>
  <si>
    <t>Oficina (1,35x2,00)</t>
  </si>
  <si>
    <t>Depósito 1 (2,24x2,00)</t>
  </si>
  <si>
    <t>Sala 1 (2,24x2,00)</t>
  </si>
  <si>
    <t>Sala 1 (1,35x2,00)</t>
  </si>
  <si>
    <t>Depósito 2 (2,24x2,00)</t>
  </si>
  <si>
    <t>Sala 2 (2,24x2,00)</t>
  </si>
  <si>
    <t>Sala 3 (2,24x2,00)</t>
  </si>
  <si>
    <t>Sala 4 (2,24x2,00)</t>
  </si>
  <si>
    <t>Programa mais educação (2,24x2,00)</t>
  </si>
  <si>
    <t>AUDITÓRIO  (2,24x2,00)</t>
  </si>
  <si>
    <t>BIBLIOTECA (2,24x2,00)</t>
  </si>
  <si>
    <t>BIBLIOTECA (1,25x2,00)</t>
  </si>
  <si>
    <t>SALA 5 (2,24x2,00)</t>
  </si>
  <si>
    <t>TOTAL (Janelas Bloco 2)</t>
  </si>
  <si>
    <t>Bloco 3 - Janelas</t>
  </si>
  <si>
    <t>TOTAL (Janelas Bloco 3)</t>
  </si>
  <si>
    <t>TOTAL (Janelas)</t>
  </si>
  <si>
    <t>Bloco 1 - Portas</t>
  </si>
  <si>
    <t>Lavanderia (0,90x2,50)</t>
  </si>
  <si>
    <t>Circulação 1 (2,25x2,50)</t>
  </si>
  <si>
    <t>Sala de Espera (2,25x2,50)</t>
  </si>
  <si>
    <t>Sala de Espera (0,90x2,50)</t>
  </si>
  <si>
    <t>Recepção (0,90x2,50)</t>
  </si>
  <si>
    <t>Cozinha (0,90x2,50)</t>
  </si>
  <si>
    <t>Curativo (0,90x2,50)</t>
  </si>
  <si>
    <t>Aerosol (0,90x2,50)</t>
  </si>
  <si>
    <t>Pesagem (0,90x2,50)</t>
  </si>
  <si>
    <t>Sala de Enfermagem (0,90x2,50)</t>
  </si>
  <si>
    <t>Sala de Vacina (0,90x2,50)</t>
  </si>
  <si>
    <t>Laboratório Médico (0,90x2,50)</t>
  </si>
  <si>
    <t>Banheiro (Sala de Espera) (0,70x2,50)</t>
  </si>
  <si>
    <t>Banheiro (Laboratório Médico) (0,70x2,50)</t>
  </si>
  <si>
    <t>Banheiro (Sala de Cabeleireiro) (0,70x2,50)</t>
  </si>
  <si>
    <t>Banheiro (Laboratório Ondotológico) (0,70x2,50)</t>
  </si>
  <si>
    <t>Depósito (Laboratório Ondotológico) (0,70x2,50)</t>
  </si>
  <si>
    <t>Laboratório Ondotológico (0,90x2,50)</t>
  </si>
  <si>
    <t>Sala Cabeleireiro (0,90x2,50)</t>
  </si>
  <si>
    <t>Bloco 2 - Portas</t>
  </si>
  <si>
    <t>Oficina (2,25x2,50)</t>
  </si>
  <si>
    <t>Oficina (0,90x2,50)</t>
  </si>
  <si>
    <t>Oficina (3,00x2,50)</t>
  </si>
  <si>
    <t>Depósito 1 (0,90x2,50)</t>
  </si>
  <si>
    <t>Banheiro 1 (Circulação 1) (0,70x2,50)</t>
  </si>
  <si>
    <t>Banheiro 2 (Circulação 1) (0,70x2,50)</t>
  </si>
  <si>
    <t>Sala 1 (0,90x2,50)</t>
  </si>
  <si>
    <t>Depósito 2 (0,90x2,50)</t>
  </si>
  <si>
    <t>Sala 2 (0,90x2,50)</t>
  </si>
  <si>
    <t>Sala 3 (0,90x2,50)</t>
  </si>
  <si>
    <t>Sala 4 (0,90x2,50)</t>
  </si>
  <si>
    <t>Programa mais Educação  (0,90x2,50)</t>
  </si>
  <si>
    <t>Auditório  (2,25x2,50)</t>
  </si>
  <si>
    <t>Circulação (Auditório) (2,25x2,50)</t>
  </si>
  <si>
    <t>Depósito 1 (Auditório) (0,90x2,50)</t>
  </si>
  <si>
    <t>Depósito 2 (Auditório) (0,90x2,50)</t>
  </si>
  <si>
    <t>Biblioteca (1,00x2,50)</t>
  </si>
  <si>
    <t>Biblioteca (2,25x2,50)</t>
  </si>
  <si>
    <t>Biblioteca (0,90x2,50)</t>
  </si>
  <si>
    <t>Sala 5 (0,90x2,50)</t>
  </si>
  <si>
    <t>Banheiro 1 (Circulação 3) (0,70x2,50)</t>
  </si>
  <si>
    <t>Banheiro 2 (Circulação 3) (0,70x2,50)</t>
  </si>
  <si>
    <t>Varanda 1 (2,25x2,50)</t>
  </si>
  <si>
    <t>Varanda 2 (2,25x2,50)</t>
  </si>
  <si>
    <t>Banheiro (Biblioteca) (0,70x2,50)</t>
  </si>
  <si>
    <t>Bloco 3 - Portas</t>
  </si>
  <si>
    <t>TOTAL (Portas)</t>
  </si>
  <si>
    <t>Bloco 1 Menor (3,20x1,30)x2</t>
  </si>
  <si>
    <t>Bloco 1 Maior (3,20x1,80)x2</t>
  </si>
  <si>
    <t>Bloco 2 Maior (3,20x1,80)x2</t>
  </si>
  <si>
    <t>Bloco 2 Menor (3,20x1,30)x2</t>
  </si>
  <si>
    <t>13.2</t>
  </si>
  <si>
    <t xml:space="preserve">LIMPEZA COM ÁCIDO MURIÁTICO (1:20), NEUTRALIZADO COM AMÔNIA (1:14) </t>
  </si>
  <si>
    <t>Limpeza Bloco 1</t>
  </si>
  <si>
    <t>ÁREA TOTAL</t>
  </si>
  <si>
    <t>Limpeza Bloco 2</t>
  </si>
  <si>
    <t>Pav.Térreo</t>
  </si>
  <si>
    <t>1.4</t>
  </si>
  <si>
    <t>DEMOLICAO-COBERTURA TELHA FIBROCIMENTO/FIBRA DE VIDRO/SIMILARES C/ TRANSP.</t>
  </si>
  <si>
    <t>Demolição telha fibrocimento área de serviço</t>
  </si>
  <si>
    <t xml:space="preserve">DEM.PISO CIMENT.SOBRE LASTRO CONC.C/TR.ATE CB. E CARGA </t>
  </si>
  <si>
    <t>1.5</t>
  </si>
  <si>
    <t>Calçada em volta das árvores, que ficam ao redor do Colégio</t>
  </si>
  <si>
    <t>13.3</t>
  </si>
  <si>
    <t>PLANTIO GRAMA ESMERALDA PLACA C/ M.O. IRRIG., ADUBO,TERRA VEGETAL (O.C.) A&lt;11.
000,00M2</t>
  </si>
  <si>
    <t>Plantio grama em volta das árvores, que ficam ao redor do Colégio</t>
  </si>
  <si>
    <t>Pórtico da Entrada</t>
  </si>
  <si>
    <t>Laje 2x(6,00x4,50)</t>
  </si>
  <si>
    <t>Pilar (2,20x2,00)</t>
  </si>
  <si>
    <t>Portaria</t>
  </si>
  <si>
    <t>GUARITA</t>
  </si>
  <si>
    <t>Casa Portaria</t>
  </si>
  <si>
    <t>Casa Portaria (2,10x5,00) + (0,50x0,50)</t>
  </si>
  <si>
    <t>Demolição Vidro (1,20x0,50)</t>
  </si>
  <si>
    <t>Vidro  (1,20x0,50)</t>
  </si>
  <si>
    <t>ASSENTO EM POLIPROPILENO COM SISTEMA DE FECHAMENTO SUAVE PARA VASO SANITÁRIO</t>
  </si>
  <si>
    <t>Desconto de vão de 1 Porta (0,70x2,50)</t>
  </si>
  <si>
    <t>Banheiro Laboratório Odontológico (1,10+1,80+1,10+1,80=5,80)</t>
  </si>
  <si>
    <t>Banheiro Sala Cabeleireiro (1,10+1,80+1,10+1,80=5,80)</t>
  </si>
  <si>
    <t>Banheiro Sala de Espera (1,10+1,80+1,10+1,80=5,80)</t>
  </si>
  <si>
    <t>Banheiro Laboratório Médico (1,10+1,80+1,10+1,80=5,80)</t>
  </si>
  <si>
    <t xml:space="preserve"> CHAPISCO COMUM </t>
  </si>
  <si>
    <t>Área de serviço (10,80x1,50)+ (1,40+0,42*5)/2</t>
  </si>
  <si>
    <t xml:space="preserve"> EMBOÇO PARA REBOCO FINO (1CALH:4ARML+100kgCI/M3)</t>
  </si>
  <si>
    <t>REBOCO PAULISTA A13 (1 CALH:3 ARMLC+100kgCI/M3)</t>
  </si>
  <si>
    <t>PINT.ESMALTE/ESQUAD.FERRO C/FUNDO ANTICOR.</t>
  </si>
  <si>
    <t>Grade do Gás (10x1,75x2)</t>
  </si>
  <si>
    <t>GRUPO DE SERVIÇO:177 - ESTRUTURAS METÁLICAS</t>
  </si>
  <si>
    <t>TRAMA DE AÇO COMPOSTA POR TERÇAS PARA TELHADOS DE ATÉ 2 ÁGUAS PARA TELHA ONDULADA DE FIBROCIMENTO, METÁLICA, PLÁSTICA OU TERMOACÚSTICA, INCLUSO TRANSPORTE VERTICAL. AF_12/2015</t>
  </si>
  <si>
    <t xml:space="preserve"> ESTRUTURAS METÁLICAS</t>
  </si>
  <si>
    <t>CHAPA PARA COBERTURA DE ÁREA DE SERVIÇO</t>
  </si>
  <si>
    <t>GRUPO DE SERVIÇO:178 - COBERTURA</t>
  </si>
  <si>
    <t>COBERTURA COM TELHA ONDULADA OU EQUIV.</t>
  </si>
  <si>
    <t>COBERTURA</t>
  </si>
  <si>
    <t>TELHA FIBROCIMENTO PARA GERADOR (1,80 X 1,40)</t>
  </si>
  <si>
    <t>CHAPA PARA COBERTURA DE ÁREA DE SERVIÇO (5,10 X 1,80)</t>
  </si>
  <si>
    <t>COBERTURA COM TELHA FIBERGLASS COM VÉU PROTEÇÃO 1MM COM ACESSÓRIOS</t>
  </si>
  <si>
    <t>PINT.POLIESPORTIVA - 2 DEM.(PISOS E CIMENTADOS)</t>
  </si>
  <si>
    <t>COBERTURA RAMPA DA QUADRA (15,10 X 3,15)</t>
  </si>
  <si>
    <t>PINTURA PISO DO PAV. SUPERIOR ÁREA EXTERNA (18,40 X 7,80)</t>
  </si>
  <si>
    <t>Refeitório (2,35x1,00)</t>
  </si>
  <si>
    <t>Grelha 3 (3,30x0,30)</t>
  </si>
  <si>
    <t>Grelha 4 (1,60x0,30)</t>
  </si>
  <si>
    <t>Grelha 5 (0,55x0,30)</t>
  </si>
  <si>
    <t>Área (2,12x1,72)+(0,70x0,85)</t>
  </si>
  <si>
    <t>PINTURA PISO DA ESCADA (17,0 x 0,45 x 4,10)</t>
  </si>
  <si>
    <t>END.: RUA TEN CEL JOAO CERQUEIRA NETO, SN- JARDIM PRIMAVERA - CATALÃO GO</t>
  </si>
  <si>
    <t>TOMADA 3P+T 30A/440V SEM PLACA</t>
  </si>
  <si>
    <t>INST. ELET./TELEFONICA/CABEAMENTO ESTRUTURADO</t>
  </si>
  <si>
    <t>COBERTURAS</t>
  </si>
  <si>
    <t>W.C.1 (Biblioteca)</t>
  </si>
  <si>
    <t>W.C.2 (Biblioteca)</t>
  </si>
  <si>
    <t>Laboratório Médico</t>
  </si>
  <si>
    <t>Recepção (0,50x2,00)</t>
  </si>
  <si>
    <t>Cozinha (0,50x2,00)</t>
  </si>
  <si>
    <t>Curativo  (0,50x2,00)</t>
  </si>
  <si>
    <t>Aerosol  (0,50x2,00)</t>
  </si>
  <si>
    <t>Sala de Enfermagem  (0,50x2,00)</t>
  </si>
  <si>
    <t>Laboratório Médico  (0,50x2,00)</t>
  </si>
  <si>
    <t>Laboratório Ondotológico  (0,50x2,00)</t>
  </si>
  <si>
    <t>Oficina  (0,50x2,00)</t>
  </si>
  <si>
    <t>Depósito 1  (0,50x2,00)</t>
  </si>
  <si>
    <t>Sala 1  (0,50x2,00)</t>
  </si>
  <si>
    <t>Depósito 2  (0,50x2,00)</t>
  </si>
  <si>
    <t>Sala 2  (0,50x2,00)</t>
  </si>
  <si>
    <t>Sala 3  (0,50x2,00)</t>
  </si>
  <si>
    <t>Programa mais Educação  (0,50x2,00)</t>
  </si>
  <si>
    <t>Auditório  (0,50x2,00)</t>
  </si>
  <si>
    <t>Biblioteca  (0,50x2,00)</t>
  </si>
  <si>
    <t>Sala 5  (0,50x2,00)</t>
  </si>
  <si>
    <t>Parede (2,50+1,10+2,50+1,10=7,20)</t>
  </si>
  <si>
    <t>Parede (3,05+2,35+2,35+3,05=10,80)</t>
  </si>
  <si>
    <t>Parede (2,35+6,50+10,35+2,35+6,55+2,55+3,85+2,30+2,70+6,50= 48,25)</t>
  </si>
  <si>
    <t>Parede (2,35+17,50+2,35+17,50=39,70)</t>
  </si>
  <si>
    <t>Desconto de vão de 2 Portas (2,25x2,50)</t>
  </si>
  <si>
    <t>Desconto de vão de 4 Portas  (0,90x2,50)</t>
  </si>
  <si>
    <t>PILAR (Pintura dos 4 Lados) (Área 0,24x4=1,00)</t>
  </si>
  <si>
    <t xml:space="preserve">Circulação 1 </t>
  </si>
  <si>
    <t>Desconto de vão de 14 Janelas (2,24x0,35)</t>
  </si>
  <si>
    <t>Cozinha (2,24x2,00)</t>
  </si>
  <si>
    <t>Curativo (2,24x2,00)</t>
  </si>
  <si>
    <t>Aerosol (2,24x2,00)</t>
  </si>
  <si>
    <t>Recepção(2,24x2,00)</t>
  </si>
  <si>
    <t>Sala de Enfermagem (2,24x2,00)</t>
  </si>
  <si>
    <t>Sala de Vacina (2,24x2,00)</t>
  </si>
  <si>
    <t>Laboratório Médico (2,24x2,00)</t>
  </si>
  <si>
    <t>Sala Cabeleireiro (2,24x2,00)</t>
  </si>
  <si>
    <t>Laboratório Ondotológico (2,24x2,00)</t>
  </si>
  <si>
    <t>Circulção 1 (2,25x2,50)</t>
  </si>
  <si>
    <t>1.6</t>
  </si>
  <si>
    <t>REMOÇÃO DE TAPUME/ CHAPAS METÁLICAS E DE MADEIRA, DE FORMA MANUAL, SEM REAPROVEITAMENTO</t>
  </si>
  <si>
    <t>Banheiro Feminino lado 1</t>
  </si>
  <si>
    <t>Banheiro Feminino lado 2</t>
  </si>
  <si>
    <t>GRUPO DE SERVIÇO:165 - TRANSPORTES</t>
  </si>
  <si>
    <t xml:space="preserve"> m3 </t>
  </si>
  <si>
    <t xml:space="preserve"> TRANSPORTE DE ENTULHO EM CAÇAMBA ESTACIONÁRIA INCLUSO A CARGA MANUAL</t>
  </si>
  <si>
    <t>m3</t>
  </si>
  <si>
    <t>ÁREA  TOTAL</t>
  </si>
  <si>
    <t>TRANSPORTES</t>
  </si>
  <si>
    <t>CAÇAMBA PARA ENTULHOS</t>
  </si>
  <si>
    <t>GRUPO DE SERVIÇO:187 - ADMINISTRAÇÃO - MENSALISTAS</t>
  </si>
  <si>
    <t>ADMINISTRAÇÃO - MENSALISTAS</t>
  </si>
  <si>
    <t>4.12</t>
  </si>
  <si>
    <t>4.13</t>
  </si>
  <si>
    <t>4.14</t>
  </si>
  <si>
    <t>5.2</t>
  </si>
  <si>
    <t>5.3</t>
  </si>
  <si>
    <t>5.4</t>
  </si>
  <si>
    <t>5.5</t>
  </si>
  <si>
    <t>5.6</t>
  </si>
  <si>
    <t>5.7</t>
  </si>
  <si>
    <t>5.8</t>
  </si>
  <si>
    <t>5.9</t>
  </si>
  <si>
    <t>5.10</t>
  </si>
  <si>
    <t>5.11</t>
  </si>
  <si>
    <t>7.2</t>
  </si>
  <si>
    <t>ESTRUTURAS METALICAS</t>
  </si>
  <si>
    <t>9.2</t>
  </si>
  <si>
    <t>10.1</t>
  </si>
  <si>
    <t>11.2</t>
  </si>
  <si>
    <t>ENCARREGADO - (OBRAS CIVIS)</t>
  </si>
  <si>
    <t xml:space="preserve"> H </t>
  </si>
  <si>
    <t>13.4</t>
  </si>
  <si>
    <t>14.1</t>
  </si>
  <si>
    <t>15.1</t>
  </si>
  <si>
    <t>16.1</t>
  </si>
  <si>
    <t>16.2</t>
  </si>
  <si>
    <t>16.3</t>
  </si>
  <si>
    <t>16.4</t>
  </si>
  <si>
    <t>16.5</t>
  </si>
  <si>
    <t>16.6</t>
  </si>
  <si>
    <t>16.7</t>
  </si>
  <si>
    <t>17.1</t>
  </si>
  <si>
    <t>17.3</t>
  </si>
  <si>
    <t>Janela Guarita</t>
  </si>
  <si>
    <t>Guarita</t>
  </si>
  <si>
    <t>Demolição Vidro (0,50x0,35)</t>
  </si>
  <si>
    <t>Porta caixa d' água</t>
  </si>
  <si>
    <t>Patamar da Escada Caixa d' água (0,55x0,60)x11</t>
  </si>
  <si>
    <t>Passarela da Escada Caixa d' água (1,80x1,00)</t>
  </si>
  <si>
    <t>Degrau da Escada Caixa d' água (0,1x0,45)x40</t>
  </si>
  <si>
    <t>Corrimão (3,00x0,5)x10</t>
  </si>
  <si>
    <t>Beiral da Escada (2,5x0,10)x10</t>
  </si>
  <si>
    <t>Pintura de Porta Caixa d' água</t>
  </si>
  <si>
    <t>Porta (0,60 x2,00)</t>
  </si>
  <si>
    <t>16.8</t>
  </si>
  <si>
    <t>PINT.ESMALTE SINT.PAREDES - 2 DEM.C/SELADOR</t>
  </si>
  <si>
    <t>Pintura Caixa d' Água</t>
  </si>
  <si>
    <t>Vidro Janela (0,50x0,35)</t>
  </si>
  <si>
    <t>1.7</t>
  </si>
  <si>
    <t>PLACA DE OBRA PLOTADA EM CHAPA METÁLICA 26 , AFIXADA EM CAVALETES DE MADEIRA
DE LEI (VIGOTAS 6X12CM) - PADRÃO AGETOP</t>
  </si>
  <si>
    <t>PLACA DE OBRA PLOTADA EM CHAPA METÁLICA</t>
  </si>
  <si>
    <t>PLACA DE OBRA</t>
  </si>
  <si>
    <t>Banheiro 1 (Circulação 1)  Vaso Sanitário</t>
  </si>
  <si>
    <t>Banheiro 2 (Circulação 1)  Vaso Sanitário</t>
  </si>
  <si>
    <t>Banheiro (Circulação 3)  Vaso Sanitário</t>
  </si>
  <si>
    <t>Banheiro Masculino  Vaso Sanitário</t>
  </si>
  <si>
    <t>Banheiro Feminino 2  Vasos Sanitários</t>
  </si>
  <si>
    <t>Banheiro Masculino (Sala dos Professores)  Vaso Sanitário</t>
  </si>
  <si>
    <t>13.5</t>
  </si>
  <si>
    <t>EMBOÇO (1CI:4 ARML)</t>
  </si>
  <si>
    <t>Encarregado 8 horas por dia</t>
  </si>
  <si>
    <t>17.4</t>
  </si>
  <si>
    <t xml:space="preserve">PLACA DE INAUGURACAO ACO ESCOVADO 80 X 60 CM </t>
  </si>
  <si>
    <t>um</t>
  </si>
  <si>
    <t xml:space="preserve">Placa da obra 80 x 60 cm </t>
  </si>
  <si>
    <t>TABELA SINAPI 2019/05 DESONERADA</t>
  </si>
  <si>
    <t>TOMADA HEXAGONAL 2P + T - 10A - 250V (LINHA X OU EQUIVALENTE)</t>
  </si>
  <si>
    <t>17.2</t>
  </si>
  <si>
    <t>GRUPO DE SERVIÇO:170 - INSTALAÇÕES HIDROSSANITÁRIAS</t>
  </si>
  <si>
    <t>Leonardo Martins de C. Teixeira</t>
  </si>
  <si>
    <t>________________________________</t>
  </si>
  <si>
    <t>Philipjohn Ribeiro Silva</t>
  </si>
  <si>
    <t>CREA 1016927460/D-GO</t>
  </si>
  <si>
    <t>_______________________________________</t>
  </si>
  <si>
    <t>ORÇAMENTO BÁSICO - REFORMA DA ESCOLA CAIC SÃO FRANCISCO DE ASSIS</t>
  </si>
  <si>
    <t>TABELA 133 AGETOP - CUSTOS DE OBRAS CIVIS - DESONERADA</t>
  </si>
  <si>
    <t>MEMORIAL DE CÁLCULO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</si>
</sst>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R$&quot;\ * #,##0.00_-;\-&quot;R$&quot;\ * #,##0.00_-;_-&quot;R$&quot;\ * &quot;-&quot;??_-;_-@_-"/>
    <numFmt numFmtId="43" formatCode="_-* #,##0.00_-;\-* #,##0.00_-;_-* &quot;-&quot;??_-;_-@_-"/>
    <numFmt numFmtId="164" formatCode="_-&quot;R$&quot;* #,##0.00_-;\-&quot;R$&quot;* #,##0.00_-;_-&quot;R$&quot;* &quot;-&quot;??_-;_-@_-"/>
    <numFmt numFmtId="165" formatCode="&quot;R$&quot;\ #,##0.00"/>
    <numFmt numFmtId="166" formatCode="000000"/>
    <numFmt numFmtId="167" formatCode="0.000"/>
    <numFmt numFmtId="168" formatCode="0.0000"/>
  </numFmts>
  <fonts count="19">
    <font>
      <sz val="11"/>
      <color theme="1"/>
      <name val="Calibri"/>
      <family val="2"/>
      <scheme val="minor"/>
    </font>
    <font>
      <sz val="11"/>
      <color theme="1"/>
      <name val="Calibri"/>
      <family val="2"/>
      <scheme val="minor"/>
    </font>
    <font>
      <b/>
      <sz val="11"/>
      <color theme="1"/>
      <name val="Calibri"/>
      <family val="2"/>
      <scheme val="minor"/>
    </font>
    <font>
      <b/>
      <sz val="11"/>
      <color theme="1"/>
      <name val="Calibri  "/>
    </font>
    <font>
      <sz val="20"/>
      <color theme="1"/>
      <name val="Calibri"/>
      <family val="2"/>
      <scheme val="minor"/>
    </font>
    <font>
      <sz val="11"/>
      <color theme="1"/>
      <name val="Calibri  "/>
    </font>
    <font>
      <sz val="10"/>
      <color theme="1"/>
      <name val="Calibri"/>
      <family val="2"/>
      <scheme val="minor"/>
    </font>
    <font>
      <b/>
      <sz val="11"/>
      <name val="Calibri"/>
      <family val="2"/>
      <scheme val="minor"/>
    </font>
    <font>
      <sz val="18"/>
      <color theme="1"/>
      <name val="Calibri"/>
      <family val="2"/>
      <scheme val="minor"/>
    </font>
    <font>
      <b/>
      <sz val="12"/>
      <color theme="1"/>
      <name val="Calibri  "/>
    </font>
    <font>
      <b/>
      <sz val="13"/>
      <color theme="1"/>
      <name val="Calibri"/>
      <family val="2"/>
      <scheme val="minor"/>
    </font>
    <font>
      <sz val="11"/>
      <name val="Calibri"/>
      <family val="2"/>
      <scheme val="minor"/>
    </font>
    <font>
      <sz val="12"/>
      <color theme="1"/>
      <name val="Calibri"/>
      <family val="2"/>
      <scheme val="minor"/>
    </font>
    <font>
      <sz val="12"/>
      <color theme="1"/>
      <name val="Calibri  "/>
    </font>
    <font>
      <b/>
      <sz val="10"/>
      <color theme="1"/>
      <name val="Calibri"/>
      <family val="2"/>
      <scheme val="minor"/>
    </font>
    <font>
      <b/>
      <sz val="10"/>
      <name val="Calibri"/>
      <family val="2"/>
      <scheme val="minor"/>
    </font>
    <font>
      <sz val="14"/>
      <color theme="1"/>
      <name val="Calibri"/>
      <family val="2"/>
      <scheme val="minor"/>
    </font>
    <font>
      <b/>
      <sz val="12"/>
      <name val="Calibri"/>
      <family val="2"/>
      <scheme val="minor"/>
    </font>
    <font>
      <b/>
      <sz val="12"/>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3">
    <xf numFmtId="0" fontId="0" fillId="0" borderId="0"/>
    <xf numFmtId="164" fontId="1" fillId="0" borderId="0" applyFont="0" applyFill="0" applyBorder="0" applyAlignment="0" applyProtection="0"/>
    <xf numFmtId="43" fontId="1" fillId="0" borderId="0" applyFont="0" applyFill="0" applyBorder="0" applyAlignment="0" applyProtection="0"/>
  </cellStyleXfs>
  <cellXfs count="455">
    <xf numFmtId="0" fontId="0" fillId="0" borderId="0" xfId="0"/>
    <xf numFmtId="0" fontId="4" fillId="0" borderId="0" xfId="0" applyFont="1"/>
    <xf numFmtId="0" fontId="5" fillId="0" borderId="1" xfId="0" applyFont="1" applyBorder="1" applyAlignment="1">
      <alignment horizontal="center"/>
    </xf>
    <xf numFmtId="0" fontId="5" fillId="0" borderId="1" xfId="0" applyFont="1" applyBorder="1" applyAlignment="1">
      <alignment horizontal="center" vertical="center"/>
    </xf>
    <xf numFmtId="2" fontId="5" fillId="0" borderId="1" xfId="0" applyNumberFormat="1" applyFont="1" applyBorder="1" applyAlignment="1">
      <alignment horizontal="center"/>
    </xf>
    <xf numFmtId="0" fontId="0" fillId="0" borderId="0" xfId="0" applyFont="1"/>
    <xf numFmtId="0" fontId="0" fillId="0" borderId="0" xfId="0" applyFont="1" applyAlignment="1">
      <alignment horizontal="center" vertical="center"/>
    </xf>
    <xf numFmtId="2" fontId="0" fillId="0" borderId="0" xfId="0" applyNumberFormat="1" applyFont="1" applyAlignment="1">
      <alignment horizontal="center" vertical="center"/>
    </xf>
    <xf numFmtId="0" fontId="0" fillId="0" borderId="13" xfId="0" applyBorder="1"/>
    <xf numFmtId="0" fontId="0" fillId="0" borderId="0" xfId="0" applyAlignment="1">
      <alignment horizontal="center"/>
    </xf>
    <xf numFmtId="0" fontId="0" fillId="0" borderId="13" xfId="0" applyBorder="1" applyAlignment="1">
      <alignment horizontal="center"/>
    </xf>
    <xf numFmtId="165" fontId="0" fillId="0" borderId="0" xfId="1" applyNumberFormat="1" applyFont="1"/>
    <xf numFmtId="165" fontId="3" fillId="0" borderId="1" xfId="1" applyNumberFormat="1" applyFont="1" applyBorder="1" applyAlignment="1">
      <alignment horizontal="center"/>
    </xf>
    <xf numFmtId="165" fontId="5" fillId="0" borderId="1" xfId="1" applyNumberFormat="1" applyFont="1" applyBorder="1" applyAlignment="1">
      <alignment horizontal="center"/>
    </xf>
    <xf numFmtId="0" fontId="0" fillId="0" borderId="15" xfId="0" applyFont="1" applyBorder="1" applyAlignment="1">
      <alignment horizontal="center" vertical="center"/>
    </xf>
    <xf numFmtId="0" fontId="0" fillId="0" borderId="1" xfId="0" applyNumberFormat="1" applyFont="1" applyBorder="1" applyAlignment="1">
      <alignment horizontal="left" vertical="center" wrapText="1"/>
    </xf>
    <xf numFmtId="43" fontId="2" fillId="0" borderId="1" xfId="2" applyFont="1" applyBorder="1" applyAlignment="1">
      <alignment horizontal="center" vertical="center"/>
    </xf>
    <xf numFmtId="43" fontId="11" fillId="0" borderId="1" xfId="2" applyFont="1" applyBorder="1" applyAlignment="1">
      <alignment horizontal="center" vertical="center"/>
    </xf>
    <xf numFmtId="2" fontId="7" fillId="0" borderId="1" xfId="2" applyNumberFormat="1" applyFont="1" applyBorder="1" applyAlignment="1">
      <alignment horizontal="center" vertical="center"/>
    </xf>
    <xf numFmtId="0" fontId="11" fillId="0" borderId="1" xfId="2" applyNumberFormat="1" applyFont="1" applyBorder="1" applyAlignment="1">
      <alignment horizontal="left" wrapText="1"/>
    </xf>
    <xf numFmtId="0" fontId="11" fillId="0" borderId="1" xfId="2" applyNumberFormat="1" applyFont="1" applyBorder="1" applyAlignment="1">
      <alignment horizontal="left"/>
    </xf>
    <xf numFmtId="0" fontId="11" fillId="0" borderId="1" xfId="2" applyNumberFormat="1" applyFont="1" applyBorder="1" applyAlignment="1">
      <alignment horizontal="left" vertical="center"/>
    </xf>
    <xf numFmtId="43" fontId="11" fillId="0" borderId="1" xfId="2" applyFont="1" applyBorder="1" applyAlignment="1">
      <alignment horizontal="center"/>
    </xf>
    <xf numFmtId="0" fontId="0" fillId="0" borderId="0" xfId="0" applyFill="1"/>
    <xf numFmtId="0" fontId="11" fillId="0" borderId="1" xfId="2" applyNumberFormat="1" applyFont="1" applyBorder="1" applyAlignment="1">
      <alignment horizontal="center" vertical="center"/>
    </xf>
    <xf numFmtId="0" fontId="0" fillId="0" borderId="1" xfId="0" applyBorder="1" applyAlignment="1">
      <alignment horizontal="center"/>
    </xf>
    <xf numFmtId="0" fontId="4" fillId="0" borderId="0" xfId="0" applyFont="1" applyFill="1"/>
    <xf numFmtId="0" fontId="4" fillId="0" borderId="0" xfId="0" applyFont="1" applyFill="1" applyBorder="1" applyAlignment="1">
      <alignment horizontal="center" wrapText="1"/>
    </xf>
    <xf numFmtId="43" fontId="11" fillId="2" borderId="1" xfId="2" applyFont="1" applyFill="1" applyBorder="1" applyAlignment="1">
      <alignment horizontal="center" vertical="center"/>
    </xf>
    <xf numFmtId="0" fontId="0" fillId="0" borderId="1" xfId="0" applyFont="1" applyBorder="1" applyAlignment="1">
      <alignment horizontal="center" vertical="center"/>
    </xf>
    <xf numFmtId="0" fontId="0" fillId="2" borderId="0" xfId="0" applyFill="1"/>
    <xf numFmtId="0" fontId="5" fillId="2" borderId="1" xfId="0" applyFont="1" applyFill="1" applyBorder="1" applyAlignment="1">
      <alignment horizontal="center"/>
    </xf>
    <xf numFmtId="0" fontId="0" fillId="2" borderId="1" xfId="0" applyNumberFormat="1" applyFont="1" applyFill="1" applyBorder="1" applyAlignment="1">
      <alignment horizontal="left" vertical="center" wrapText="1"/>
    </xf>
    <xf numFmtId="2" fontId="5" fillId="2" borderId="1" xfId="0" applyNumberFormat="1" applyFont="1" applyFill="1" applyBorder="1" applyAlignment="1">
      <alignment horizontal="center" vertical="center"/>
    </xf>
    <xf numFmtId="0" fontId="11" fillId="2" borderId="1" xfId="2" applyNumberFormat="1" applyFont="1" applyFill="1" applyBorder="1" applyAlignment="1">
      <alignment horizontal="left" vertical="center"/>
    </xf>
    <xf numFmtId="2" fontId="0" fillId="2" borderId="1" xfId="0" applyNumberFormat="1" applyFont="1" applyFill="1" applyBorder="1" applyAlignment="1">
      <alignment horizontal="center" vertical="center"/>
    </xf>
    <xf numFmtId="0" fontId="0" fillId="0" borderId="0" xfId="0" applyNumberFormat="1" applyFont="1" applyAlignment="1">
      <alignment horizontal="left" wrapText="1"/>
    </xf>
    <xf numFmtId="0" fontId="0" fillId="0" borderId="1" xfId="0" applyNumberFormat="1" applyFont="1" applyBorder="1" applyAlignment="1">
      <alignment horizontal="left" wrapText="1"/>
    </xf>
    <xf numFmtId="0" fontId="0" fillId="0" borderId="1" xfId="0" applyNumberFormat="1" applyFont="1" applyFill="1" applyBorder="1" applyAlignment="1">
      <alignment horizontal="left" vertical="center" wrapText="1"/>
    </xf>
    <xf numFmtId="2" fontId="0" fillId="0" borderId="1" xfId="0" applyNumberFormat="1" applyFont="1" applyBorder="1" applyAlignment="1">
      <alignment horizontal="center" vertical="center"/>
    </xf>
    <xf numFmtId="43" fontId="2" fillId="0" borderId="1" xfId="2" applyFont="1" applyBorder="1" applyAlignment="1"/>
    <xf numFmtId="2" fontId="11" fillId="0" borderId="1" xfId="2" applyNumberFormat="1" applyFont="1" applyBorder="1" applyAlignment="1">
      <alignment horizontal="center"/>
    </xf>
    <xf numFmtId="2" fontId="11" fillId="0" borderId="1" xfId="2" applyNumberFormat="1" applyFont="1" applyBorder="1" applyAlignment="1">
      <alignment horizontal="center" wrapText="1"/>
    </xf>
    <xf numFmtId="2" fontId="11" fillId="2" borderId="1" xfId="2" applyNumberFormat="1" applyFont="1" applyFill="1" applyBorder="1" applyAlignment="1">
      <alignment horizontal="center"/>
    </xf>
    <xf numFmtId="43" fontId="0" fillId="2" borderId="1" xfId="2" applyFont="1" applyFill="1" applyBorder="1" applyAlignment="1">
      <alignment horizontal="center" vertical="center"/>
    </xf>
    <xf numFmtId="43" fontId="0" fillId="0" borderId="1" xfId="2" applyFont="1" applyBorder="1" applyAlignment="1">
      <alignment horizontal="center" vertical="center"/>
    </xf>
    <xf numFmtId="2" fontId="0" fillId="0" borderId="1" xfId="2" applyNumberFormat="1" applyFont="1" applyBorder="1" applyAlignment="1">
      <alignment horizontal="center" vertical="center" wrapText="1"/>
    </xf>
    <xf numFmtId="0" fontId="2" fillId="0" borderId="1" xfId="0" applyFont="1" applyBorder="1" applyAlignment="1">
      <alignment horizontal="center" wrapText="1"/>
    </xf>
    <xf numFmtId="2" fontId="5" fillId="0" borderId="1" xfId="0" applyNumberFormat="1" applyFont="1" applyBorder="1" applyAlignment="1">
      <alignment horizontal="center" vertical="center"/>
    </xf>
    <xf numFmtId="0" fontId="11" fillId="2" borderId="1" xfId="2" applyNumberFormat="1" applyFont="1" applyFill="1" applyBorder="1" applyAlignment="1">
      <alignment horizontal="left" wrapText="1"/>
    </xf>
    <xf numFmtId="0" fontId="11" fillId="2" borderId="1" xfId="2" applyNumberFormat="1" applyFont="1" applyFill="1" applyBorder="1" applyAlignment="1">
      <alignment horizontal="center" vertical="center"/>
    </xf>
    <xf numFmtId="0" fontId="3" fillId="0" borderId="1" xfId="0" applyFont="1" applyBorder="1" applyAlignment="1">
      <alignment horizontal="center" vertical="center"/>
    </xf>
    <xf numFmtId="165" fontId="3" fillId="0" borderId="1" xfId="1" applyNumberFormat="1" applyFont="1" applyBorder="1" applyAlignment="1">
      <alignment horizontal="center" vertical="center"/>
    </xf>
    <xf numFmtId="0" fontId="0" fillId="0" borderId="1" xfId="2" applyNumberFormat="1" applyFont="1" applyBorder="1" applyAlignment="1">
      <alignment horizontal="left" vertical="center"/>
    </xf>
    <xf numFmtId="2" fontId="5" fillId="2" borderId="1" xfId="0" applyNumberFormat="1" applyFont="1" applyFill="1" applyBorder="1" applyAlignment="1">
      <alignment horizontal="center"/>
    </xf>
    <xf numFmtId="166" fontId="5" fillId="0" borderId="1" xfId="0" applyNumberFormat="1" applyFont="1" applyBorder="1" applyAlignment="1">
      <alignment horizontal="center" vertical="center"/>
    </xf>
    <xf numFmtId="43" fontId="7" fillId="0" borderId="1" xfId="2" applyFont="1" applyBorder="1" applyAlignment="1"/>
    <xf numFmtId="0" fontId="11" fillId="2" borderId="1" xfId="2" applyNumberFormat="1" applyFont="1" applyFill="1" applyBorder="1" applyAlignment="1">
      <alignment horizontal="left"/>
    </xf>
    <xf numFmtId="44" fontId="0" fillId="2" borderId="1" xfId="2" applyNumberFormat="1" applyFont="1" applyFill="1" applyBorder="1" applyAlignment="1">
      <alignment horizontal="center" vertical="center"/>
    </xf>
    <xf numFmtId="0" fontId="0" fillId="2" borderId="1" xfId="2" applyNumberFormat="1" applyFont="1" applyFill="1" applyBorder="1" applyAlignment="1">
      <alignment horizontal="center"/>
    </xf>
    <xf numFmtId="0" fontId="0" fillId="2" borderId="1" xfId="2" applyNumberFormat="1" applyFont="1" applyFill="1" applyBorder="1" applyAlignment="1">
      <alignment horizontal="center" vertical="center"/>
    </xf>
    <xf numFmtId="0" fontId="5" fillId="2" borderId="1" xfId="0" applyFont="1" applyFill="1" applyBorder="1" applyAlignment="1">
      <alignment horizontal="center" vertical="center"/>
    </xf>
    <xf numFmtId="2" fontId="7" fillId="2" borderId="1" xfId="2" applyNumberFormat="1" applyFont="1" applyFill="1" applyBorder="1" applyAlignment="1">
      <alignment horizontal="center" vertical="center"/>
    </xf>
    <xf numFmtId="2" fontId="11" fillId="2" borderId="1" xfId="2" applyNumberFormat="1" applyFont="1" applyFill="1" applyBorder="1" applyAlignment="1">
      <alignment horizontal="center" wrapText="1"/>
    </xf>
    <xf numFmtId="2" fontId="5" fillId="0" borderId="1" xfId="1" applyNumberFormat="1" applyFont="1" applyBorder="1" applyAlignment="1">
      <alignment horizontal="center" vertical="center"/>
    </xf>
    <xf numFmtId="2" fontId="13" fillId="0" borderId="1" xfId="0" applyNumberFormat="1" applyFont="1" applyBorder="1" applyAlignment="1">
      <alignment horizontal="right" vertical="center"/>
    </xf>
    <xf numFmtId="2" fontId="12" fillId="0" borderId="1" xfId="0" applyNumberFormat="1" applyFont="1" applyBorder="1"/>
    <xf numFmtId="0" fontId="11" fillId="0" borderId="1" xfId="2" applyNumberFormat="1" applyFont="1" applyBorder="1" applyAlignment="1">
      <alignment horizontal="center" vertical="center" wrapText="1"/>
    </xf>
    <xf numFmtId="0" fontId="11" fillId="0" borderId="1" xfId="2" applyNumberFormat="1" applyFont="1" applyBorder="1" applyAlignment="1">
      <alignment horizontal="center" wrapText="1"/>
    </xf>
    <xf numFmtId="0" fontId="5" fillId="0" borderId="1" xfId="0" applyFont="1" applyBorder="1" applyAlignment="1">
      <alignment horizontal="left" vertical="center" wrapText="1"/>
    </xf>
    <xf numFmtId="0" fontId="11" fillId="2" borderId="1" xfId="0" applyNumberFormat="1" applyFont="1" applyFill="1" applyBorder="1" applyAlignment="1">
      <alignment horizontal="left" vertical="center" wrapText="1"/>
    </xf>
    <xf numFmtId="2" fontId="0" fillId="2" borderId="1" xfId="2" applyNumberFormat="1" applyFont="1" applyFill="1" applyBorder="1" applyAlignment="1">
      <alignment horizontal="center" vertical="center" wrapText="1"/>
    </xf>
    <xf numFmtId="0" fontId="0" fillId="2" borderId="1" xfId="0" applyFont="1" applyFill="1" applyBorder="1" applyAlignment="1">
      <alignment horizontal="center" vertical="center" wrapText="1"/>
    </xf>
    <xf numFmtId="0" fontId="2" fillId="0" borderId="1" xfId="0" applyFont="1" applyBorder="1" applyAlignment="1">
      <alignment horizontal="left" wrapText="1"/>
    </xf>
    <xf numFmtId="0" fontId="7" fillId="2" borderId="1" xfId="2" applyNumberFormat="1" applyFont="1" applyFill="1" applyBorder="1" applyAlignment="1">
      <alignment horizontal="right" wrapText="1"/>
    </xf>
    <xf numFmtId="0" fontId="0" fillId="0" borderId="1" xfId="0" applyFont="1" applyBorder="1" applyAlignment="1">
      <alignment horizontal="left" wrapText="1"/>
    </xf>
    <xf numFmtId="0" fontId="12" fillId="0" borderId="0" xfId="0" applyNumberFormat="1" applyFont="1" applyAlignment="1">
      <alignment horizontal="center"/>
    </xf>
    <xf numFmtId="0" fontId="12" fillId="0" borderId="12" xfId="0" applyNumberFormat="1" applyFont="1" applyBorder="1" applyAlignment="1">
      <alignment horizontal="center"/>
    </xf>
    <xf numFmtId="0" fontId="0" fillId="0" borderId="1" xfId="0" applyFont="1" applyBorder="1" applyAlignment="1">
      <alignment vertical="center"/>
    </xf>
    <xf numFmtId="2" fontId="0" fillId="0" borderId="1" xfId="2" applyNumberFormat="1" applyFont="1" applyBorder="1" applyAlignment="1">
      <alignment vertical="center"/>
    </xf>
    <xf numFmtId="2" fontId="0" fillId="2" borderId="1" xfId="2" applyNumberFormat="1" applyFont="1" applyFill="1" applyBorder="1" applyAlignment="1">
      <alignment vertical="center"/>
    </xf>
    <xf numFmtId="43" fontId="0" fillId="2" borderId="1" xfId="2" applyFont="1" applyFill="1" applyBorder="1" applyAlignment="1">
      <alignment horizontal="right"/>
    </xf>
    <xf numFmtId="168" fontId="0" fillId="0" borderId="1" xfId="2" applyNumberFormat="1" applyFont="1" applyBorder="1" applyAlignment="1">
      <alignment horizontal="center" vertical="center"/>
    </xf>
    <xf numFmtId="0" fontId="0" fillId="0" borderId="1" xfId="2" applyNumberFormat="1" applyFont="1" applyBorder="1" applyAlignment="1">
      <alignment horizontal="right"/>
    </xf>
    <xf numFmtId="0" fontId="0" fillId="0" borderId="1" xfId="0" applyFont="1" applyBorder="1" applyAlignment="1">
      <alignment horizontal="center" vertical="center" wrapText="1"/>
    </xf>
    <xf numFmtId="2" fontId="0" fillId="0" borderId="1" xfId="0" applyNumberFormat="1" applyFont="1" applyBorder="1" applyAlignment="1">
      <alignment horizontal="center" vertical="center" wrapText="1"/>
    </xf>
    <xf numFmtId="0" fontId="0" fillId="0" borderId="1" xfId="0" applyFont="1" applyBorder="1" applyAlignment="1">
      <alignment horizontal="left" vertical="center" wrapText="1"/>
    </xf>
    <xf numFmtId="0" fontId="0" fillId="0" borderId="1" xfId="0" applyNumberFormat="1" applyFont="1" applyBorder="1" applyAlignment="1">
      <alignment vertical="center" wrapText="1"/>
    </xf>
    <xf numFmtId="0" fontId="0" fillId="3" borderId="1" xfId="2" applyNumberFormat="1" applyFont="1" applyFill="1" applyBorder="1" applyAlignment="1">
      <alignment horizontal="left" vertical="center"/>
    </xf>
    <xf numFmtId="0" fontId="0" fillId="3" borderId="1" xfId="0" applyNumberFormat="1" applyFont="1" applyFill="1" applyBorder="1" applyAlignment="1">
      <alignment horizontal="left"/>
    </xf>
    <xf numFmtId="0" fontId="0" fillId="3" borderId="1" xfId="2" applyNumberFormat="1" applyFont="1" applyFill="1" applyBorder="1" applyAlignment="1">
      <alignment horizontal="center"/>
    </xf>
    <xf numFmtId="0" fontId="0" fillId="3" borderId="1" xfId="2" applyNumberFormat="1" applyFont="1" applyFill="1" applyBorder="1" applyAlignment="1">
      <alignment horizontal="center" vertical="center"/>
    </xf>
    <xf numFmtId="0" fontId="11" fillId="3" borderId="1" xfId="2" applyNumberFormat="1" applyFont="1" applyFill="1" applyBorder="1" applyAlignment="1">
      <alignment horizontal="center" vertical="center" wrapText="1"/>
    </xf>
    <xf numFmtId="43" fontId="2" fillId="2" borderId="1" xfId="2" applyFont="1" applyFill="1" applyBorder="1" applyAlignment="1">
      <alignment horizontal="right"/>
    </xf>
    <xf numFmtId="43" fontId="0" fillId="3" borderId="1" xfId="2" applyFont="1" applyFill="1" applyBorder="1" applyAlignment="1">
      <alignment horizontal="center" vertical="center"/>
    </xf>
    <xf numFmtId="44" fontId="0" fillId="3" borderId="1" xfId="2" applyNumberFormat="1" applyFont="1" applyFill="1" applyBorder="1" applyAlignment="1">
      <alignment horizontal="center" vertical="center"/>
    </xf>
    <xf numFmtId="2" fontId="0" fillId="3" borderId="1" xfId="0" applyNumberFormat="1" applyFont="1" applyFill="1" applyBorder="1" applyAlignment="1">
      <alignment horizontal="center" vertical="center"/>
    </xf>
    <xf numFmtId="0" fontId="0" fillId="3" borderId="1" xfId="0" applyFont="1" applyFill="1" applyBorder="1" applyAlignment="1">
      <alignment horizontal="left" vertical="center"/>
    </xf>
    <xf numFmtId="0" fontId="0" fillId="0" borderId="15" xfId="0" applyFont="1" applyBorder="1" applyAlignment="1">
      <alignment horizontal="center"/>
    </xf>
    <xf numFmtId="0" fontId="0" fillId="2" borderId="1" xfId="0" applyFont="1" applyFill="1" applyBorder="1" applyAlignment="1">
      <alignment horizontal="center" vertical="center"/>
    </xf>
    <xf numFmtId="0" fontId="0" fillId="0" borderId="1" xfId="0" applyNumberFormat="1" applyBorder="1" applyAlignment="1">
      <alignment horizontal="left" vertical="center" wrapText="1"/>
    </xf>
    <xf numFmtId="0" fontId="0" fillId="0" borderId="1" xfId="0" applyBorder="1"/>
    <xf numFmtId="0" fontId="0" fillId="3" borderId="1" xfId="0" applyFont="1" applyFill="1" applyBorder="1" applyAlignment="1">
      <alignment horizontal="left" vertical="center" wrapText="1"/>
    </xf>
    <xf numFmtId="0" fontId="0" fillId="2" borderId="1" xfId="0" applyFont="1" applyFill="1" applyBorder="1" applyAlignment="1">
      <alignment horizontal="left" vertical="center"/>
    </xf>
    <xf numFmtId="0" fontId="2" fillId="0" borderId="1" xfId="0" applyNumberFormat="1" applyFont="1" applyBorder="1" applyAlignment="1">
      <alignment horizontal="center" vertical="center" wrapText="1"/>
    </xf>
    <xf numFmtId="0" fontId="11" fillId="2" borderId="1" xfId="0" applyFont="1" applyFill="1" applyBorder="1" applyAlignment="1">
      <alignment horizontal="left" vertical="center"/>
    </xf>
    <xf numFmtId="0" fontId="2" fillId="2" borderId="1" xfId="0" applyFont="1" applyFill="1" applyBorder="1" applyAlignment="1">
      <alignment horizontal="left" wrapText="1"/>
    </xf>
    <xf numFmtId="0" fontId="11" fillId="3" borderId="1" xfId="2" applyNumberFormat="1" applyFont="1" applyFill="1" applyBorder="1" applyAlignment="1">
      <alignment horizontal="left" vertical="center" wrapText="1"/>
    </xf>
    <xf numFmtId="2" fontId="0" fillId="0" borderId="1" xfId="2" applyNumberFormat="1" applyFont="1" applyBorder="1" applyAlignment="1">
      <alignment horizontal="left" vertical="center"/>
    </xf>
    <xf numFmtId="0" fontId="0" fillId="3" borderId="1" xfId="2" applyNumberFormat="1" applyFont="1" applyFill="1" applyBorder="1" applyAlignment="1">
      <alignment horizontal="left" vertical="center" wrapText="1"/>
    </xf>
    <xf numFmtId="0" fontId="0" fillId="0" borderId="4" xfId="0" applyNumberFormat="1" applyFont="1" applyBorder="1" applyAlignment="1">
      <alignment horizontal="left" vertical="center" wrapText="1"/>
    </xf>
    <xf numFmtId="0" fontId="0" fillId="0" borderId="1" xfId="0" applyFont="1" applyBorder="1" applyAlignment="1">
      <alignment horizontal="center" wrapText="1"/>
    </xf>
    <xf numFmtId="2" fontId="7" fillId="0" borderId="1" xfId="2" applyNumberFormat="1" applyFont="1" applyBorder="1" applyAlignment="1">
      <alignment horizontal="center"/>
    </xf>
    <xf numFmtId="2" fontId="0" fillId="0" borderId="1" xfId="0" applyNumberFormat="1" applyFont="1" applyBorder="1" applyAlignment="1">
      <alignment horizontal="center"/>
    </xf>
    <xf numFmtId="2" fontId="0" fillId="2" borderId="1" xfId="0" applyNumberFormat="1" applyFont="1" applyFill="1" applyBorder="1" applyAlignment="1">
      <alignment horizontal="center"/>
    </xf>
    <xf numFmtId="0" fontId="0" fillId="2" borderId="1" xfId="0" applyNumberFormat="1" applyFont="1" applyFill="1" applyBorder="1" applyAlignment="1">
      <alignment horizontal="left" wrapText="1"/>
    </xf>
    <xf numFmtId="2" fontId="0" fillId="0" borderId="1" xfId="2" applyNumberFormat="1" applyFont="1" applyBorder="1" applyAlignment="1">
      <alignment horizontal="center" wrapText="1"/>
    </xf>
    <xf numFmtId="43" fontId="0" fillId="0" borderId="1" xfId="2" applyFont="1" applyBorder="1" applyAlignment="1">
      <alignment horizontal="center"/>
    </xf>
    <xf numFmtId="0" fontId="0" fillId="2" borderId="1" xfId="0" applyNumberFormat="1" applyFill="1" applyBorder="1" applyAlignment="1">
      <alignment horizontal="left" vertical="center" wrapText="1"/>
    </xf>
    <xf numFmtId="43" fontId="2" fillId="2" borderId="1" xfId="2" applyFont="1" applyFill="1" applyBorder="1" applyAlignment="1">
      <alignment horizontal="center" vertical="center"/>
    </xf>
    <xf numFmtId="0" fontId="0" fillId="0" borderId="4" xfId="0" applyNumberFormat="1" applyBorder="1" applyAlignment="1">
      <alignment horizontal="left" vertical="center" wrapText="1"/>
    </xf>
    <xf numFmtId="0" fontId="0" fillId="0" borderId="2" xfId="2" applyNumberFormat="1" applyFont="1" applyBorder="1" applyAlignment="1">
      <alignment horizontal="left" vertical="center"/>
    </xf>
    <xf numFmtId="0" fontId="0" fillId="3" borderId="6" xfId="0" applyFont="1" applyFill="1" applyBorder="1" applyAlignment="1">
      <alignment horizontal="left" vertical="center"/>
    </xf>
    <xf numFmtId="0" fontId="0" fillId="3" borderId="6" xfId="0" applyFont="1" applyFill="1" applyBorder="1" applyAlignment="1">
      <alignment horizontal="center" vertical="center"/>
    </xf>
    <xf numFmtId="0" fontId="5" fillId="0" borderId="1" xfId="0" quotePrefix="1" applyFont="1" applyBorder="1" applyAlignment="1">
      <alignment horizontal="left" vertical="center" wrapText="1"/>
    </xf>
    <xf numFmtId="2" fontId="12" fillId="0" borderId="1" xfId="0" applyNumberFormat="1" applyFont="1" applyBorder="1" applyAlignment="1">
      <alignment vertical="center"/>
    </xf>
    <xf numFmtId="0" fontId="0" fillId="0" borderId="0" xfId="0" applyAlignment="1">
      <alignment vertical="center"/>
    </xf>
    <xf numFmtId="0" fontId="4" fillId="0" borderId="0" xfId="0" applyFont="1" applyAlignment="1">
      <alignment vertical="center"/>
    </xf>
    <xf numFmtId="2" fontId="0" fillId="0" borderId="16" xfId="2" applyNumberFormat="1" applyFont="1" applyBorder="1" applyAlignment="1">
      <alignment horizontal="center" vertical="center" wrapText="1"/>
    </xf>
    <xf numFmtId="0" fontId="2" fillId="0" borderId="1" xfId="0" applyFont="1" applyBorder="1" applyAlignment="1">
      <alignment horizontal="center"/>
    </xf>
    <xf numFmtId="43" fontId="2" fillId="0" borderId="1" xfId="2" applyFont="1" applyBorder="1" applyAlignment="1">
      <alignment horizontal="center"/>
    </xf>
    <xf numFmtId="0" fontId="0" fillId="2" borderId="1" xfId="0" applyFill="1" applyBorder="1"/>
    <xf numFmtId="0" fontId="7" fillId="0" borderId="1" xfId="2" applyNumberFormat="1" applyFont="1" applyBorder="1" applyAlignment="1">
      <alignment horizontal="left" vertical="center"/>
    </xf>
    <xf numFmtId="43" fontId="11" fillId="0" borderId="1" xfId="2" applyFont="1" applyBorder="1" applyAlignment="1">
      <alignment horizontal="center" vertical="center" wrapText="1"/>
    </xf>
    <xf numFmtId="0" fontId="0" fillId="0" borderId="0" xfId="0" applyAlignment="1">
      <alignment wrapText="1"/>
    </xf>
    <xf numFmtId="43" fontId="7" fillId="2" borderId="1" xfId="2" applyFont="1" applyFill="1" applyBorder="1" applyAlignment="1"/>
    <xf numFmtId="0" fontId="7" fillId="2" borderId="1" xfId="2" applyNumberFormat="1" applyFont="1" applyFill="1" applyBorder="1" applyAlignment="1">
      <alignment horizontal="left" vertical="center"/>
    </xf>
    <xf numFmtId="0" fontId="7" fillId="0" borderId="1" xfId="2" applyNumberFormat="1" applyFont="1" applyBorder="1" applyAlignment="1">
      <alignment horizontal="left"/>
    </xf>
    <xf numFmtId="0" fontId="0"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165" fontId="5" fillId="2" borderId="1" xfId="1" applyNumberFormat="1" applyFont="1" applyFill="1" applyBorder="1" applyAlignment="1">
      <alignment horizontal="left" wrapText="1"/>
    </xf>
    <xf numFmtId="43" fontId="7" fillId="0" borderId="1" xfId="2" applyFont="1" applyBorder="1" applyAlignment="1">
      <alignment horizontal="left"/>
    </xf>
    <xf numFmtId="43" fontId="11" fillId="2" borderId="1" xfId="2" applyFont="1" applyFill="1" applyBorder="1" applyAlignment="1"/>
    <xf numFmtId="2" fontId="2" fillId="0" borderId="16" xfId="2" applyNumberFormat="1" applyFont="1" applyBorder="1" applyAlignment="1">
      <alignment vertical="center" wrapText="1"/>
    </xf>
    <xf numFmtId="2" fontId="7" fillId="0" borderId="16" xfId="2" applyNumberFormat="1" applyFont="1" applyBorder="1" applyAlignment="1">
      <alignment horizontal="center" wrapText="1"/>
    </xf>
    <xf numFmtId="2" fontId="0" fillId="0" borderId="16" xfId="0" applyNumberFormat="1" applyFont="1" applyBorder="1" applyAlignment="1">
      <alignment horizontal="center"/>
    </xf>
    <xf numFmtId="43" fontId="0" fillId="0" borderId="1" xfId="2" applyFont="1" applyBorder="1" applyAlignment="1">
      <alignment horizontal="left"/>
    </xf>
    <xf numFmtId="0" fontId="5" fillId="2" borderId="1" xfId="0" applyFont="1" applyFill="1" applyBorder="1" applyAlignment="1">
      <alignment horizontal="left" vertical="center" wrapText="1"/>
    </xf>
    <xf numFmtId="0" fontId="3" fillId="0" borderId="1" xfId="0" applyFont="1" applyBorder="1" applyAlignment="1">
      <alignment horizontal="center"/>
    </xf>
    <xf numFmtId="0" fontId="3" fillId="2" borderId="1" xfId="0" applyFont="1" applyFill="1" applyBorder="1" applyAlignment="1">
      <alignment horizontal="center" vertical="center"/>
    </xf>
    <xf numFmtId="0" fontId="5" fillId="0" borderId="1" xfId="0" applyNumberFormat="1" applyFont="1" applyBorder="1" applyAlignment="1">
      <alignment horizontal="center" vertical="center"/>
    </xf>
    <xf numFmtId="166" fontId="3" fillId="0" borderId="1" xfId="0" applyNumberFormat="1" applyFont="1" applyBorder="1" applyAlignment="1">
      <alignment horizontal="center" vertical="center"/>
    </xf>
    <xf numFmtId="0" fontId="3" fillId="0" borderId="1" xfId="0" applyNumberFormat="1" applyFont="1" applyBorder="1" applyAlignment="1">
      <alignment horizontal="left" vertical="center" wrapText="1"/>
    </xf>
    <xf numFmtId="0" fontId="7" fillId="0" borderId="1" xfId="2" applyNumberFormat="1" applyFont="1" applyBorder="1" applyAlignment="1">
      <alignment horizontal="left" wrapText="1"/>
    </xf>
    <xf numFmtId="2" fontId="0" fillId="3" borderId="1" xfId="0" applyNumberFormat="1" applyFont="1" applyFill="1" applyBorder="1" applyAlignment="1">
      <alignment horizontal="left"/>
    </xf>
    <xf numFmtId="0" fontId="0" fillId="0" borderId="0" xfId="0" applyAlignment="1">
      <alignment horizontal="left" wrapText="1"/>
    </xf>
    <xf numFmtId="0" fontId="3" fillId="0" borderId="1" xfId="0" applyFont="1" applyBorder="1" applyAlignment="1">
      <alignment horizontal="left" wrapText="1"/>
    </xf>
    <xf numFmtId="0" fontId="3" fillId="0" borderId="1" xfId="0" applyFont="1" applyBorder="1" applyAlignment="1">
      <alignment horizontal="left" vertical="center" wrapText="1"/>
    </xf>
    <xf numFmtId="165" fontId="5" fillId="0" borderId="1" xfId="1" applyNumberFormat="1" applyFont="1" applyBorder="1" applyAlignment="1">
      <alignment horizontal="left" vertical="center" wrapText="1"/>
    </xf>
    <xf numFmtId="2" fontId="12" fillId="0" borderId="1" xfId="0" applyNumberFormat="1" applyFont="1" applyBorder="1" applyAlignment="1">
      <alignment wrapText="1"/>
    </xf>
    <xf numFmtId="2" fontId="5" fillId="0" borderId="1" xfId="0" applyNumberFormat="1" applyFont="1" applyBorder="1" applyAlignment="1">
      <alignment horizontal="left" vertical="center" wrapText="1"/>
    </xf>
    <xf numFmtId="0" fontId="5" fillId="2" borderId="1" xfId="0" applyFont="1" applyFill="1" applyBorder="1" applyAlignment="1">
      <alignment horizontal="left" wrapText="1"/>
    </xf>
    <xf numFmtId="0" fontId="5" fillId="0" borderId="1" xfId="0" applyFont="1" applyBorder="1" applyAlignment="1">
      <alignment horizontal="left" wrapText="1"/>
    </xf>
    <xf numFmtId="165" fontId="5" fillId="0" borderId="1" xfId="1" applyNumberFormat="1" applyFont="1" applyBorder="1" applyAlignment="1">
      <alignment horizontal="left" wrapText="1"/>
    </xf>
    <xf numFmtId="0" fontId="0" fillId="0" borderId="13" xfId="0" applyBorder="1" applyAlignment="1">
      <alignment horizontal="left" wrapText="1"/>
    </xf>
    <xf numFmtId="2" fontId="6" fillId="2" borderId="0" xfId="0" applyNumberFormat="1" applyFont="1" applyFill="1" applyBorder="1" applyAlignment="1">
      <alignment horizontal="left" vertical="center" wrapText="1"/>
    </xf>
    <xf numFmtId="43" fontId="7" fillId="2" borderId="1" xfId="2" applyFont="1" applyFill="1" applyBorder="1" applyAlignment="1">
      <alignment horizontal="right"/>
    </xf>
    <xf numFmtId="2" fontId="0" fillId="2" borderId="1" xfId="2" applyNumberFormat="1" applyFont="1" applyFill="1" applyBorder="1" applyAlignment="1">
      <alignment horizontal="center" vertical="center"/>
    </xf>
    <xf numFmtId="0" fontId="2" fillId="0" borderId="1" xfId="0" applyNumberFormat="1" applyFont="1" applyBorder="1" applyAlignment="1">
      <alignment horizontal="left" vertical="center" wrapText="1"/>
    </xf>
    <xf numFmtId="0" fontId="7" fillId="0" borderId="1" xfId="2" applyNumberFormat="1" applyFont="1" applyBorder="1" applyAlignment="1">
      <alignment horizontal="right" wrapText="1"/>
    </xf>
    <xf numFmtId="43" fontId="2" fillId="0" borderId="1" xfId="2" applyFont="1" applyBorder="1" applyAlignment="1">
      <alignment horizontal="right"/>
    </xf>
    <xf numFmtId="0" fontId="7" fillId="0" borderId="1" xfId="0" applyFont="1" applyBorder="1" applyAlignment="1">
      <alignment horizontal="right" vertical="center"/>
    </xf>
    <xf numFmtId="2" fontId="0" fillId="0" borderId="1" xfId="2" applyNumberFormat="1" applyFont="1" applyBorder="1" applyAlignment="1">
      <alignment horizontal="center" vertical="center"/>
    </xf>
    <xf numFmtId="0" fontId="2" fillId="2" borderId="1" xfId="0" applyFont="1" applyFill="1" applyBorder="1" applyAlignment="1">
      <alignment horizontal="left" vertical="center"/>
    </xf>
    <xf numFmtId="43" fontId="7" fillId="0" borderId="1" xfId="2" applyFont="1" applyBorder="1" applyAlignment="1">
      <alignment horizontal="right"/>
    </xf>
    <xf numFmtId="2" fontId="0" fillId="0" borderId="1" xfId="0" applyNumberFormat="1" applyFont="1" applyBorder="1" applyAlignment="1">
      <alignment horizontal="center" wrapText="1"/>
    </xf>
    <xf numFmtId="2" fontId="11" fillId="2" borderId="1" xfId="2" applyNumberFormat="1" applyFont="1" applyFill="1" applyBorder="1" applyAlignment="1">
      <alignment horizontal="center" vertical="center"/>
    </xf>
    <xf numFmtId="0" fontId="2" fillId="2" borderId="3" xfId="0" applyFont="1" applyFill="1" applyBorder="1" applyAlignment="1">
      <alignment horizontal="left" vertical="center"/>
    </xf>
    <xf numFmtId="0" fontId="0" fillId="3" borderId="1" xfId="0" applyFont="1" applyFill="1" applyBorder="1" applyAlignment="1">
      <alignment horizontal="center" wrapText="1"/>
    </xf>
    <xf numFmtId="2" fontId="11" fillId="0" borderId="1" xfId="2" applyNumberFormat="1" applyFont="1" applyBorder="1" applyAlignment="1">
      <alignment horizontal="center" vertical="center" wrapText="1"/>
    </xf>
    <xf numFmtId="0" fontId="11" fillId="0" borderId="1" xfId="2" applyNumberFormat="1" applyFont="1" applyBorder="1" applyAlignment="1">
      <alignment horizontal="left" vertical="center" wrapText="1"/>
    </xf>
    <xf numFmtId="2" fontId="11" fillId="0" borderId="1" xfId="2" applyNumberFormat="1" applyFont="1" applyBorder="1" applyAlignment="1">
      <alignment horizontal="center" vertical="center"/>
    </xf>
    <xf numFmtId="0" fontId="11" fillId="2" borderId="1" xfId="2" applyNumberFormat="1" applyFont="1" applyFill="1" applyBorder="1" applyAlignment="1">
      <alignment horizontal="left" vertical="center" wrapText="1"/>
    </xf>
    <xf numFmtId="0" fontId="7" fillId="2" borderId="1" xfId="2" applyNumberFormat="1" applyFont="1" applyFill="1" applyBorder="1" applyAlignment="1">
      <alignment horizontal="left" wrapText="1"/>
    </xf>
    <xf numFmtId="0" fontId="0" fillId="2" borderId="1" xfId="2" applyNumberFormat="1" applyFont="1" applyFill="1" applyBorder="1" applyAlignment="1">
      <alignment horizontal="left" vertical="center"/>
    </xf>
    <xf numFmtId="43" fontId="7" fillId="0" borderId="1" xfId="2" applyFont="1" applyBorder="1" applyAlignment="1">
      <alignment horizontal="center"/>
    </xf>
    <xf numFmtId="0" fontId="0" fillId="3" borderId="1" xfId="0" applyFont="1" applyFill="1" applyBorder="1" applyAlignment="1">
      <alignment horizontal="center" vertical="center"/>
    </xf>
    <xf numFmtId="2" fontId="0" fillId="2" borderId="1" xfId="0" applyNumberFormat="1" applyFont="1" applyFill="1" applyBorder="1" applyAlignment="1">
      <alignment horizontal="center" vertical="center" wrapText="1"/>
    </xf>
    <xf numFmtId="2" fontId="11" fillId="2" borderId="1" xfId="2" applyNumberFormat="1" applyFont="1" applyFill="1" applyBorder="1" applyAlignment="1">
      <alignment horizontal="center" vertical="center" wrapText="1"/>
    </xf>
    <xf numFmtId="0" fontId="0" fillId="3" borderId="1"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0" fillId="2" borderId="15" xfId="0" applyFont="1" applyFill="1" applyBorder="1" applyAlignment="1">
      <alignment horizontal="left" vertical="center"/>
    </xf>
    <xf numFmtId="0" fontId="2" fillId="2" borderId="15" xfId="0" applyFont="1" applyFill="1" applyBorder="1" applyAlignment="1">
      <alignment horizontal="center" vertical="center" wrapText="1"/>
    </xf>
    <xf numFmtId="2" fontId="7" fillId="0" borderId="16" xfId="2" applyNumberFormat="1" applyFont="1" applyBorder="1" applyAlignment="1">
      <alignment horizontal="right" vertical="center"/>
    </xf>
    <xf numFmtId="0" fontId="0" fillId="2" borderId="15" xfId="0" applyFont="1" applyFill="1" applyBorder="1" applyAlignment="1">
      <alignment horizontal="center" vertical="center" wrapText="1"/>
    </xf>
    <xf numFmtId="2" fontId="7" fillId="0" borderId="16" xfId="2" applyNumberFormat="1" applyFont="1" applyBorder="1" applyAlignment="1">
      <alignment vertical="center"/>
    </xf>
    <xf numFmtId="0" fontId="0" fillId="2" borderId="15" xfId="0" applyFont="1" applyFill="1" applyBorder="1" applyAlignment="1">
      <alignment horizontal="center" vertical="center"/>
    </xf>
    <xf numFmtId="0" fontId="0" fillId="0" borderId="15" xfId="0" applyNumberFormat="1" applyFont="1" applyBorder="1" applyAlignment="1">
      <alignment horizontal="center" vertical="center" wrapText="1"/>
    </xf>
    <xf numFmtId="0" fontId="0" fillId="2" borderId="15" xfId="0" applyFont="1" applyFill="1" applyBorder="1" applyAlignment="1">
      <alignment horizontal="center"/>
    </xf>
    <xf numFmtId="2" fontId="11" fillId="0" borderId="16" xfId="2" applyNumberFormat="1" applyFont="1" applyBorder="1" applyAlignment="1">
      <alignment vertical="center"/>
    </xf>
    <xf numFmtId="0" fontId="2" fillId="0" borderId="15" xfId="0" applyFont="1" applyBorder="1" applyAlignment="1">
      <alignment horizontal="center"/>
    </xf>
    <xf numFmtId="0" fontId="0" fillId="0" borderId="15" xfId="0" applyBorder="1"/>
    <xf numFmtId="0" fontId="0" fillId="0" borderId="21" xfId="0" applyFont="1" applyBorder="1" applyAlignment="1">
      <alignment horizontal="center" vertical="center"/>
    </xf>
    <xf numFmtId="43" fontId="11" fillId="0" borderId="15" xfId="2" applyFont="1" applyBorder="1" applyAlignment="1">
      <alignment horizontal="center" vertical="center"/>
    </xf>
    <xf numFmtId="43" fontId="11" fillId="2" borderId="15" xfId="2" applyFont="1" applyFill="1" applyBorder="1" applyAlignment="1">
      <alignment horizontal="center" vertical="center"/>
    </xf>
    <xf numFmtId="0" fontId="0" fillId="4" borderId="15" xfId="0" applyFont="1" applyFill="1" applyBorder="1" applyAlignment="1">
      <alignment horizontal="center" vertical="center"/>
    </xf>
    <xf numFmtId="2" fontId="11" fillId="0" borderId="15" xfId="2" applyNumberFormat="1" applyFont="1" applyBorder="1" applyAlignment="1">
      <alignment horizontal="center" vertical="center"/>
    </xf>
    <xf numFmtId="2" fontId="0" fillId="2" borderId="16" xfId="2" applyNumberFormat="1" applyFont="1" applyFill="1" applyBorder="1" applyAlignment="1">
      <alignment horizontal="center" vertical="center" wrapText="1"/>
    </xf>
    <xf numFmtId="0" fontId="7" fillId="4" borderId="15" xfId="2" applyNumberFormat="1" applyFont="1" applyFill="1" applyBorder="1" applyAlignment="1">
      <alignment horizontal="center" vertical="center"/>
    </xf>
    <xf numFmtId="43" fontId="11" fillId="0" borderId="15" xfId="2" quotePrefix="1" applyFont="1" applyBorder="1" applyAlignment="1">
      <alignment horizontal="center" vertical="center"/>
    </xf>
    <xf numFmtId="0" fontId="2" fillId="4" borderId="15" xfId="0" applyFont="1" applyFill="1" applyBorder="1" applyAlignment="1">
      <alignment horizontal="center" vertical="center"/>
    </xf>
    <xf numFmtId="0" fontId="0" fillId="0" borderId="15" xfId="0" applyNumberFormat="1" applyFont="1" applyBorder="1" applyAlignment="1">
      <alignment horizontal="center" vertical="center"/>
    </xf>
    <xf numFmtId="0" fontId="0" fillId="2" borderId="15" xfId="0" applyNumberFormat="1" applyFont="1" applyFill="1" applyBorder="1" applyAlignment="1">
      <alignment horizontal="center" vertical="center"/>
    </xf>
    <xf numFmtId="2" fontId="2" fillId="0" borderId="16" xfId="2" applyNumberFormat="1" applyFont="1" applyBorder="1" applyAlignment="1">
      <alignment horizontal="center" vertical="center" wrapText="1"/>
    </xf>
    <xf numFmtId="2" fontId="0" fillId="0" borderId="16" xfId="2" applyNumberFormat="1" applyFont="1" applyBorder="1" applyAlignment="1">
      <alignment horizontal="center"/>
    </xf>
    <xf numFmtId="2" fontId="11" fillId="0" borderId="16" xfId="2" applyNumberFormat="1" applyFont="1" applyBorder="1" applyAlignment="1">
      <alignment horizontal="center" wrapText="1"/>
    </xf>
    <xf numFmtId="2" fontId="7" fillId="0" borderId="16" xfId="2" applyNumberFormat="1" applyFont="1" applyBorder="1" applyAlignment="1">
      <alignment horizontal="center" vertical="center" wrapText="1"/>
    </xf>
    <xf numFmtId="2" fontId="0" fillId="0" borderId="16" xfId="0" applyNumberFormat="1" applyFont="1" applyBorder="1" applyAlignment="1">
      <alignment horizontal="center" vertical="center"/>
    </xf>
    <xf numFmtId="2" fontId="0" fillId="2" borderId="16" xfId="0" applyNumberFormat="1" applyFont="1" applyFill="1" applyBorder="1" applyAlignment="1">
      <alignment horizontal="center" vertical="center"/>
    </xf>
    <xf numFmtId="2" fontId="11" fillId="2" borderId="16" xfId="0" applyNumberFormat="1" applyFont="1" applyFill="1" applyBorder="1" applyAlignment="1">
      <alignment horizontal="center" vertical="center"/>
    </xf>
    <xf numFmtId="0" fontId="11" fillId="0" borderId="15" xfId="0" applyFont="1" applyBorder="1" applyAlignment="1">
      <alignment horizontal="center" vertical="center"/>
    </xf>
    <xf numFmtId="43" fontId="0" fillId="0" borderId="15" xfId="2" applyFont="1" applyBorder="1" applyAlignment="1">
      <alignment horizontal="center" vertical="center"/>
    </xf>
    <xf numFmtId="2" fontId="7" fillId="2" borderId="16" xfId="2" applyNumberFormat="1" applyFont="1" applyFill="1" applyBorder="1" applyAlignment="1">
      <alignment horizontal="center" vertical="center" wrapText="1"/>
    </xf>
    <xf numFmtId="0" fontId="0" fillId="2" borderId="15" xfId="0" applyFill="1" applyBorder="1"/>
    <xf numFmtId="0" fontId="11" fillId="2" borderId="15" xfId="0" applyFont="1" applyFill="1" applyBorder="1" applyAlignment="1">
      <alignment horizontal="center" vertical="center"/>
    </xf>
    <xf numFmtId="0" fontId="0" fillId="0" borderId="15" xfId="0" applyFont="1" applyBorder="1" applyAlignment="1">
      <alignment horizontal="center" vertical="center" wrapText="1"/>
    </xf>
    <xf numFmtId="0" fontId="2" fillId="0" borderId="15" xfId="0" applyFont="1" applyBorder="1" applyAlignment="1">
      <alignment horizontal="right"/>
    </xf>
    <xf numFmtId="2" fontId="2" fillId="0" borderId="16" xfId="0" applyNumberFormat="1" applyFont="1" applyBorder="1" applyAlignment="1">
      <alignment horizontal="center" vertical="center"/>
    </xf>
    <xf numFmtId="0" fontId="2" fillId="2" borderId="15" xfId="0" applyFont="1" applyFill="1" applyBorder="1" applyAlignment="1">
      <alignment horizontal="center" vertical="center"/>
    </xf>
    <xf numFmtId="43" fontId="0" fillId="3" borderId="15" xfId="2" applyFont="1" applyFill="1" applyBorder="1" applyAlignment="1">
      <alignment horizontal="center" vertical="center"/>
    </xf>
    <xf numFmtId="0" fontId="0" fillId="3"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0" fillId="3" borderId="15" xfId="0" applyFont="1" applyFill="1" applyBorder="1" applyAlignment="1">
      <alignment horizontal="center" vertical="center"/>
    </xf>
    <xf numFmtId="0" fontId="0" fillId="3" borderId="15" xfId="0" applyFont="1" applyFill="1" applyBorder="1" applyAlignment="1">
      <alignment horizontal="center" vertical="center" wrapText="1"/>
    </xf>
    <xf numFmtId="43" fontId="7" fillId="2" borderId="1" xfId="2" applyFont="1" applyFill="1" applyBorder="1" applyAlignment="1">
      <alignment horizontal="left" vertical="top"/>
    </xf>
    <xf numFmtId="165" fontId="5" fillId="0" borderId="1" xfId="1" applyNumberFormat="1" applyFont="1" applyBorder="1" applyAlignment="1">
      <alignment horizontal="center" vertical="center"/>
    </xf>
    <xf numFmtId="2" fontId="0" fillId="2" borderId="16" xfId="2" applyNumberFormat="1" applyFont="1" applyFill="1" applyBorder="1" applyAlignment="1">
      <alignment horizontal="center" vertical="center"/>
    </xf>
    <xf numFmtId="2" fontId="0" fillId="0" borderId="16" xfId="2" applyNumberFormat="1" applyFont="1" applyBorder="1" applyAlignment="1">
      <alignment horizontal="center" vertical="center"/>
    </xf>
    <xf numFmtId="2" fontId="11" fillId="0" borderId="16" xfId="2" applyNumberFormat="1" applyFont="1" applyBorder="1" applyAlignment="1">
      <alignment horizontal="center" vertical="center" wrapText="1"/>
    </xf>
    <xf numFmtId="2" fontId="11" fillId="0" borderId="16" xfId="2" applyNumberFormat="1" applyFont="1" applyBorder="1" applyAlignment="1">
      <alignment horizontal="center" vertical="center"/>
    </xf>
    <xf numFmtId="2" fontId="0" fillId="2" borderId="16" xfId="0" applyNumberFormat="1" applyFont="1" applyFill="1" applyBorder="1" applyAlignment="1">
      <alignment horizontal="center" vertical="center" wrapText="1"/>
    </xf>
    <xf numFmtId="2" fontId="11" fillId="2" borderId="16" xfId="2" applyNumberFormat="1" applyFont="1" applyFill="1" applyBorder="1" applyAlignment="1">
      <alignment horizontal="center" vertical="center" wrapText="1"/>
    </xf>
    <xf numFmtId="2" fontId="0" fillId="0" borderId="16" xfId="0" applyNumberFormat="1" applyBorder="1" applyAlignment="1">
      <alignment horizontal="center"/>
    </xf>
    <xf numFmtId="2" fontId="0" fillId="0" borderId="0" xfId="0" applyNumberFormat="1"/>
    <xf numFmtId="2" fontId="3" fillId="0" borderId="1" xfId="0" applyNumberFormat="1" applyFont="1" applyBorder="1" applyAlignment="1">
      <alignment horizontal="center"/>
    </xf>
    <xf numFmtId="2" fontId="3" fillId="0" borderId="1" xfId="0" applyNumberFormat="1" applyFont="1" applyBorder="1" applyAlignment="1">
      <alignment horizontal="center" vertical="center"/>
    </xf>
    <xf numFmtId="2" fontId="0" fillId="0" borderId="13" xfId="0" applyNumberFormat="1" applyBorder="1"/>
    <xf numFmtId="2" fontId="0" fillId="3" borderId="16" xfId="2" applyNumberFormat="1" applyFont="1" applyFill="1" applyBorder="1" applyAlignment="1">
      <alignment horizontal="center" vertical="center"/>
    </xf>
    <xf numFmtId="2" fontId="0" fillId="3" borderId="16" xfId="0" applyNumberFormat="1" applyFont="1" applyFill="1" applyBorder="1" applyAlignment="1">
      <alignment horizontal="left" vertical="center"/>
    </xf>
    <xf numFmtId="2" fontId="0" fillId="3" borderId="16" xfId="0" applyNumberFormat="1" applyFont="1" applyFill="1" applyBorder="1" applyAlignment="1">
      <alignment horizontal="center" vertical="center"/>
    </xf>
    <xf numFmtId="2" fontId="0" fillId="3" borderId="16" xfId="2" applyNumberFormat="1" applyFont="1" applyFill="1" applyBorder="1" applyAlignment="1">
      <alignment horizontal="center" vertical="center" wrapText="1"/>
    </xf>
    <xf numFmtId="2" fontId="0" fillId="3" borderId="16" xfId="0" applyNumberFormat="1" applyFont="1" applyFill="1" applyBorder="1" applyAlignment="1">
      <alignment horizontal="left" vertical="center" wrapText="1"/>
    </xf>
    <xf numFmtId="2" fontId="0" fillId="3" borderId="16" xfId="0" applyNumberFormat="1" applyFont="1" applyFill="1" applyBorder="1" applyAlignment="1">
      <alignment horizontal="center"/>
    </xf>
    <xf numFmtId="2" fontId="0" fillId="0" borderId="22" xfId="0" applyNumberFormat="1" applyBorder="1" applyAlignment="1">
      <alignment horizontal="left"/>
    </xf>
    <xf numFmtId="0" fontId="0" fillId="0" borderId="22" xfId="0" applyBorder="1" applyAlignment="1">
      <alignment horizontal="left"/>
    </xf>
    <xf numFmtId="0" fontId="3" fillId="0" borderId="22" xfId="0" applyFont="1" applyBorder="1" applyAlignment="1">
      <alignment horizontal="right"/>
    </xf>
    <xf numFmtId="2" fontId="3" fillId="0" borderId="0" xfId="0" applyNumberFormat="1" applyFont="1" applyBorder="1" applyAlignment="1">
      <alignment horizontal="right"/>
    </xf>
    <xf numFmtId="0" fontId="3" fillId="0" borderId="0" xfId="0" applyFont="1" applyBorder="1" applyAlignment="1">
      <alignment horizontal="right"/>
    </xf>
    <xf numFmtId="0" fontId="8" fillId="2" borderId="0" xfId="0" applyFont="1" applyFill="1" applyBorder="1" applyAlignment="1">
      <alignment horizontal="center" vertical="center"/>
    </xf>
    <xf numFmtId="0" fontId="0" fillId="0" borderId="0" xfId="0" applyBorder="1"/>
    <xf numFmtId="165" fontId="0" fillId="0" borderId="0" xfId="1" applyNumberFormat="1" applyFont="1" applyBorder="1"/>
    <xf numFmtId="0" fontId="0" fillId="0" borderId="0" xfId="0" applyBorder="1" applyAlignment="1">
      <alignment horizontal="center"/>
    </xf>
    <xf numFmtId="0" fontId="0" fillId="0" borderId="0" xfId="0" applyBorder="1" applyAlignment="1">
      <alignment horizontal="left" wrapText="1"/>
    </xf>
    <xf numFmtId="2" fontId="0" fillId="0" borderId="0" xfId="0" applyNumberFormat="1" applyBorder="1"/>
    <xf numFmtId="0" fontId="12" fillId="0" borderId="0" xfId="0" applyNumberFormat="1" applyFont="1" applyBorder="1" applyAlignment="1">
      <alignment horizontal="center"/>
    </xf>
    <xf numFmtId="2" fontId="6" fillId="2" borderId="22" xfId="0" applyNumberFormat="1" applyFont="1" applyFill="1" applyBorder="1" applyAlignment="1">
      <alignment vertical="center"/>
    </xf>
    <xf numFmtId="2" fontId="6" fillId="2" borderId="0" xfId="0" applyNumberFormat="1" applyFont="1" applyFill="1" applyBorder="1" applyAlignment="1">
      <alignment vertical="center"/>
    </xf>
    <xf numFmtId="2" fontId="6" fillId="2" borderId="27" xfId="0" applyNumberFormat="1" applyFont="1" applyFill="1" applyBorder="1" applyAlignment="1">
      <alignment vertical="center"/>
    </xf>
    <xf numFmtId="2" fontId="6" fillId="2" borderId="10" xfId="0" applyNumberFormat="1" applyFont="1" applyFill="1" applyBorder="1" applyAlignment="1">
      <alignment vertical="center"/>
    </xf>
    <xf numFmtId="2" fontId="6" fillId="2" borderId="12" xfId="0" applyNumberFormat="1" applyFont="1" applyFill="1" applyBorder="1" applyAlignment="1">
      <alignment vertical="center"/>
    </xf>
    <xf numFmtId="2" fontId="6" fillId="2" borderId="13" xfId="0" applyNumberFormat="1" applyFont="1" applyFill="1" applyBorder="1" applyAlignment="1">
      <alignment vertical="center"/>
    </xf>
    <xf numFmtId="2" fontId="3" fillId="0" borderId="13" xfId="0" applyNumberFormat="1" applyFont="1" applyBorder="1" applyAlignment="1">
      <alignment horizontal="right"/>
    </xf>
    <xf numFmtId="0" fontId="3" fillId="0" borderId="13" xfId="0" applyFont="1" applyBorder="1" applyAlignment="1">
      <alignment horizontal="right"/>
    </xf>
    <xf numFmtId="0" fontId="3" fillId="0" borderId="13" xfId="0" applyFont="1" applyBorder="1" applyAlignment="1">
      <alignment horizontal="center"/>
    </xf>
    <xf numFmtId="0" fontId="8" fillId="2" borderId="0" xfId="0" applyFont="1" applyFill="1" applyBorder="1" applyAlignment="1">
      <alignment vertical="center" wrapText="1"/>
    </xf>
    <xf numFmtId="0" fontId="8" fillId="2" borderId="0" xfId="0" applyFont="1" applyFill="1" applyBorder="1" applyAlignment="1">
      <alignment horizontal="center" wrapText="1"/>
    </xf>
    <xf numFmtId="0" fontId="0" fillId="0" borderId="0" xfId="0" applyBorder="1" applyAlignment="1">
      <alignment horizontal="center" wrapText="1"/>
    </xf>
    <xf numFmtId="0" fontId="16" fillId="2" borderId="0" xfId="0" applyFont="1" applyFill="1" applyBorder="1" applyAlignment="1">
      <alignment horizontal="center" vertical="center" wrapText="1"/>
    </xf>
    <xf numFmtId="0" fontId="9" fillId="0" borderId="15" xfId="0" applyNumberFormat="1" applyFont="1" applyBorder="1" applyAlignment="1">
      <alignment horizontal="center"/>
    </xf>
    <xf numFmtId="165" fontId="3" fillId="0" borderId="16" xfId="1" applyNumberFormat="1" applyFont="1" applyBorder="1" applyAlignment="1">
      <alignment horizontal="center"/>
    </xf>
    <xf numFmtId="0" fontId="3" fillId="2" borderId="15" xfId="0" applyNumberFormat="1" applyFont="1" applyFill="1" applyBorder="1" applyAlignment="1">
      <alignment horizontal="center" vertical="center"/>
    </xf>
    <xf numFmtId="165" fontId="3" fillId="0" borderId="16" xfId="1" applyNumberFormat="1" applyFont="1" applyBorder="1" applyAlignment="1">
      <alignment horizontal="center" vertical="center"/>
    </xf>
    <xf numFmtId="0" fontId="5" fillId="2" borderId="15" xfId="0" applyNumberFormat="1" applyFont="1" applyFill="1" applyBorder="1" applyAlignment="1">
      <alignment horizontal="center" vertical="center"/>
    </xf>
    <xf numFmtId="0" fontId="5" fillId="0" borderId="15" xfId="0" applyNumberFormat="1" applyFont="1" applyBorder="1" applyAlignment="1">
      <alignment horizontal="center" vertical="center"/>
    </xf>
    <xf numFmtId="0" fontId="3" fillId="0" borderId="15" xfId="0" applyNumberFormat="1" applyFont="1" applyBorder="1" applyAlignment="1">
      <alignment horizontal="center" vertical="center"/>
    </xf>
    <xf numFmtId="0" fontId="5" fillId="0" borderId="15" xfId="1" applyNumberFormat="1" applyFont="1" applyBorder="1" applyAlignment="1">
      <alignment horizontal="center" vertical="center"/>
    </xf>
    <xf numFmtId="0" fontId="5" fillId="0" borderId="15" xfId="1" applyNumberFormat="1" applyFont="1" applyBorder="1" applyAlignment="1">
      <alignment horizontal="center"/>
    </xf>
    <xf numFmtId="0" fontId="0" fillId="0" borderId="15" xfId="0" applyNumberFormat="1" applyFont="1" applyBorder="1" applyAlignment="1">
      <alignment horizontal="center"/>
    </xf>
    <xf numFmtId="0" fontId="5" fillId="0" borderId="15" xfId="0" applyNumberFormat="1" applyFont="1" applyBorder="1" applyAlignment="1">
      <alignment horizontal="center"/>
    </xf>
    <xf numFmtId="0" fontId="8" fillId="2" borderId="11" xfId="0" applyFont="1" applyFill="1" applyBorder="1" applyAlignment="1">
      <alignment horizontal="center" vertical="center"/>
    </xf>
    <xf numFmtId="0" fontId="8" fillId="2" borderId="10" xfId="0" applyFont="1" applyFill="1" applyBorder="1" applyAlignment="1">
      <alignment vertical="center" wrapText="1"/>
    </xf>
    <xf numFmtId="165" fontId="0" fillId="0" borderId="11" xfId="1" applyNumberFormat="1" applyFont="1" applyBorder="1"/>
    <xf numFmtId="0" fontId="12" fillId="0" borderId="10" xfId="0" applyNumberFormat="1" applyFont="1" applyBorder="1" applyAlignment="1">
      <alignment horizontal="center"/>
    </xf>
    <xf numFmtId="165" fontId="0" fillId="0" borderId="13" xfId="1" applyNumberFormat="1" applyFont="1" applyBorder="1"/>
    <xf numFmtId="165" fontId="0" fillId="0" borderId="14" xfId="1" applyNumberFormat="1" applyFont="1" applyBorder="1"/>
    <xf numFmtId="165" fontId="3" fillId="0" borderId="31" xfId="1" applyNumberFormat="1" applyFont="1" applyBorder="1" applyAlignment="1">
      <alignment horizontal="right"/>
    </xf>
    <xf numFmtId="165" fontId="3" fillId="0" borderId="6" xfId="1" applyNumberFormat="1" applyFont="1" applyBorder="1" applyAlignment="1">
      <alignment horizontal="right"/>
    </xf>
    <xf numFmtId="165" fontId="3" fillId="0" borderId="15" xfId="1" applyNumberFormat="1" applyFont="1" applyBorder="1" applyAlignment="1">
      <alignment horizontal="right"/>
    </xf>
    <xf numFmtId="165" fontId="3" fillId="0" borderId="1" xfId="1" applyNumberFormat="1" applyFont="1" applyBorder="1" applyAlignment="1">
      <alignment horizontal="right"/>
    </xf>
    <xf numFmtId="0" fontId="9" fillId="3" borderId="21" xfId="0" applyFont="1" applyFill="1" applyBorder="1" applyAlignment="1">
      <alignment horizontal="left" vertical="center"/>
    </xf>
    <xf numFmtId="0" fontId="9" fillId="3" borderId="3" xfId="0" applyFont="1" applyFill="1" applyBorder="1" applyAlignment="1">
      <alignment horizontal="left" vertical="center"/>
    </xf>
    <xf numFmtId="0" fontId="9" fillId="3" borderId="17" xfId="0" applyFont="1" applyFill="1" applyBorder="1" applyAlignment="1">
      <alignment horizontal="left" vertical="center"/>
    </xf>
    <xf numFmtId="0" fontId="18" fillId="0" borderId="29" xfId="0" applyFont="1" applyBorder="1" applyAlignment="1">
      <alignment horizontal="center" vertical="center"/>
    </xf>
    <xf numFmtId="0" fontId="18" fillId="0" borderId="23" xfId="0" applyFont="1" applyBorder="1" applyAlignment="1">
      <alignment horizontal="center" vertical="center"/>
    </xf>
    <xf numFmtId="0" fontId="18" fillId="0" borderId="30" xfId="0" applyFont="1" applyBorder="1" applyAlignment="1">
      <alignment horizontal="center" vertical="center"/>
    </xf>
    <xf numFmtId="0" fontId="4" fillId="0" borderId="0" xfId="0" applyFont="1" applyFill="1" applyBorder="1" applyAlignment="1">
      <alignment horizontal="center" wrapText="1"/>
    </xf>
    <xf numFmtId="0" fontId="18" fillId="0" borderId="10" xfId="0" applyFont="1" applyBorder="1" applyAlignment="1">
      <alignment horizontal="center" vertical="center"/>
    </xf>
    <xf numFmtId="0" fontId="18" fillId="0" borderId="0" xfId="0" applyFont="1" applyBorder="1" applyAlignment="1">
      <alignment horizontal="center" vertical="center"/>
    </xf>
    <xf numFmtId="0" fontId="18" fillId="0" borderId="11"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3" fillId="0" borderId="15" xfId="0" applyFont="1" applyBorder="1" applyAlignment="1">
      <alignment horizontal="right" vertical="center"/>
    </xf>
    <xf numFmtId="0" fontId="3" fillId="0" borderId="1" xfId="0" applyFont="1" applyBorder="1" applyAlignment="1">
      <alignment horizontal="right" vertical="center"/>
    </xf>
    <xf numFmtId="0" fontId="9" fillId="3" borderId="15" xfId="0" applyFont="1" applyFill="1" applyBorder="1" applyAlignment="1">
      <alignment horizontal="left" vertical="center"/>
    </xf>
    <xf numFmtId="0" fontId="9" fillId="3" borderId="1" xfId="0" applyFont="1" applyFill="1" applyBorder="1" applyAlignment="1">
      <alignment horizontal="left" vertical="center"/>
    </xf>
    <xf numFmtId="0" fontId="9" fillId="3" borderId="16" xfId="0" applyFont="1" applyFill="1" applyBorder="1" applyAlignment="1">
      <alignment horizontal="left" vertical="center"/>
    </xf>
    <xf numFmtId="0" fontId="10" fillId="3" borderId="24" xfId="0" applyFont="1" applyFill="1" applyBorder="1" applyAlignment="1">
      <alignment horizontal="center" vertical="center"/>
    </xf>
    <xf numFmtId="0" fontId="10" fillId="3" borderId="25" xfId="0" applyFont="1" applyFill="1" applyBorder="1" applyAlignment="1">
      <alignment horizontal="center" vertical="center"/>
    </xf>
    <xf numFmtId="0" fontId="10" fillId="3" borderId="26" xfId="0" applyFont="1" applyFill="1" applyBorder="1" applyAlignment="1">
      <alignment horizontal="center" vertical="center"/>
    </xf>
    <xf numFmtId="0" fontId="16" fillId="2" borderId="0" xfId="0" applyFont="1" applyFill="1" applyBorder="1" applyAlignment="1">
      <alignment horizontal="center" vertical="center" wrapText="1"/>
    </xf>
    <xf numFmtId="165" fontId="0" fillId="0" borderId="0" xfId="1" applyNumberFormat="1" applyFont="1" applyBorder="1" applyAlignment="1">
      <alignment horizontal="center"/>
    </xf>
    <xf numFmtId="0" fontId="8" fillId="2" borderId="0" xfId="0" applyFont="1" applyFill="1" applyBorder="1" applyAlignment="1">
      <alignment horizontal="center"/>
    </xf>
    <xf numFmtId="0" fontId="3" fillId="0" borderId="2" xfId="0" applyFont="1" applyBorder="1" applyAlignment="1">
      <alignment horizontal="center"/>
    </xf>
    <xf numFmtId="0" fontId="3" fillId="0" borderId="4" xfId="0" applyFont="1" applyBorder="1" applyAlignment="1">
      <alignment horizontal="center"/>
    </xf>
    <xf numFmtId="2" fontId="0" fillId="0" borderId="1" xfId="2" applyNumberFormat="1" applyFont="1" applyBorder="1" applyAlignment="1">
      <alignment horizontal="center" vertical="center"/>
    </xf>
    <xf numFmtId="2" fontId="0" fillId="0" borderId="16" xfId="2" applyNumberFormat="1" applyFont="1" applyBorder="1" applyAlignment="1">
      <alignment horizontal="center" vertical="center"/>
    </xf>
    <xf numFmtId="0" fontId="2" fillId="2" borderId="1" xfId="0" applyFont="1" applyFill="1" applyBorder="1" applyAlignment="1">
      <alignment horizontal="left" vertical="center"/>
    </xf>
    <xf numFmtId="0" fontId="2" fillId="2" borderId="16" xfId="0" applyFont="1" applyFill="1" applyBorder="1" applyAlignment="1">
      <alignment horizontal="left" vertical="center"/>
    </xf>
    <xf numFmtId="43" fontId="2" fillId="0" borderId="1" xfId="2" applyFont="1" applyBorder="1" applyAlignment="1">
      <alignment horizontal="right"/>
    </xf>
    <xf numFmtId="2" fontId="11" fillId="0" borderId="1" xfId="2" applyNumberFormat="1" applyFont="1" applyBorder="1" applyAlignment="1">
      <alignment horizontal="center" vertical="center"/>
    </xf>
    <xf numFmtId="2" fontId="11" fillId="0" borderId="16" xfId="2" applyNumberFormat="1" applyFont="1" applyBorder="1" applyAlignment="1">
      <alignment horizontal="center" vertical="center"/>
    </xf>
    <xf numFmtId="2" fontId="0" fillId="2" borderId="1" xfId="2" applyNumberFormat="1" applyFont="1" applyFill="1" applyBorder="1" applyAlignment="1">
      <alignment horizontal="center" vertical="center"/>
    </xf>
    <xf numFmtId="2" fontId="0" fillId="2" borderId="16" xfId="2" applyNumberFormat="1" applyFont="1" applyFill="1" applyBorder="1" applyAlignment="1">
      <alignment horizontal="center" vertical="center"/>
    </xf>
    <xf numFmtId="0" fontId="0" fillId="3" borderId="1" xfId="0" applyFont="1" applyFill="1" applyBorder="1" applyAlignment="1">
      <alignment horizontal="center" wrapText="1"/>
    </xf>
    <xf numFmtId="0" fontId="0" fillId="3" borderId="16" xfId="0" applyFont="1" applyFill="1" applyBorder="1" applyAlignment="1">
      <alignment horizontal="center" wrapText="1"/>
    </xf>
    <xf numFmtId="0" fontId="2" fillId="4" borderId="5" xfId="0" applyFont="1" applyFill="1" applyBorder="1" applyAlignment="1">
      <alignment horizontal="left" vertical="center" wrapText="1"/>
    </xf>
    <xf numFmtId="0" fontId="2" fillId="4" borderId="19" xfId="0" applyFont="1" applyFill="1" applyBorder="1" applyAlignment="1">
      <alignment horizontal="left" vertical="center" wrapText="1"/>
    </xf>
    <xf numFmtId="0" fontId="15" fillId="0" borderId="32" xfId="0" applyFont="1" applyBorder="1" applyAlignment="1">
      <alignment horizontal="center"/>
    </xf>
    <xf numFmtId="0" fontId="15" fillId="0" borderId="33" xfId="0" applyFont="1" applyBorder="1" applyAlignment="1">
      <alignment horizontal="center"/>
    </xf>
    <xf numFmtId="0" fontId="15" fillId="0" borderId="34" xfId="0" applyFont="1" applyBorder="1" applyAlignment="1">
      <alignment horizontal="center"/>
    </xf>
    <xf numFmtId="0" fontId="14" fillId="0" borderId="35" xfId="0" applyFont="1" applyBorder="1" applyAlignment="1">
      <alignment horizontal="center"/>
    </xf>
    <xf numFmtId="0" fontId="14" fillId="0" borderId="36" xfId="0" applyFont="1" applyBorder="1" applyAlignment="1">
      <alignment horizontal="center"/>
    </xf>
    <xf numFmtId="0" fontId="14" fillId="0" borderId="37" xfId="0" applyFont="1" applyBorder="1" applyAlignment="1">
      <alignment horizontal="center"/>
    </xf>
    <xf numFmtId="0" fontId="14" fillId="0" borderId="18" xfId="0" applyFont="1" applyBorder="1" applyAlignment="1">
      <alignment horizontal="center"/>
    </xf>
    <xf numFmtId="0" fontId="14" fillId="0" borderId="5" xfId="0" applyFont="1" applyBorder="1" applyAlignment="1">
      <alignment horizontal="center"/>
    </xf>
    <xf numFmtId="0" fontId="14" fillId="0" borderId="19" xfId="0" applyFont="1" applyBorder="1" applyAlignment="1">
      <alignment horizontal="center"/>
    </xf>
    <xf numFmtId="0" fontId="2" fillId="4" borderId="1" xfId="0" applyFont="1" applyFill="1" applyBorder="1" applyAlignment="1">
      <alignment horizontal="left" vertical="center" wrapText="1"/>
    </xf>
    <xf numFmtId="0" fontId="2" fillId="4" borderId="16" xfId="0" applyFont="1" applyFill="1" applyBorder="1" applyAlignment="1">
      <alignment horizontal="left" vertical="center" wrapText="1"/>
    </xf>
    <xf numFmtId="2" fontId="0" fillId="0" borderId="1" xfId="0" applyNumberFormat="1" applyFont="1" applyBorder="1" applyAlignment="1">
      <alignment horizontal="center" wrapText="1"/>
    </xf>
    <xf numFmtId="2" fontId="0" fillId="0" borderId="16" xfId="0" applyNumberFormat="1" applyFont="1" applyBorder="1" applyAlignment="1">
      <alignment horizontal="center" wrapText="1"/>
    </xf>
    <xf numFmtId="2" fontId="0" fillId="0" borderId="1" xfId="0" applyNumberFormat="1" applyBorder="1" applyAlignment="1">
      <alignment horizontal="center"/>
    </xf>
    <xf numFmtId="2" fontId="0" fillId="0" borderId="16" xfId="0" applyNumberFormat="1" applyBorder="1" applyAlignment="1">
      <alignment horizontal="center"/>
    </xf>
    <xf numFmtId="43" fontId="7" fillId="2" borderId="2" xfId="2" applyFont="1" applyFill="1" applyBorder="1" applyAlignment="1">
      <alignment horizontal="right"/>
    </xf>
    <xf numFmtId="43" fontId="7" fillId="2" borderId="3" xfId="2" applyFont="1" applyFill="1" applyBorder="1" applyAlignment="1">
      <alignment horizontal="right"/>
    </xf>
    <xf numFmtId="43" fontId="7" fillId="2" borderId="4" xfId="2" applyFont="1" applyFill="1" applyBorder="1" applyAlignment="1">
      <alignment horizontal="right"/>
    </xf>
    <xf numFmtId="43" fontId="7" fillId="2" borderId="1" xfId="2" applyFont="1" applyFill="1" applyBorder="1" applyAlignment="1">
      <alignment horizontal="right"/>
    </xf>
    <xf numFmtId="43" fontId="7" fillId="0" borderId="1" xfId="2" applyFont="1" applyBorder="1" applyAlignment="1">
      <alignment horizontal="right"/>
    </xf>
    <xf numFmtId="0" fontId="7" fillId="0" borderId="2" xfId="2" applyNumberFormat="1" applyFont="1" applyBorder="1" applyAlignment="1">
      <alignment horizontal="left" vertical="center"/>
    </xf>
    <xf numFmtId="0" fontId="7" fillId="0" borderId="3" xfId="2" applyNumberFormat="1" applyFont="1" applyBorder="1" applyAlignment="1">
      <alignment horizontal="left" vertical="center"/>
    </xf>
    <xf numFmtId="0" fontId="7" fillId="0" borderId="17" xfId="2" applyNumberFormat="1" applyFont="1" applyBorder="1" applyAlignment="1">
      <alignment horizontal="left" vertical="center"/>
    </xf>
    <xf numFmtId="0" fontId="2" fillId="0" borderId="1" xfId="0" applyFont="1" applyBorder="1" applyAlignment="1">
      <alignment horizontal="right" vertical="center" wrapText="1"/>
    </xf>
    <xf numFmtId="0" fontId="2" fillId="0" borderId="1" xfId="0" applyNumberFormat="1" applyFont="1" applyBorder="1" applyAlignment="1">
      <alignment horizontal="left" vertical="center" wrapText="1"/>
    </xf>
    <xf numFmtId="0" fontId="2" fillId="0" borderId="16" xfId="0" applyNumberFormat="1" applyFont="1" applyBorder="1" applyAlignment="1">
      <alignment horizontal="left" vertical="center" wrapText="1"/>
    </xf>
    <xf numFmtId="0" fontId="7" fillId="0" borderId="1" xfId="2" applyNumberFormat="1" applyFont="1" applyBorder="1" applyAlignment="1">
      <alignment horizontal="right" wrapText="1"/>
    </xf>
    <xf numFmtId="0" fontId="2" fillId="2" borderId="1" xfId="2" applyNumberFormat="1" applyFont="1" applyFill="1" applyBorder="1" applyAlignment="1">
      <alignment horizontal="left" vertical="center"/>
    </xf>
    <xf numFmtId="0" fontId="2" fillId="2" borderId="16" xfId="2" applyNumberFormat="1" applyFont="1" applyFill="1" applyBorder="1" applyAlignment="1">
      <alignment horizontal="left" vertical="center"/>
    </xf>
    <xf numFmtId="0" fontId="11" fillId="0" borderId="1" xfId="2" applyNumberFormat="1" applyFont="1" applyBorder="1" applyAlignment="1">
      <alignment horizontal="left" vertical="center" wrapText="1"/>
    </xf>
    <xf numFmtId="0" fontId="11" fillId="0" borderId="16" xfId="2" applyNumberFormat="1" applyFont="1" applyBorder="1" applyAlignment="1">
      <alignment horizontal="left" vertical="center" wrapText="1"/>
    </xf>
    <xf numFmtId="43" fontId="2" fillId="0" borderId="2" xfId="2" applyFont="1" applyBorder="1" applyAlignment="1">
      <alignment horizontal="right"/>
    </xf>
    <xf numFmtId="43" fontId="2" fillId="0" borderId="3" xfId="2" applyFont="1" applyBorder="1" applyAlignment="1">
      <alignment horizontal="right"/>
    </xf>
    <xf numFmtId="43" fontId="2" fillId="0" borderId="4" xfId="2" applyFont="1" applyBorder="1" applyAlignment="1">
      <alignment horizontal="right"/>
    </xf>
    <xf numFmtId="0" fontId="2" fillId="0" borderId="2" xfId="0" applyFont="1" applyBorder="1" applyAlignment="1">
      <alignment horizontal="right" wrapText="1"/>
    </xf>
    <xf numFmtId="0" fontId="2" fillId="0" borderId="3" xfId="0" applyFont="1" applyBorder="1" applyAlignment="1">
      <alignment horizontal="right" wrapText="1"/>
    </xf>
    <xf numFmtId="0" fontId="7" fillId="0" borderId="1" xfId="0" applyFont="1" applyBorder="1" applyAlignment="1">
      <alignment horizontal="right" vertical="center"/>
    </xf>
    <xf numFmtId="2" fontId="0" fillId="0" borderId="2" xfId="0" applyNumberFormat="1" applyBorder="1" applyAlignment="1">
      <alignment horizontal="center"/>
    </xf>
    <xf numFmtId="2" fontId="0" fillId="0" borderId="3" xfId="0" applyNumberFormat="1" applyBorder="1" applyAlignment="1">
      <alignment horizontal="center"/>
    </xf>
    <xf numFmtId="2" fontId="0" fillId="0" borderId="17" xfId="0" applyNumberFormat="1" applyBorder="1" applyAlignment="1">
      <alignment horizontal="center"/>
    </xf>
    <xf numFmtId="2" fontId="11" fillId="2" borderId="1" xfId="2" applyNumberFormat="1" applyFont="1" applyFill="1" applyBorder="1" applyAlignment="1">
      <alignment horizontal="center" vertical="center"/>
    </xf>
    <xf numFmtId="2" fontId="11" fillId="2" borderId="16" xfId="2" applyNumberFormat="1" applyFont="1" applyFill="1" applyBorder="1" applyAlignment="1">
      <alignment horizontal="center"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17" xfId="0" applyFont="1" applyFill="1" applyBorder="1" applyAlignment="1">
      <alignment horizontal="left" vertical="center"/>
    </xf>
    <xf numFmtId="2" fontId="11" fillId="0" borderId="2" xfId="2" applyNumberFormat="1" applyFont="1" applyBorder="1" applyAlignment="1">
      <alignment horizontal="center" vertical="center"/>
    </xf>
    <xf numFmtId="2" fontId="11" fillId="0" borderId="3" xfId="2" applyNumberFormat="1" applyFont="1" applyBorder="1" applyAlignment="1">
      <alignment horizontal="center" vertical="center"/>
    </xf>
    <xf numFmtId="2" fontId="11" fillId="0" borderId="17" xfId="2" applyNumberFormat="1" applyFont="1" applyBorder="1" applyAlignment="1">
      <alignment horizontal="center" vertical="center"/>
    </xf>
    <xf numFmtId="2" fontId="11" fillId="0" borderId="2" xfId="2" applyNumberFormat="1" applyFont="1" applyBorder="1" applyAlignment="1">
      <alignment horizontal="center" vertical="center" wrapText="1"/>
    </xf>
    <xf numFmtId="2" fontId="11" fillId="0" borderId="3" xfId="2" applyNumberFormat="1" applyFont="1" applyBorder="1" applyAlignment="1">
      <alignment horizontal="center" vertical="center" wrapText="1"/>
    </xf>
    <xf numFmtId="2" fontId="11" fillId="0" borderId="17" xfId="2" applyNumberFormat="1" applyFont="1" applyBorder="1" applyAlignment="1">
      <alignment horizontal="center" vertical="center" wrapText="1"/>
    </xf>
    <xf numFmtId="0" fontId="0" fillId="2" borderId="1" xfId="0" applyFont="1" applyFill="1" applyBorder="1" applyAlignment="1">
      <alignment horizontal="center" wrapText="1"/>
    </xf>
    <xf numFmtId="0" fontId="0" fillId="2" borderId="16" xfId="0" applyFont="1" applyFill="1" applyBorder="1" applyAlignment="1">
      <alignment horizontal="center" wrapText="1"/>
    </xf>
    <xf numFmtId="43" fontId="7" fillId="0" borderId="4" xfId="2" applyFont="1" applyBorder="1" applyAlignment="1">
      <alignment horizontal="right"/>
    </xf>
    <xf numFmtId="0" fontId="2" fillId="0" borderId="1" xfId="2" applyNumberFormat="1" applyFont="1" applyBorder="1" applyAlignment="1">
      <alignment horizontal="right"/>
    </xf>
    <xf numFmtId="0" fontId="0" fillId="3" borderId="1" xfId="0" applyFont="1" applyFill="1" applyBorder="1" applyAlignment="1">
      <alignment horizontal="center" vertical="center" wrapText="1"/>
    </xf>
    <xf numFmtId="0" fontId="0" fillId="3" borderId="16" xfId="0" applyFont="1" applyFill="1" applyBorder="1" applyAlignment="1">
      <alignment horizontal="center" vertical="center" wrapText="1"/>
    </xf>
    <xf numFmtId="167" fontId="0" fillId="0" borderId="1" xfId="2" applyNumberFormat="1" applyFont="1" applyBorder="1" applyAlignment="1">
      <alignment horizontal="center" vertical="center"/>
    </xf>
    <xf numFmtId="167" fontId="0" fillId="0" borderId="16" xfId="2" applyNumberFormat="1" applyFont="1" applyBorder="1" applyAlignment="1">
      <alignment horizontal="center" vertical="center"/>
    </xf>
    <xf numFmtId="2" fontId="0" fillId="2" borderId="2" xfId="0" applyNumberFormat="1" applyFont="1" applyFill="1" applyBorder="1" applyAlignment="1">
      <alignment horizontal="center" vertical="center" wrapText="1"/>
    </xf>
    <xf numFmtId="2" fontId="0" fillId="2" borderId="3" xfId="0" applyNumberFormat="1" applyFont="1" applyFill="1" applyBorder="1" applyAlignment="1">
      <alignment horizontal="center" vertical="center" wrapText="1"/>
    </xf>
    <xf numFmtId="2" fontId="0" fillId="2" borderId="17" xfId="0" applyNumberFormat="1" applyFont="1" applyFill="1" applyBorder="1" applyAlignment="1">
      <alignment horizontal="center" vertical="center" wrapText="1"/>
    </xf>
    <xf numFmtId="2" fontId="11" fillId="0" borderId="1" xfId="2" applyNumberFormat="1" applyFont="1" applyBorder="1" applyAlignment="1">
      <alignment horizontal="center" vertical="center" wrapText="1"/>
    </xf>
    <xf numFmtId="2" fontId="11" fillId="0" borderId="16" xfId="2" applyNumberFormat="1" applyFont="1" applyBorder="1" applyAlignment="1">
      <alignment horizontal="center" vertical="center" wrapText="1"/>
    </xf>
    <xf numFmtId="2" fontId="0" fillId="2" borderId="1" xfId="0" applyNumberFormat="1" applyFont="1" applyFill="1" applyBorder="1" applyAlignment="1">
      <alignment horizontal="center" vertical="center" wrapText="1"/>
    </xf>
    <xf numFmtId="2" fontId="0" fillId="2" borderId="16" xfId="0" applyNumberFormat="1" applyFont="1" applyFill="1" applyBorder="1" applyAlignment="1">
      <alignment horizontal="center" vertical="center" wrapText="1"/>
    </xf>
    <xf numFmtId="2" fontId="11" fillId="2" borderId="1" xfId="2" applyNumberFormat="1" applyFont="1" applyFill="1" applyBorder="1" applyAlignment="1">
      <alignment horizontal="center" vertical="center" wrapText="1"/>
    </xf>
    <xf numFmtId="2" fontId="11" fillId="2" borderId="16" xfId="2" applyNumberFormat="1" applyFont="1" applyFill="1" applyBorder="1" applyAlignment="1">
      <alignment horizontal="center" vertical="center" wrapText="1"/>
    </xf>
    <xf numFmtId="0" fontId="11" fillId="0" borderId="2" xfId="2" applyNumberFormat="1" applyFont="1" applyBorder="1" applyAlignment="1">
      <alignment horizontal="left" vertical="center" wrapText="1"/>
    </xf>
    <xf numFmtId="0" fontId="11" fillId="0" borderId="3" xfId="2" applyNumberFormat="1" applyFont="1" applyBorder="1" applyAlignment="1">
      <alignment horizontal="left" vertical="center" wrapText="1"/>
    </xf>
    <xf numFmtId="0" fontId="11" fillId="0" borderId="17" xfId="2" applyNumberFormat="1" applyFont="1" applyBorder="1" applyAlignment="1">
      <alignment horizontal="left" vertical="center" wrapText="1"/>
    </xf>
    <xf numFmtId="0" fontId="7" fillId="2" borderId="1" xfId="2" applyNumberFormat="1" applyFont="1" applyFill="1" applyBorder="1" applyAlignment="1">
      <alignment horizontal="left" wrapText="1"/>
    </xf>
    <xf numFmtId="0" fontId="7" fillId="2" borderId="16" xfId="2" applyNumberFormat="1" applyFont="1" applyFill="1" applyBorder="1" applyAlignment="1">
      <alignment horizontal="left" wrapText="1"/>
    </xf>
    <xf numFmtId="43" fontId="2" fillId="0" borderId="1" xfId="2" applyFont="1" applyBorder="1" applyAlignment="1">
      <alignment horizontal="right" vertical="center"/>
    </xf>
    <xf numFmtId="0" fontId="2" fillId="4" borderId="1" xfId="0" applyFont="1" applyFill="1" applyBorder="1" applyAlignment="1">
      <alignment horizontal="left" wrapText="1"/>
    </xf>
    <xf numFmtId="0" fontId="2" fillId="4" borderId="16" xfId="0" applyFont="1" applyFill="1" applyBorder="1" applyAlignment="1">
      <alignment horizontal="left" wrapText="1"/>
    </xf>
    <xf numFmtId="43" fontId="7" fillId="0" borderId="1" xfId="2" applyFont="1" applyBorder="1" applyAlignment="1">
      <alignment horizontal="center"/>
    </xf>
    <xf numFmtId="43" fontId="7" fillId="0" borderId="16" xfId="2" applyFont="1" applyBorder="1" applyAlignment="1">
      <alignment horizontal="center"/>
    </xf>
    <xf numFmtId="0" fontId="2" fillId="0" borderId="15" xfId="0" applyNumberFormat="1" applyFont="1" applyBorder="1" applyAlignment="1">
      <alignment horizontal="right" vertical="center"/>
    </xf>
    <xf numFmtId="0" fontId="2" fillId="0" borderId="1" xfId="0" applyNumberFormat="1" applyFont="1" applyBorder="1" applyAlignment="1">
      <alignment horizontal="right" vertical="center"/>
    </xf>
    <xf numFmtId="0" fontId="2" fillId="0" borderId="1" xfId="0" applyFont="1" applyBorder="1" applyAlignment="1">
      <alignment horizontal="right" wrapText="1"/>
    </xf>
    <xf numFmtId="0" fontId="0" fillId="2" borderId="1" xfId="2" applyNumberFormat="1" applyFont="1" applyFill="1" applyBorder="1" applyAlignment="1">
      <alignment horizontal="left" vertical="center"/>
    </xf>
    <xf numFmtId="0" fontId="0" fillId="2" borderId="16" xfId="2" applyNumberFormat="1" applyFont="1" applyFill="1" applyBorder="1" applyAlignment="1">
      <alignment horizontal="left" vertical="center"/>
    </xf>
    <xf numFmtId="2" fontId="0" fillId="2" borderId="1" xfId="0" applyNumberFormat="1" applyFont="1" applyFill="1" applyBorder="1" applyAlignment="1">
      <alignment horizontal="center" wrapText="1"/>
    </xf>
    <xf numFmtId="2" fontId="0" fillId="2" borderId="16" xfId="0" applyNumberFormat="1" applyFont="1" applyFill="1" applyBorder="1" applyAlignment="1">
      <alignment horizontal="center" wrapText="1"/>
    </xf>
    <xf numFmtId="0" fontId="11" fillId="2" borderId="1" xfId="2" applyNumberFormat="1" applyFont="1" applyFill="1" applyBorder="1" applyAlignment="1">
      <alignment horizontal="left" vertical="center" wrapText="1"/>
    </xf>
    <xf numFmtId="0" fontId="11" fillId="2" borderId="16" xfId="2" applyNumberFormat="1" applyFont="1" applyFill="1" applyBorder="1" applyAlignment="1">
      <alignment horizontal="left" vertical="center" wrapText="1"/>
    </xf>
    <xf numFmtId="0" fontId="0" fillId="3" borderId="1" xfId="0" applyFont="1" applyFill="1" applyBorder="1" applyAlignment="1">
      <alignment horizontal="center" vertical="center"/>
    </xf>
    <xf numFmtId="0" fontId="0" fillId="3" borderId="16" xfId="0" applyFont="1" applyFill="1" applyBorder="1" applyAlignment="1">
      <alignment horizontal="center" vertical="center"/>
    </xf>
    <xf numFmtId="0" fontId="7" fillId="0" borderId="1" xfId="2" applyNumberFormat="1" applyFont="1" applyBorder="1" applyAlignment="1">
      <alignment horizontal="left" vertical="center" wrapText="1"/>
    </xf>
    <xf numFmtId="0" fontId="7" fillId="0" borderId="16" xfId="2" applyNumberFormat="1" applyFont="1" applyBorder="1" applyAlignment="1">
      <alignment horizontal="left" vertical="center" wrapText="1"/>
    </xf>
    <xf numFmtId="0" fontId="0" fillId="3" borderId="6" xfId="0" applyFont="1" applyFill="1" applyBorder="1" applyAlignment="1">
      <alignment horizontal="center" wrapText="1"/>
    </xf>
    <xf numFmtId="0" fontId="0" fillId="3" borderId="20" xfId="0" applyFont="1" applyFill="1" applyBorder="1" applyAlignment="1">
      <alignment horizontal="center" wrapText="1"/>
    </xf>
    <xf numFmtId="2" fontId="0" fillId="0" borderId="2" xfId="2" applyNumberFormat="1" applyFont="1" applyBorder="1" applyAlignment="1">
      <alignment horizontal="center" vertical="center"/>
    </xf>
    <xf numFmtId="2" fontId="0" fillId="0" borderId="3" xfId="2" applyNumberFormat="1" applyFont="1" applyBorder="1" applyAlignment="1">
      <alignment horizontal="center" vertical="center"/>
    </xf>
    <xf numFmtId="2" fontId="0" fillId="0" borderId="17" xfId="2" applyNumberFormat="1" applyFont="1" applyBorder="1" applyAlignment="1">
      <alignment horizontal="center" vertical="center"/>
    </xf>
    <xf numFmtId="0" fontId="0" fillId="3" borderId="2" xfId="0" applyFont="1" applyFill="1" applyBorder="1" applyAlignment="1">
      <alignment horizontal="center" vertical="center" wrapText="1"/>
    </xf>
    <xf numFmtId="0" fontId="0" fillId="3" borderId="3" xfId="0" applyFont="1" applyFill="1" applyBorder="1" applyAlignment="1">
      <alignment horizontal="center" vertical="center" wrapText="1"/>
    </xf>
    <xf numFmtId="0" fontId="0" fillId="3" borderId="17" xfId="0" applyFont="1" applyFill="1" applyBorder="1" applyAlignment="1">
      <alignment horizontal="center" vertical="center" wrapText="1"/>
    </xf>
    <xf numFmtId="43" fontId="7" fillId="0" borderId="2" xfId="2" applyFont="1" applyBorder="1" applyAlignment="1">
      <alignment horizontal="right"/>
    </xf>
    <xf numFmtId="43" fontId="7" fillId="0" borderId="3" xfId="2" applyFont="1" applyBorder="1" applyAlignment="1">
      <alignment horizontal="right"/>
    </xf>
    <xf numFmtId="0" fontId="0" fillId="3" borderId="2" xfId="0" applyFont="1" applyFill="1" applyBorder="1" applyAlignment="1">
      <alignment horizontal="center" vertical="center"/>
    </xf>
    <xf numFmtId="0" fontId="0" fillId="3" borderId="4" xfId="0" applyFont="1" applyFill="1" applyBorder="1" applyAlignment="1">
      <alignment horizontal="center" vertical="center"/>
    </xf>
    <xf numFmtId="2" fontId="11" fillId="2" borderId="2" xfId="2" applyNumberFormat="1" applyFont="1" applyFill="1" applyBorder="1" applyAlignment="1">
      <alignment horizontal="center" vertical="center" wrapText="1"/>
    </xf>
    <xf numFmtId="2" fontId="11" fillId="2" borderId="4" xfId="2" applyNumberFormat="1" applyFont="1" applyFill="1" applyBorder="1" applyAlignment="1">
      <alignment horizontal="center" vertical="center" wrapText="1"/>
    </xf>
    <xf numFmtId="165" fontId="5" fillId="2" borderId="1" xfId="1" applyNumberFormat="1" applyFont="1" applyFill="1" applyBorder="1" applyAlignment="1" applyProtection="1">
      <alignment horizontal="center" vertical="center"/>
      <protection locked="0"/>
    </xf>
    <xf numFmtId="165" fontId="5" fillId="2" borderId="16" xfId="1" applyNumberFormat="1" applyFont="1" applyFill="1" applyBorder="1" applyAlignment="1" applyProtection="1">
      <alignment horizontal="center" vertical="center" wrapText="1"/>
      <protection locked="0"/>
    </xf>
    <xf numFmtId="165" fontId="5" fillId="2" borderId="2" xfId="1" applyNumberFormat="1" applyFont="1" applyFill="1" applyBorder="1" applyAlignment="1" applyProtection="1">
      <alignment horizontal="center" vertical="center"/>
      <protection locked="0"/>
    </xf>
    <xf numFmtId="165" fontId="5" fillId="2" borderId="4" xfId="1" applyNumberFormat="1" applyFont="1" applyFill="1" applyBorder="1" applyAlignment="1" applyProtection="1">
      <alignment horizontal="center" vertical="center"/>
      <protection locked="0"/>
    </xf>
    <xf numFmtId="165" fontId="3" fillId="0" borderId="16" xfId="0" applyNumberFormat="1" applyFont="1" applyBorder="1" applyAlignment="1" applyProtection="1">
      <alignment horizontal="center" vertical="center"/>
      <protection locked="0"/>
    </xf>
    <xf numFmtId="165" fontId="3" fillId="0" borderId="16" xfId="1" applyNumberFormat="1" applyFont="1" applyBorder="1" applyAlignment="1" applyProtection="1">
      <alignment horizontal="center"/>
      <protection locked="0"/>
    </xf>
    <xf numFmtId="165" fontId="3" fillId="0" borderId="16" xfId="1" applyNumberFormat="1" applyFont="1" applyBorder="1" applyAlignment="1" applyProtection="1">
      <alignment horizontal="center" vertical="center"/>
      <protection locked="0"/>
    </xf>
    <xf numFmtId="165" fontId="3" fillId="0" borderId="20" xfId="1" applyNumberFormat="1" applyFont="1" applyBorder="1" applyAlignment="1" applyProtection="1">
      <alignment horizontal="center"/>
      <protection locked="0"/>
    </xf>
    <xf numFmtId="165" fontId="3" fillId="0" borderId="16" xfId="1" applyNumberFormat="1" applyFont="1" applyBorder="1" applyAlignment="1" applyProtection="1">
      <alignment horizontal="center"/>
    </xf>
    <xf numFmtId="165" fontId="3" fillId="0" borderId="28" xfId="1" applyNumberFormat="1" applyFont="1" applyBorder="1" applyAlignment="1" applyProtection="1">
      <alignment horizontal="center"/>
      <protection locked="0"/>
    </xf>
    <xf numFmtId="165" fontId="3" fillId="0" borderId="11" xfId="1" applyNumberFormat="1" applyFont="1" applyBorder="1" applyAlignment="1" applyProtection="1">
      <alignment horizontal="center"/>
      <protection locked="0"/>
    </xf>
    <xf numFmtId="165" fontId="3" fillId="0" borderId="14" xfId="1" applyNumberFormat="1" applyFont="1" applyBorder="1" applyAlignment="1" applyProtection="1">
      <alignment horizontal="center"/>
      <protection locked="0"/>
    </xf>
  </cellXfs>
  <cellStyles count="3">
    <cellStyle name="Moeda" xfId="1" builtinId="4"/>
    <cellStyle name="Normal" xfId="0" builtinId="0"/>
    <cellStyle name="Vírgula" xfId="2" builtinId="3"/>
  </cellStyles>
  <dxfs count="2553">
    <dxf>
      <font>
        <b val="0"/>
        <i val="0"/>
      </font>
    </dxf>
    <dxf>
      <font>
        <b val="0"/>
        <i val="0"/>
      </font>
    </dxf>
    <dxf>
      <font>
        <b val="0"/>
        <i val="0"/>
      </font>
    </dxf>
    <dxf>
      <font>
        <b val="0"/>
        <i val="0"/>
      </font>
    </dxf>
    <dxf>
      <font>
        <b/>
        <i val="0"/>
      </font>
    </dxf>
    <dxf>
      <font>
        <b val="0"/>
        <i val="0"/>
      </font>
    </dxf>
    <dxf>
      <font>
        <b/>
        <i val="0"/>
      </font>
    </dxf>
    <dxf>
      <font>
        <b val="0"/>
        <i val="0"/>
      </font>
    </dxf>
    <dxf>
      <font>
        <b/>
        <i val="0"/>
      </font>
    </dxf>
    <dxf>
      <font>
        <b/>
        <i val="0"/>
      </font>
    </dxf>
    <dxf>
      <font>
        <b val="0"/>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val="0"/>
        <i val="0"/>
      </font>
    </dxf>
    <dxf>
      <font>
        <b/>
        <i val="0"/>
      </font>
    </dxf>
    <dxf>
      <font>
        <b val="0"/>
        <i val="0"/>
      </font>
    </dxf>
    <dxf>
      <font>
        <b val="0"/>
        <i val="0"/>
      </font>
    </dxf>
    <dxf>
      <font>
        <b/>
        <i val="0"/>
      </font>
    </dxf>
    <dxf>
      <font>
        <b val="0"/>
        <i val="0"/>
      </font>
    </dxf>
    <dxf>
      <font>
        <b/>
        <i val="0"/>
      </font>
    </dxf>
    <dxf>
      <font>
        <b val="0"/>
        <i val="0"/>
      </font>
    </dxf>
    <dxf>
      <font>
        <b/>
        <i val="0"/>
      </font>
    </dxf>
    <dxf>
      <font>
        <b/>
        <i val="0"/>
      </font>
    </dxf>
    <dxf>
      <font>
        <b val="0"/>
        <i val="0"/>
      </font>
    </dxf>
    <dxf>
      <font>
        <b val="0"/>
        <i val="0"/>
      </font>
    </dxf>
    <dxf>
      <font>
        <b val="0"/>
        <i val="0"/>
      </font>
    </dxf>
    <dxf>
      <font>
        <b val="0"/>
        <i val="0"/>
      </font>
    </dxf>
    <dxf>
      <font>
        <b val="0"/>
        <i val="0"/>
      </font>
    </dxf>
    <dxf>
      <font>
        <b val="0"/>
        <i val="0"/>
      </font>
    </dxf>
    <dxf>
      <font>
        <b/>
        <i val="0"/>
      </font>
    </dxf>
    <dxf>
      <font>
        <b/>
        <i val="0"/>
      </font>
    </dxf>
    <dxf>
      <font>
        <b val="0"/>
        <i val="0"/>
      </font>
    </dxf>
    <dxf>
      <font>
        <b/>
        <i val="0"/>
      </font>
    </dxf>
    <dxf>
      <font>
        <b val="0"/>
        <i val="0"/>
      </font>
    </dxf>
    <dxf>
      <font>
        <b val="0"/>
        <i val="0"/>
      </font>
    </dxf>
    <dxf>
      <font>
        <b val="0"/>
        <i val="0"/>
      </font>
    </dxf>
    <dxf>
      <font>
        <b/>
        <i val="0"/>
      </font>
    </dxf>
    <dxf>
      <font>
        <b val="0"/>
        <i val="0"/>
      </font>
    </dxf>
    <dxf>
      <font>
        <b val="0"/>
        <i val="0"/>
      </font>
    </dxf>
    <dxf>
      <font>
        <b/>
        <i val="0"/>
      </font>
    </dxf>
    <dxf>
      <font>
        <b val="0"/>
        <i val="0"/>
      </font>
    </dxf>
    <dxf>
      <font>
        <b val="0"/>
        <i val="0"/>
      </font>
    </dxf>
    <dxf>
      <font>
        <b val="0"/>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val="0"/>
        <i val="0"/>
      </font>
    </dxf>
    <dxf>
      <font>
        <b/>
        <i val="0"/>
      </font>
    </dxf>
    <dxf>
      <font>
        <b val="0"/>
        <i val="0"/>
      </font>
    </dxf>
    <dxf>
      <font>
        <b/>
        <i val="0"/>
      </font>
    </dxf>
    <dxf>
      <font>
        <b val="0"/>
        <i val="0"/>
      </font>
    </dxf>
    <dxf>
      <font>
        <b/>
        <i val="0"/>
      </font>
    </dxf>
    <dxf>
      <font>
        <b/>
        <i val="0"/>
      </font>
    </dxf>
    <dxf>
      <font>
        <b val="0"/>
        <i val="0"/>
      </font>
    </dxf>
    <dxf>
      <font>
        <b/>
        <i val="0"/>
      </font>
    </dxf>
    <dxf>
      <font>
        <b val="0"/>
        <i val="0"/>
      </font>
    </dxf>
    <dxf>
      <font>
        <b val="0"/>
        <i val="0"/>
      </font>
    </dxf>
    <dxf>
      <font>
        <b val="0"/>
        <i val="0"/>
      </font>
    </dxf>
    <dxf>
      <font>
        <b/>
        <i val="0"/>
      </font>
    </dxf>
    <dxf>
      <font>
        <b val="0"/>
        <i val="0"/>
      </font>
    </dxf>
    <dxf>
      <font>
        <b/>
        <i val="0"/>
      </font>
    </dxf>
    <dxf>
      <font>
        <b val="0"/>
        <i val="0"/>
      </font>
    </dxf>
    <dxf>
      <font>
        <b/>
        <i val="0"/>
      </font>
    </dxf>
    <dxf>
      <font>
        <b val="0"/>
        <i val="0"/>
      </font>
    </dxf>
    <dxf>
      <font>
        <b val="0"/>
        <i val="0"/>
      </font>
    </dxf>
    <dxf>
      <font>
        <b/>
        <i val="0"/>
      </font>
    </dxf>
    <dxf>
      <font>
        <b val="0"/>
        <i val="0"/>
      </font>
    </dxf>
    <dxf>
      <font>
        <b/>
        <i val="0"/>
      </font>
    </dxf>
    <dxf>
      <font>
        <b val="0"/>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val="0"/>
        <i val="0"/>
      </font>
    </dxf>
    <dxf>
      <font>
        <b/>
        <i val="0"/>
      </font>
    </dxf>
    <dxf>
      <font>
        <b/>
        <i val="0"/>
      </font>
    </dxf>
    <dxf>
      <font>
        <b val="0"/>
        <i val="0"/>
      </font>
    </dxf>
    <dxf>
      <font>
        <b val="0"/>
        <i val="0"/>
      </font>
    </dxf>
    <dxf>
      <font>
        <b val="0"/>
        <i val="0"/>
      </font>
    </dxf>
    <dxf>
      <font>
        <b/>
        <i val="0"/>
      </font>
    </dxf>
    <dxf>
      <font>
        <b val="0"/>
        <i val="0"/>
      </font>
    </dxf>
    <dxf>
      <font>
        <b/>
        <i val="0"/>
      </font>
    </dxf>
    <dxf>
      <font>
        <b val="0"/>
        <i val="0"/>
      </font>
    </dxf>
    <dxf>
      <font>
        <b val="0"/>
        <i val="0"/>
      </font>
    </dxf>
    <dxf>
      <font>
        <b/>
        <i val="0"/>
      </font>
    </dxf>
    <dxf>
      <font>
        <b val="0"/>
        <i val="0"/>
      </font>
    </dxf>
    <dxf>
      <font>
        <b/>
        <i val="0"/>
      </font>
    </dxf>
    <dxf>
      <font>
        <b val="0"/>
        <i val="0"/>
      </font>
    </dxf>
    <dxf>
      <font>
        <b/>
        <i val="0"/>
      </font>
    </dxf>
    <dxf>
      <font>
        <b val="0"/>
        <i val="0"/>
      </font>
    </dxf>
    <dxf>
      <font>
        <b val="0"/>
        <i val="0"/>
      </font>
    </dxf>
    <dxf>
      <font>
        <b/>
        <i val="0"/>
      </font>
    </dxf>
    <dxf>
      <font>
        <b/>
        <i val="0"/>
      </font>
    </dxf>
    <dxf>
      <font>
        <b val="0"/>
        <i val="0"/>
      </font>
    </dxf>
    <dxf>
      <font>
        <b val="0"/>
        <i val="0"/>
      </font>
    </dxf>
    <dxf>
      <font>
        <b/>
        <i val="0"/>
      </font>
    </dxf>
    <dxf>
      <font>
        <b val="0"/>
        <i val="0"/>
      </font>
    </dxf>
    <dxf>
      <font>
        <b/>
        <i val="0"/>
      </font>
    </dxf>
    <dxf>
      <font>
        <b val="0"/>
        <i val="0"/>
      </font>
    </dxf>
    <dxf>
      <font>
        <b val="0"/>
        <i val="0"/>
      </font>
    </dxf>
    <dxf>
      <font>
        <b/>
        <i val="0"/>
      </font>
    </dxf>
    <dxf>
      <font>
        <b/>
        <i val="0"/>
      </font>
    </dxf>
    <dxf>
      <font>
        <b val="0"/>
        <i val="0"/>
      </font>
    </dxf>
    <dxf>
      <font>
        <b val="0"/>
        <i val="0"/>
      </font>
    </dxf>
    <dxf>
      <font>
        <b val="0"/>
        <i val="0"/>
      </font>
    </dxf>
    <dxf>
      <font>
        <b/>
        <i val="0"/>
      </font>
    </dxf>
    <dxf>
      <font>
        <b val="0"/>
        <i val="0"/>
      </font>
    </dxf>
    <dxf>
      <font>
        <b/>
        <i val="0"/>
      </font>
    </dxf>
    <dxf>
      <font>
        <b/>
        <i val="0"/>
      </font>
    </dxf>
    <dxf>
      <font>
        <b val="0"/>
        <i val="0"/>
      </font>
    </dxf>
    <dxf>
      <font>
        <b/>
        <i val="0"/>
      </font>
    </dxf>
    <dxf>
      <font>
        <b val="0"/>
        <i val="0"/>
      </font>
    </dxf>
    <dxf>
      <font>
        <b/>
        <i val="0"/>
      </font>
    </dxf>
    <dxf>
      <font>
        <b val="0"/>
        <i val="0"/>
      </font>
    </dxf>
    <dxf>
      <font>
        <b/>
        <i val="0"/>
      </font>
    </dxf>
    <dxf>
      <font>
        <b val="0"/>
        <i val="0"/>
      </font>
    </dxf>
    <dxf>
      <font>
        <b val="0"/>
        <i val="0"/>
      </font>
    </dxf>
    <dxf>
      <font>
        <b/>
        <i val="0"/>
      </font>
    </dxf>
    <dxf>
      <font>
        <b val="0"/>
        <i val="0"/>
      </font>
    </dxf>
    <dxf>
      <font>
        <b/>
        <i val="0"/>
      </font>
    </dxf>
    <dxf>
      <font>
        <b val="0"/>
        <i val="0"/>
      </font>
    </dxf>
    <dxf>
      <font>
        <b/>
        <i val="0"/>
      </font>
    </dxf>
    <dxf>
      <font>
        <b val="0"/>
        <i val="0"/>
      </font>
    </dxf>
    <dxf>
      <font>
        <b/>
        <i val="0"/>
      </font>
    </dxf>
    <dxf>
      <font>
        <b/>
        <i val="0"/>
      </font>
    </dxf>
    <dxf>
      <font>
        <b val="0"/>
        <i val="0"/>
      </font>
    </dxf>
    <dxf>
      <font>
        <b val="0"/>
        <i val="0"/>
      </font>
    </dxf>
    <dxf>
      <font>
        <b/>
        <i val="0"/>
      </font>
    </dxf>
    <dxf>
      <font>
        <b val="0"/>
        <i val="0"/>
      </font>
    </dxf>
    <dxf>
      <font>
        <b/>
        <i val="0"/>
      </font>
    </dxf>
    <dxf>
      <font>
        <b/>
        <i val="0"/>
      </font>
    </dxf>
    <dxf>
      <font>
        <b val="0"/>
        <i val="0"/>
      </font>
    </dxf>
    <dxf>
      <font>
        <b val="0"/>
        <i val="0"/>
      </font>
    </dxf>
    <dxf>
      <font>
        <b val="0"/>
        <i val="0"/>
      </font>
    </dxf>
    <dxf>
      <font>
        <b val="0"/>
        <i val="0"/>
      </font>
    </dxf>
    <dxf>
      <font>
        <b val="0"/>
        <i val="0"/>
      </font>
    </dxf>
    <dxf>
      <font>
        <b/>
        <i val="0"/>
      </font>
    </dxf>
    <dxf>
      <font>
        <b/>
        <i val="0"/>
      </font>
    </dxf>
    <dxf>
      <font>
        <b val="0"/>
        <i val="0"/>
      </font>
    </dxf>
    <dxf>
      <font>
        <b/>
        <i val="0"/>
      </font>
    </dxf>
    <dxf>
      <font>
        <b/>
        <i val="0"/>
      </font>
    </dxf>
    <dxf>
      <font>
        <b val="0"/>
        <i val="0"/>
      </font>
    </dxf>
    <dxf>
      <font>
        <b/>
        <i val="0"/>
      </font>
    </dxf>
    <dxf>
      <font>
        <b val="0"/>
        <i val="0"/>
      </font>
    </dxf>
    <dxf>
      <font>
        <b/>
        <i val="0"/>
      </font>
    </dxf>
    <dxf>
      <font>
        <b val="0"/>
        <i val="0"/>
      </font>
    </dxf>
    <dxf>
      <font>
        <b val="0"/>
        <i val="0"/>
      </font>
    </dxf>
    <dxf>
      <font>
        <b/>
        <i val="0"/>
      </font>
    </dxf>
    <dxf>
      <font>
        <b/>
        <i val="0"/>
      </font>
    </dxf>
    <dxf>
      <font>
        <b val="0"/>
        <i val="0"/>
      </font>
    </dxf>
    <dxf>
      <font>
        <b/>
        <i val="0"/>
      </font>
    </dxf>
    <dxf>
      <font>
        <b val="0"/>
        <i val="0"/>
      </font>
    </dxf>
    <dxf>
      <font>
        <b/>
        <i val="0"/>
      </font>
    </dxf>
    <dxf>
      <font>
        <b/>
        <i val="0"/>
      </font>
    </dxf>
    <dxf>
      <font>
        <b val="0"/>
        <i val="0"/>
      </font>
    </dxf>
    <dxf>
      <font>
        <b val="0"/>
        <i val="0"/>
      </font>
    </dxf>
    <dxf>
      <font>
        <b val="0"/>
        <i val="0"/>
      </font>
    </dxf>
    <dxf>
      <font>
        <b val="0"/>
        <i val="0"/>
      </font>
    </dxf>
    <dxf>
      <font>
        <b/>
        <i val="0"/>
      </font>
    </dxf>
    <dxf>
      <font>
        <b val="0"/>
        <i val="0"/>
      </font>
    </dxf>
    <dxf>
      <font>
        <b/>
        <i val="0"/>
      </font>
    </dxf>
    <dxf>
      <font>
        <b val="0"/>
        <i val="0"/>
      </font>
    </dxf>
    <dxf>
      <font>
        <b val="0"/>
        <i val="0"/>
      </font>
    </dxf>
    <dxf>
      <font>
        <b/>
        <i val="0"/>
      </font>
    </dxf>
    <dxf>
      <font>
        <b val="0"/>
        <i val="0"/>
      </font>
    </dxf>
    <dxf>
      <font>
        <b/>
        <i val="0"/>
      </font>
    </dxf>
    <dxf>
      <font>
        <b val="0"/>
        <i val="0"/>
      </font>
    </dxf>
    <dxf>
      <font>
        <b/>
        <i val="0"/>
      </font>
    </dxf>
    <dxf>
      <font>
        <b/>
        <i val="0"/>
      </font>
    </dxf>
    <dxf>
      <font>
        <b val="0"/>
        <i val="0"/>
      </font>
    </dxf>
    <dxf>
      <font>
        <b/>
        <i val="0"/>
      </font>
    </dxf>
    <dxf>
      <font>
        <b val="0"/>
        <i val="0"/>
      </font>
    </dxf>
    <dxf>
      <font>
        <b val="0"/>
        <i val="0"/>
      </font>
    </dxf>
    <dxf>
      <font>
        <b/>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val="0"/>
        <i val="0"/>
      </font>
    </dxf>
    <dxf>
      <font>
        <b val="0"/>
        <i val="0"/>
      </font>
    </dxf>
    <dxf>
      <font>
        <b/>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i val="0"/>
      </font>
    </dxf>
    <dxf>
      <font>
        <b val="0"/>
        <i val="0"/>
      </font>
    </dxf>
    <dxf>
      <font>
        <b/>
        <i val="0"/>
      </font>
    </dxf>
    <dxf>
      <font>
        <b val="0"/>
        <i val="0"/>
      </font>
    </dxf>
    <dxf>
      <font>
        <b/>
        <i val="0"/>
      </font>
    </dxf>
    <dxf>
      <font>
        <b val="0"/>
        <i val="0"/>
      </font>
    </dxf>
    <dxf>
      <font>
        <b val="0"/>
        <i val="0"/>
      </font>
    </dxf>
    <dxf>
      <font>
        <b val="0"/>
        <i val="0"/>
      </font>
    </dxf>
    <dxf>
      <font>
        <b/>
        <i val="0"/>
      </font>
    </dxf>
    <dxf>
      <font>
        <b val="0"/>
        <i val="0"/>
      </font>
    </dxf>
    <dxf>
      <font>
        <b val="0"/>
        <i val="0"/>
      </font>
    </dxf>
    <dxf>
      <font>
        <b/>
        <i val="0"/>
      </font>
    </dxf>
    <dxf>
      <font>
        <b/>
        <i val="0"/>
      </font>
    </dxf>
    <dxf>
      <font>
        <b/>
        <i val="0"/>
      </font>
    </dxf>
    <dxf>
      <font>
        <b val="0"/>
        <i val="0"/>
      </font>
    </dxf>
    <dxf>
      <font>
        <b val="0"/>
        <i val="0"/>
      </font>
    </dxf>
    <dxf>
      <font>
        <b/>
        <i val="0"/>
      </font>
    </dxf>
    <dxf>
      <font>
        <b val="0"/>
        <i val="0"/>
      </font>
    </dxf>
    <dxf>
      <font>
        <b/>
        <i val="0"/>
      </font>
    </dxf>
    <dxf>
      <font>
        <b val="0"/>
        <i val="0"/>
      </font>
    </dxf>
    <dxf>
      <font>
        <b val="0"/>
        <i val="0"/>
      </font>
    </dxf>
    <dxf>
      <font>
        <b val="0"/>
        <i val="0"/>
      </font>
    </dxf>
    <dxf>
      <font>
        <b/>
        <i val="0"/>
      </font>
    </dxf>
    <dxf>
      <font>
        <b val="0"/>
        <i val="0"/>
      </font>
    </dxf>
    <dxf>
      <font>
        <b/>
        <i val="0"/>
      </font>
    </dxf>
    <dxf>
      <font>
        <b val="0"/>
        <i val="0"/>
      </font>
    </dxf>
    <dxf>
      <font>
        <b val="0"/>
        <i val="0"/>
      </font>
    </dxf>
    <dxf>
      <font>
        <b val="0"/>
        <i val="0"/>
      </font>
    </dxf>
    <dxf>
      <font>
        <b val="0"/>
        <i val="0"/>
      </font>
    </dxf>
    <dxf>
      <font>
        <b val="0"/>
        <i val="0"/>
      </font>
    </dxf>
    <dxf>
      <font>
        <b/>
        <i val="0"/>
      </font>
    </dxf>
    <dxf>
      <font>
        <b/>
        <i val="0"/>
      </font>
    </dxf>
    <dxf>
      <font>
        <b val="0"/>
        <i val="0"/>
      </font>
    </dxf>
    <dxf>
      <font>
        <b/>
        <i val="0"/>
      </font>
    </dxf>
    <dxf>
      <font>
        <b/>
        <i val="0"/>
      </font>
    </dxf>
    <dxf>
      <font>
        <b/>
        <i val="0"/>
      </font>
    </dxf>
    <dxf>
      <font>
        <b val="0"/>
        <i val="0"/>
      </font>
    </dxf>
    <dxf>
      <font>
        <b val="0"/>
        <i val="0"/>
      </font>
    </dxf>
    <dxf>
      <font>
        <b/>
        <i val="0"/>
      </font>
    </dxf>
    <dxf>
      <font>
        <b/>
        <i val="0"/>
      </font>
    </dxf>
    <dxf>
      <font>
        <b/>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i val="0"/>
      </font>
    </dxf>
    <dxf>
      <font>
        <b val="0"/>
        <i val="0"/>
      </font>
    </dxf>
    <dxf>
      <font>
        <b/>
        <i val="0"/>
      </font>
    </dxf>
    <dxf>
      <font>
        <b val="0"/>
        <i val="0"/>
      </font>
    </dxf>
    <dxf>
      <font>
        <b/>
        <i val="0"/>
      </font>
    </dxf>
    <dxf>
      <font>
        <b val="0"/>
        <i val="0"/>
      </font>
    </dxf>
    <dxf>
      <font>
        <b/>
        <i val="0"/>
      </font>
    </dxf>
    <dxf>
      <font>
        <b/>
        <i val="0"/>
      </font>
    </dxf>
    <dxf>
      <font>
        <b val="0"/>
        <i val="0"/>
      </font>
    </dxf>
    <dxf>
      <font>
        <b/>
        <i val="0"/>
      </font>
    </dxf>
    <dxf>
      <font>
        <b val="0"/>
        <i val="0"/>
      </font>
    </dxf>
    <dxf>
      <font>
        <b/>
        <i val="0"/>
      </font>
    </dxf>
    <dxf>
      <font>
        <b val="0"/>
        <i val="0"/>
      </font>
    </dxf>
    <dxf>
      <font>
        <b/>
        <i val="0"/>
      </font>
    </dxf>
    <dxf>
      <font>
        <b val="0"/>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i val="0"/>
      </font>
    </dxf>
    <dxf>
      <font>
        <b val="0"/>
        <i val="0"/>
      </font>
    </dxf>
    <dxf>
      <font>
        <b val="0"/>
        <i val="0"/>
      </font>
    </dxf>
    <dxf>
      <font>
        <b val="0"/>
        <i val="0"/>
      </font>
    </dxf>
    <dxf>
      <font>
        <b val="0"/>
        <i val="0"/>
      </font>
    </dxf>
    <dxf>
      <font>
        <b val="0"/>
        <i val="0"/>
      </font>
    </dxf>
    <dxf>
      <font>
        <b val="0"/>
        <i val="0"/>
      </font>
    </dxf>
    <dxf>
      <font>
        <b/>
        <i val="0"/>
      </font>
    </dxf>
    <dxf>
      <font>
        <b val="0"/>
        <i val="0"/>
      </font>
    </dxf>
    <dxf>
      <font>
        <b/>
        <i val="0"/>
      </font>
    </dxf>
    <dxf>
      <font>
        <b val="0"/>
        <i val="0"/>
      </font>
    </dxf>
    <dxf>
      <font>
        <b/>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val="0"/>
        <i val="0"/>
      </font>
    </dxf>
    <dxf>
      <font>
        <b/>
        <i val="0"/>
      </font>
    </dxf>
    <dxf>
      <font>
        <b val="0"/>
        <i val="0"/>
      </font>
    </dxf>
    <dxf>
      <font>
        <b/>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val="0"/>
        <i val="0"/>
      </font>
    </dxf>
    <dxf>
      <font>
        <b val="0"/>
        <i val="0"/>
      </font>
    </dxf>
    <dxf>
      <font>
        <b val="0"/>
        <i val="0"/>
      </font>
    </dxf>
    <dxf>
      <font>
        <b/>
        <i val="0"/>
      </font>
    </dxf>
    <dxf>
      <font>
        <b val="0"/>
        <i val="0"/>
      </font>
    </dxf>
    <dxf>
      <font>
        <b val="0"/>
        <i val="0"/>
      </font>
    </dxf>
    <dxf>
      <font>
        <b val="0"/>
        <i val="0"/>
      </font>
    </dxf>
    <dxf>
      <font>
        <b/>
        <i val="0"/>
      </font>
    </dxf>
    <dxf>
      <font>
        <b/>
        <i val="0"/>
      </font>
    </dxf>
    <dxf>
      <font>
        <b val="0"/>
        <i val="0"/>
      </font>
    </dxf>
    <dxf>
      <font>
        <b/>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i val="0"/>
      </font>
    </dxf>
    <dxf>
      <font>
        <b val="0"/>
        <i val="0"/>
      </font>
    </dxf>
    <dxf>
      <font>
        <b val="0"/>
        <i val="0"/>
      </font>
    </dxf>
    <dxf>
      <font>
        <b/>
        <i val="0"/>
      </font>
    </dxf>
    <dxf>
      <font>
        <b/>
        <i val="0"/>
      </font>
    </dxf>
    <dxf>
      <font>
        <b/>
        <i val="0"/>
      </font>
    </dxf>
    <dxf>
      <font>
        <b val="0"/>
        <i val="0"/>
      </font>
    </dxf>
    <dxf>
      <font>
        <b/>
        <i val="0"/>
      </font>
    </dxf>
    <dxf>
      <font>
        <b val="0"/>
        <i val="0"/>
      </font>
    </dxf>
    <dxf>
      <font>
        <b val="0"/>
        <i val="0"/>
      </font>
    </dxf>
    <dxf>
      <font>
        <b/>
        <i val="0"/>
      </font>
    </dxf>
    <dxf>
      <font>
        <b val="0"/>
        <i val="0"/>
      </font>
    </dxf>
    <dxf>
      <font>
        <b/>
        <i val="0"/>
      </font>
    </dxf>
    <dxf>
      <font>
        <b/>
        <i val="0"/>
      </font>
    </dxf>
    <dxf>
      <font>
        <b/>
        <i val="0"/>
      </font>
    </dxf>
    <dxf>
      <font>
        <b/>
        <i val="0"/>
      </font>
    </dxf>
    <dxf>
      <font>
        <b val="0"/>
        <i val="0"/>
      </font>
    </dxf>
    <dxf>
      <font>
        <b val="0"/>
        <i val="0"/>
      </font>
    </dxf>
    <dxf>
      <font>
        <b val="0"/>
        <i val="0"/>
      </font>
    </dxf>
    <dxf>
      <font>
        <b val="0"/>
        <i val="0"/>
      </font>
    </dxf>
    <dxf>
      <font>
        <b/>
        <i val="0"/>
      </font>
    </dxf>
    <dxf>
      <font>
        <b val="0"/>
        <i val="0"/>
      </font>
    </dxf>
    <dxf>
      <font>
        <b/>
        <i val="0"/>
      </font>
    </dxf>
    <dxf>
      <font>
        <b/>
        <i val="0"/>
      </font>
    </dxf>
    <dxf>
      <font>
        <b val="0"/>
        <i val="0"/>
      </font>
    </dxf>
    <dxf>
      <font>
        <b val="0"/>
        <i val="0"/>
      </font>
    </dxf>
    <dxf>
      <font>
        <b/>
        <i val="0"/>
      </font>
    </dxf>
    <dxf>
      <font>
        <b val="0"/>
        <i val="0"/>
      </font>
    </dxf>
    <dxf>
      <font>
        <b val="0"/>
        <i val="0"/>
      </font>
    </dxf>
    <dxf>
      <font>
        <b/>
        <i val="0"/>
      </font>
    </dxf>
    <dxf>
      <font>
        <b val="0"/>
        <i val="0"/>
      </font>
    </dxf>
    <dxf>
      <font>
        <b val="0"/>
        <i val="0"/>
      </font>
    </dxf>
    <dxf>
      <font>
        <b/>
        <i val="0"/>
      </font>
    </dxf>
    <dxf>
      <font>
        <b val="0"/>
        <i val="0"/>
      </font>
    </dxf>
    <dxf>
      <font>
        <b/>
        <i val="0"/>
      </font>
    </dxf>
    <dxf>
      <font>
        <b val="0"/>
        <i val="0"/>
      </font>
    </dxf>
    <dxf>
      <font>
        <b/>
        <i val="0"/>
      </font>
    </dxf>
    <dxf>
      <font>
        <b/>
        <i val="0"/>
      </font>
    </dxf>
    <dxf>
      <font>
        <b val="0"/>
        <i val="0"/>
      </font>
    </dxf>
    <dxf>
      <font>
        <b/>
        <i val="0"/>
      </font>
    </dxf>
    <dxf>
      <font>
        <b/>
        <i val="0"/>
      </font>
    </dxf>
    <dxf>
      <font>
        <b val="0"/>
        <i val="0"/>
      </font>
    </dxf>
    <dxf>
      <font>
        <b val="0"/>
        <i val="0"/>
      </font>
    </dxf>
    <dxf>
      <font>
        <b/>
        <i val="0"/>
      </font>
    </dxf>
    <dxf>
      <font>
        <b/>
        <i val="0"/>
      </font>
    </dxf>
    <dxf>
      <font>
        <b val="0"/>
        <i val="0"/>
      </font>
    </dxf>
    <dxf>
      <font>
        <b/>
        <i val="0"/>
      </font>
    </dxf>
    <dxf>
      <font>
        <b val="0"/>
        <i val="0"/>
      </font>
    </dxf>
    <dxf>
      <font>
        <b val="0"/>
        <i val="0"/>
      </font>
    </dxf>
    <dxf>
      <font>
        <b/>
        <i val="0"/>
      </font>
    </dxf>
    <dxf>
      <font>
        <b val="0"/>
        <i val="0"/>
      </font>
    </dxf>
    <dxf>
      <font>
        <b val="0"/>
        <i val="0"/>
      </font>
    </dxf>
    <dxf>
      <font>
        <b val="0"/>
        <i val="0"/>
      </font>
    </dxf>
    <dxf>
      <font>
        <b/>
        <i val="0"/>
      </font>
    </dxf>
    <dxf>
      <font>
        <b val="0"/>
        <i val="0"/>
      </font>
    </dxf>
    <dxf>
      <font>
        <b val="0"/>
        <i val="0"/>
      </font>
    </dxf>
    <dxf>
      <font>
        <b/>
        <i val="0"/>
      </font>
    </dxf>
    <dxf>
      <font>
        <b val="0"/>
        <i val="0"/>
      </font>
    </dxf>
    <dxf>
      <font>
        <b/>
        <i val="0"/>
      </font>
    </dxf>
    <dxf>
      <font>
        <b/>
        <i val="0"/>
      </font>
    </dxf>
    <dxf>
      <font>
        <b val="0"/>
        <i val="0"/>
      </font>
    </dxf>
    <dxf>
      <font>
        <b/>
        <i val="0"/>
      </font>
    </dxf>
    <dxf>
      <font>
        <b val="0"/>
        <i val="0"/>
      </font>
    </dxf>
    <dxf>
      <font>
        <b/>
        <i val="0"/>
      </font>
    </dxf>
    <dxf>
      <font>
        <b/>
        <i val="0"/>
      </font>
    </dxf>
    <dxf>
      <font>
        <b/>
        <i val="0"/>
      </font>
    </dxf>
    <dxf>
      <font>
        <b val="0"/>
        <i val="0"/>
      </font>
    </dxf>
    <dxf>
      <font>
        <b val="0"/>
        <i val="0"/>
      </font>
    </dxf>
    <dxf>
      <font>
        <b/>
        <i val="0"/>
      </font>
    </dxf>
    <dxf>
      <font>
        <b/>
        <i val="0"/>
      </font>
    </dxf>
    <dxf>
      <font>
        <b val="0"/>
        <i val="0"/>
      </font>
    </dxf>
    <dxf>
      <font>
        <b val="0"/>
        <i val="0"/>
      </font>
    </dxf>
    <dxf>
      <font>
        <b val="0"/>
        <i val="0"/>
      </font>
    </dxf>
    <dxf>
      <font>
        <b/>
        <i val="0"/>
      </font>
    </dxf>
    <dxf>
      <font>
        <b val="0"/>
        <i val="0"/>
      </font>
    </dxf>
    <dxf>
      <font>
        <b val="0"/>
        <i val="0"/>
      </font>
    </dxf>
    <dxf>
      <font>
        <b/>
        <i val="0"/>
      </font>
    </dxf>
    <dxf>
      <font>
        <b val="0"/>
        <i val="0"/>
      </font>
    </dxf>
    <dxf>
      <font>
        <b/>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i val="0"/>
      </font>
    </dxf>
    <dxf>
      <font>
        <b/>
        <i val="0"/>
      </font>
    </dxf>
    <dxf>
      <font>
        <b val="0"/>
        <i val="0"/>
      </font>
    </dxf>
    <dxf>
      <font>
        <b/>
        <i val="0"/>
      </font>
    </dxf>
    <dxf>
      <font>
        <b/>
        <i val="0"/>
      </font>
    </dxf>
    <dxf>
      <font>
        <b val="0"/>
        <i val="0"/>
      </font>
    </dxf>
    <dxf>
      <font>
        <b val="0"/>
        <i val="0"/>
      </font>
    </dxf>
    <dxf>
      <font>
        <b val="0"/>
        <i val="0"/>
      </font>
    </dxf>
    <dxf>
      <font>
        <b/>
        <i val="0"/>
      </font>
    </dxf>
    <dxf>
      <font>
        <b val="0"/>
        <i val="0"/>
      </font>
    </dxf>
    <dxf>
      <font>
        <b val="0"/>
        <i val="0"/>
      </font>
    </dxf>
    <dxf>
      <font>
        <b val="0"/>
        <i val="0"/>
      </font>
    </dxf>
    <dxf>
      <font>
        <b val="0"/>
        <i val="0"/>
      </font>
    </dxf>
    <dxf>
      <font>
        <b/>
        <i val="0"/>
      </font>
    </dxf>
    <dxf>
      <font>
        <b val="0"/>
        <i val="0"/>
      </font>
    </dxf>
    <dxf>
      <font>
        <b val="0"/>
        <i val="0"/>
      </font>
    </dxf>
    <dxf>
      <font>
        <b val="0"/>
        <i val="0"/>
      </font>
    </dxf>
    <dxf>
      <font>
        <b/>
        <i val="0"/>
      </font>
    </dxf>
    <dxf>
      <font>
        <b val="0"/>
        <i val="0"/>
      </font>
    </dxf>
    <dxf>
      <font>
        <b val="0"/>
        <i val="0"/>
      </font>
    </dxf>
    <dxf>
      <font>
        <b val="0"/>
        <i val="0"/>
      </font>
    </dxf>
    <dxf>
      <font>
        <b val="0"/>
        <i val="0"/>
      </font>
    </dxf>
    <dxf>
      <font>
        <b val="0"/>
        <i val="0"/>
      </font>
    </dxf>
    <dxf>
      <font>
        <b/>
        <i val="0"/>
      </font>
    </dxf>
    <dxf>
      <font>
        <b val="0"/>
        <i val="0"/>
      </font>
    </dxf>
    <dxf>
      <font>
        <b val="0"/>
        <i val="0"/>
      </font>
    </dxf>
    <dxf>
      <font>
        <b/>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i val="0"/>
      </font>
    </dxf>
    <dxf>
      <font>
        <b/>
        <i val="0"/>
      </font>
    </dxf>
    <dxf>
      <font>
        <b val="0"/>
        <i val="0"/>
      </font>
    </dxf>
    <dxf>
      <font>
        <b val="0"/>
        <i val="0"/>
      </font>
    </dxf>
    <dxf>
      <font>
        <b/>
        <i val="0"/>
      </font>
    </dxf>
    <dxf>
      <font>
        <b val="0"/>
        <i val="0"/>
      </font>
    </dxf>
    <dxf>
      <font>
        <b val="0"/>
        <i val="0"/>
      </font>
    </dxf>
    <dxf>
      <font>
        <b/>
        <i val="0"/>
      </font>
    </dxf>
    <dxf>
      <font>
        <b val="0"/>
        <i val="0"/>
      </font>
    </dxf>
    <dxf>
      <font>
        <b val="0"/>
        <i val="0"/>
      </font>
    </dxf>
    <dxf>
      <font>
        <b val="0"/>
        <i val="0"/>
      </font>
    </dxf>
    <dxf>
      <font>
        <b val="0"/>
        <i val="0"/>
      </font>
    </dxf>
    <dxf>
      <font>
        <b val="0"/>
        <i val="0"/>
      </font>
    </dxf>
    <dxf>
      <font>
        <b val="0"/>
        <i val="0"/>
      </font>
    </dxf>
    <dxf>
      <font>
        <b val="0"/>
        <i val="0"/>
      </font>
    </dxf>
    <dxf>
      <font>
        <b/>
        <i val="0"/>
      </font>
    </dxf>
    <dxf>
      <font>
        <b val="0"/>
        <i val="0"/>
      </font>
    </dxf>
    <dxf>
      <font>
        <b val="0"/>
        <i val="0"/>
      </font>
    </dxf>
    <dxf>
      <font>
        <b val="0"/>
        <i val="0"/>
      </font>
    </dxf>
    <dxf>
      <font>
        <b val="0"/>
        <i val="0"/>
      </font>
    </dxf>
    <dxf>
      <font>
        <b/>
        <i val="0"/>
      </font>
    </dxf>
    <dxf>
      <font>
        <b val="0"/>
        <i val="0"/>
      </font>
    </dxf>
    <dxf>
      <font>
        <b val="0"/>
        <i val="0"/>
      </font>
    </dxf>
    <dxf>
      <font>
        <b val="0"/>
        <i val="0"/>
      </font>
    </dxf>
    <dxf>
      <font>
        <b/>
        <i val="0"/>
      </font>
    </dxf>
    <dxf>
      <font>
        <b val="0"/>
        <i val="0"/>
      </font>
    </dxf>
    <dxf>
      <font>
        <b val="0"/>
        <i val="0"/>
      </font>
    </dxf>
    <dxf>
      <font>
        <b/>
        <i val="0"/>
      </font>
    </dxf>
    <dxf>
      <font>
        <b val="0"/>
        <i val="0"/>
      </font>
    </dxf>
    <dxf>
      <font>
        <b val="0"/>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i val="0"/>
      </font>
    </dxf>
    <dxf>
      <font>
        <b/>
        <i val="0"/>
      </font>
    </dxf>
    <dxf>
      <font>
        <b val="0"/>
        <i val="0"/>
      </font>
    </dxf>
    <dxf>
      <font>
        <b val="0"/>
        <i val="0"/>
      </font>
    </dxf>
    <dxf>
      <font>
        <b/>
        <i val="0"/>
      </font>
    </dxf>
    <dxf>
      <font>
        <b val="0"/>
        <i val="0"/>
      </font>
    </dxf>
    <dxf>
      <font>
        <b val="0"/>
        <i val="0"/>
      </font>
    </dxf>
    <dxf>
      <font>
        <b/>
        <i val="0"/>
      </font>
    </dxf>
    <dxf>
      <font>
        <b val="0"/>
        <i val="0"/>
      </font>
    </dxf>
    <dxf>
      <font>
        <b/>
        <i val="0"/>
      </font>
    </dxf>
    <dxf>
      <font>
        <b val="0"/>
        <i val="0"/>
      </font>
    </dxf>
    <dxf>
      <font>
        <b val="0"/>
        <i val="0"/>
      </font>
    </dxf>
    <dxf>
      <font>
        <b/>
        <i val="0"/>
      </font>
    </dxf>
    <dxf>
      <font>
        <b val="0"/>
        <i val="0"/>
      </font>
    </dxf>
    <dxf>
      <font>
        <b val="0"/>
        <i val="0"/>
      </font>
    </dxf>
    <dxf>
      <font>
        <b/>
        <i val="0"/>
      </font>
    </dxf>
    <dxf>
      <font>
        <b val="0"/>
        <i val="0"/>
      </font>
    </dxf>
    <dxf>
      <font>
        <b val="0"/>
        <i val="0"/>
      </font>
    </dxf>
    <dxf>
      <font>
        <b val="0"/>
        <i val="0"/>
      </font>
    </dxf>
    <dxf>
      <font>
        <b/>
        <i val="0"/>
      </font>
    </dxf>
    <dxf>
      <font>
        <b/>
        <i val="0"/>
      </font>
    </dxf>
    <dxf>
      <font>
        <b val="0"/>
        <i val="0"/>
      </font>
    </dxf>
    <dxf>
      <font>
        <b val="0"/>
        <i val="0"/>
      </font>
    </dxf>
    <dxf>
      <font>
        <b val="0"/>
        <i val="0"/>
      </font>
    </dxf>
    <dxf>
      <font>
        <b/>
        <i val="0"/>
      </font>
    </dxf>
    <dxf>
      <font>
        <b val="0"/>
        <i val="0"/>
      </font>
    </dxf>
    <dxf>
      <font>
        <b/>
        <i val="0"/>
      </font>
    </dxf>
    <dxf>
      <font>
        <b val="0"/>
        <i val="0"/>
      </font>
    </dxf>
    <dxf>
      <font>
        <b val="0"/>
        <i val="0"/>
      </font>
    </dxf>
    <dxf>
      <font>
        <b/>
        <i val="0"/>
      </font>
    </dxf>
    <dxf>
      <font>
        <b val="0"/>
        <i val="0"/>
      </font>
    </dxf>
    <dxf>
      <font>
        <b/>
        <i val="0"/>
      </font>
    </dxf>
    <dxf>
      <font>
        <b val="0"/>
        <i val="0"/>
      </font>
    </dxf>
    <dxf>
      <font>
        <b val="0"/>
        <i val="0"/>
      </font>
    </dxf>
    <dxf>
      <font>
        <b/>
        <i val="0"/>
      </font>
    </dxf>
    <dxf>
      <font>
        <b val="0"/>
        <i val="0"/>
      </font>
    </dxf>
    <dxf>
      <font>
        <b val="0"/>
        <i val="0"/>
      </font>
    </dxf>
    <dxf>
      <font>
        <b/>
        <i val="0"/>
      </font>
    </dxf>
    <dxf>
      <font>
        <b val="0"/>
        <i val="0"/>
      </font>
    </dxf>
    <dxf>
      <font>
        <b val="0"/>
        <i val="0"/>
      </font>
    </dxf>
    <dxf>
      <font>
        <b/>
        <i val="0"/>
      </font>
    </dxf>
    <dxf>
      <font>
        <b val="0"/>
        <i val="0"/>
      </font>
    </dxf>
    <dxf>
      <font>
        <b/>
        <i val="0"/>
      </font>
    </dxf>
    <dxf>
      <font>
        <b val="0"/>
        <i val="0"/>
      </font>
    </dxf>
    <dxf>
      <font>
        <b val="0"/>
        <i val="0"/>
      </font>
    </dxf>
    <dxf>
      <font>
        <b/>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val="0"/>
        <i val="0"/>
      </font>
    </dxf>
    <dxf>
      <font>
        <b val="0"/>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i val="0"/>
      </font>
    </dxf>
    <dxf>
      <font>
        <b val="0"/>
        <i val="0"/>
      </font>
    </dxf>
    <dxf>
      <font>
        <b val="0"/>
        <i val="0"/>
      </font>
    </dxf>
    <dxf>
      <font>
        <b/>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i val="0"/>
      </font>
    </dxf>
    <dxf>
      <font>
        <b val="0"/>
        <i val="0"/>
      </font>
    </dxf>
    <dxf>
      <font>
        <b/>
        <i val="0"/>
      </font>
    </dxf>
    <dxf>
      <font>
        <b val="0"/>
        <i val="0"/>
      </font>
    </dxf>
    <dxf>
      <font>
        <b/>
        <i val="0"/>
      </font>
    </dxf>
    <dxf>
      <font>
        <b val="0"/>
        <i val="0"/>
      </font>
    </dxf>
    <dxf>
      <font>
        <b val="0"/>
        <i val="0"/>
      </font>
    </dxf>
    <dxf>
      <font>
        <b/>
        <i val="0"/>
      </font>
    </dxf>
    <dxf>
      <font>
        <b val="0"/>
        <i val="0"/>
      </font>
    </dxf>
    <dxf>
      <font>
        <b/>
        <i val="0"/>
      </font>
    </dxf>
    <dxf>
      <font>
        <b val="0"/>
        <i val="0"/>
      </font>
    </dxf>
    <dxf>
      <font>
        <b val="0"/>
        <i val="0"/>
      </font>
    </dxf>
    <dxf>
      <font>
        <b/>
        <i val="0"/>
      </font>
    </dxf>
    <dxf>
      <font>
        <b val="0"/>
        <i val="0"/>
      </font>
    </dxf>
    <dxf>
      <font>
        <b/>
        <i val="0"/>
      </font>
    </dxf>
    <dxf>
      <font>
        <b val="0"/>
        <i val="0"/>
      </font>
    </dxf>
    <dxf>
      <font>
        <b val="0"/>
        <i val="0"/>
      </font>
    </dxf>
    <dxf>
      <font>
        <b val="0"/>
        <i val="0"/>
      </font>
    </dxf>
    <dxf>
      <font>
        <b/>
        <i val="0"/>
      </font>
    </dxf>
    <dxf>
      <font>
        <b val="0"/>
        <i val="0"/>
      </font>
    </dxf>
    <dxf>
      <font>
        <b/>
        <i val="0"/>
      </font>
    </dxf>
    <dxf>
      <font>
        <b val="0"/>
        <i val="0"/>
      </font>
    </dxf>
    <dxf>
      <font>
        <b/>
        <i val="0"/>
      </font>
    </dxf>
    <dxf>
      <font>
        <b val="0"/>
        <i val="0"/>
      </font>
    </dxf>
    <dxf>
      <font>
        <b val="0"/>
        <i val="0"/>
      </font>
    </dxf>
    <dxf>
      <font>
        <b val="0"/>
        <i val="0"/>
      </font>
    </dxf>
    <dxf>
      <font>
        <b val="0"/>
        <i val="0"/>
      </font>
    </dxf>
    <dxf>
      <font>
        <b val="0"/>
        <i val="0"/>
      </font>
    </dxf>
    <dxf>
      <font>
        <b val="0"/>
        <i val="0"/>
      </font>
    </dxf>
    <dxf>
      <font>
        <b/>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i val="0"/>
      </font>
    </dxf>
    <dxf>
      <font>
        <b val="0"/>
        <i val="0"/>
      </font>
    </dxf>
    <dxf>
      <font>
        <b val="0"/>
        <i val="0"/>
      </font>
    </dxf>
    <dxf>
      <font>
        <b/>
        <i val="0"/>
      </font>
    </dxf>
    <dxf>
      <font>
        <b val="0"/>
        <i val="0"/>
      </font>
    </dxf>
    <dxf>
      <font>
        <b val="0"/>
        <i val="0"/>
      </font>
    </dxf>
    <dxf>
      <font>
        <b/>
        <i val="0"/>
      </font>
    </dxf>
    <dxf>
      <font>
        <b/>
        <i val="0"/>
      </font>
    </dxf>
    <dxf>
      <font>
        <b val="0"/>
        <i val="0"/>
      </font>
    </dxf>
    <dxf>
      <font>
        <b/>
        <i val="0"/>
      </font>
    </dxf>
    <dxf>
      <font>
        <b/>
        <i val="0"/>
      </font>
    </dxf>
    <dxf>
      <font>
        <b/>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i val="0"/>
      </font>
    </dxf>
    <dxf>
      <font>
        <b val="0"/>
        <i val="0"/>
      </font>
    </dxf>
    <dxf>
      <font>
        <b/>
        <i val="0"/>
      </font>
    </dxf>
    <dxf>
      <font>
        <b val="0"/>
        <i val="0"/>
      </font>
    </dxf>
    <dxf>
      <font>
        <b val="0"/>
        <i val="0"/>
      </font>
    </dxf>
    <dxf>
      <font>
        <b val="0"/>
        <i val="0"/>
      </font>
    </dxf>
    <dxf>
      <font>
        <b val="0"/>
        <i val="0"/>
      </font>
    </dxf>
    <dxf>
      <font>
        <b val="0"/>
        <i val="0"/>
      </font>
    </dxf>
    <dxf>
      <font>
        <b/>
        <i val="0"/>
      </font>
    </dxf>
    <dxf>
      <font>
        <b val="0"/>
        <i val="0"/>
      </font>
    </dxf>
    <dxf>
      <font>
        <b val="0"/>
        <i val="0"/>
      </font>
    </dxf>
    <dxf>
      <font>
        <b/>
        <i val="0"/>
      </font>
    </dxf>
    <dxf>
      <font>
        <b val="0"/>
        <i val="0"/>
      </font>
    </dxf>
    <dxf>
      <font>
        <b val="0"/>
        <i val="0"/>
      </font>
    </dxf>
    <dxf>
      <font>
        <b/>
        <i val="0"/>
      </font>
    </dxf>
    <dxf>
      <font>
        <b val="0"/>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val="0"/>
        <i val="0"/>
      </font>
    </dxf>
    <dxf>
      <font>
        <b/>
        <i val="0"/>
      </font>
    </dxf>
    <dxf>
      <font>
        <b val="0"/>
        <i val="0"/>
      </font>
    </dxf>
    <dxf>
      <font>
        <b val="0"/>
        <i val="0"/>
      </font>
    </dxf>
    <dxf>
      <font>
        <b/>
        <i val="0"/>
      </font>
    </dxf>
    <dxf>
      <font>
        <b/>
        <i val="0"/>
      </font>
    </dxf>
    <dxf>
      <font>
        <b val="0"/>
        <i val="0"/>
      </font>
    </dxf>
    <dxf>
      <font>
        <b val="0"/>
        <i val="0"/>
      </font>
    </dxf>
    <dxf>
      <font>
        <b val="0"/>
        <i val="0"/>
      </font>
    </dxf>
    <dxf>
      <font>
        <b/>
        <i val="0"/>
      </font>
    </dxf>
    <dxf>
      <font>
        <b/>
        <i val="0"/>
      </font>
    </dxf>
    <dxf>
      <font>
        <b val="0"/>
        <i val="0"/>
      </font>
    </dxf>
    <dxf>
      <font>
        <b val="0"/>
        <i val="0"/>
      </font>
    </dxf>
    <dxf>
      <font>
        <b/>
        <i val="0"/>
      </font>
    </dxf>
    <dxf>
      <font>
        <b/>
        <i val="0"/>
      </font>
    </dxf>
    <dxf>
      <font>
        <b val="0"/>
        <i val="0"/>
      </font>
    </dxf>
    <dxf>
      <font>
        <b val="0"/>
        <i val="0"/>
      </font>
    </dxf>
    <dxf>
      <font>
        <b/>
        <i val="0"/>
      </font>
    </dxf>
    <dxf>
      <font>
        <b val="0"/>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val="0"/>
        <i val="0"/>
      </font>
    </dxf>
    <dxf>
      <font>
        <b/>
        <i val="0"/>
      </font>
    </dxf>
    <dxf>
      <font>
        <b val="0"/>
        <i val="0"/>
      </font>
    </dxf>
    <dxf>
      <font>
        <b val="0"/>
        <i val="0"/>
      </font>
    </dxf>
    <dxf>
      <font>
        <b/>
        <i val="0"/>
      </font>
    </dxf>
    <dxf>
      <font>
        <b val="0"/>
        <i val="0"/>
      </font>
    </dxf>
    <dxf>
      <font>
        <b val="0"/>
        <i val="0"/>
      </font>
    </dxf>
    <dxf>
      <font>
        <b/>
        <i val="0"/>
      </font>
    </dxf>
    <dxf>
      <font>
        <b val="0"/>
        <i val="0"/>
      </font>
    </dxf>
    <dxf>
      <font>
        <b val="0"/>
        <i val="0"/>
      </font>
    </dxf>
    <dxf>
      <font>
        <b val="0"/>
        <i val="0"/>
      </font>
    </dxf>
    <dxf>
      <font>
        <b/>
        <i val="0"/>
      </font>
    </dxf>
    <dxf>
      <font>
        <b/>
        <i val="0"/>
      </font>
    </dxf>
    <dxf>
      <font>
        <b val="0"/>
        <i val="0"/>
      </font>
    </dxf>
    <dxf>
      <font>
        <b val="0"/>
        <i val="0"/>
      </font>
    </dxf>
    <dxf>
      <font>
        <b val="0"/>
        <i val="0"/>
      </font>
    </dxf>
    <dxf>
      <font>
        <b/>
        <i val="0"/>
      </font>
    </dxf>
    <dxf>
      <font>
        <b val="0"/>
        <i val="0"/>
      </font>
    </dxf>
    <dxf>
      <font>
        <b/>
        <i val="0"/>
      </font>
    </dxf>
    <dxf>
      <font>
        <b val="0"/>
        <i val="0"/>
      </font>
    </dxf>
    <dxf>
      <font>
        <b/>
        <i val="0"/>
      </font>
    </dxf>
    <dxf>
      <font>
        <b val="0"/>
        <i val="0"/>
      </font>
    </dxf>
    <dxf>
      <font>
        <b val="0"/>
        <i val="0"/>
      </font>
    </dxf>
    <dxf>
      <font>
        <b val="0"/>
        <i val="0"/>
      </font>
    </dxf>
    <dxf>
      <font>
        <b val="0"/>
        <i val="0"/>
      </font>
    </dxf>
    <dxf>
      <font>
        <b/>
        <i val="0"/>
      </font>
    </dxf>
    <dxf>
      <font>
        <b val="0"/>
        <i val="0"/>
      </font>
    </dxf>
    <dxf>
      <font>
        <b/>
        <i val="0"/>
      </font>
    </dxf>
    <dxf>
      <font>
        <b val="0"/>
        <i val="0"/>
      </font>
    </dxf>
    <dxf>
      <font>
        <b/>
        <i val="0"/>
      </font>
    </dxf>
    <dxf>
      <font>
        <b val="0"/>
        <i val="0"/>
      </font>
    </dxf>
    <dxf>
      <font>
        <b val="0"/>
        <i val="0"/>
      </font>
    </dxf>
    <dxf>
      <font>
        <b val="0"/>
        <i val="0"/>
      </font>
    </dxf>
    <dxf>
      <font>
        <b/>
        <i val="0"/>
      </font>
    </dxf>
    <dxf>
      <font>
        <b/>
        <i val="0"/>
      </font>
    </dxf>
    <dxf>
      <font>
        <b val="0"/>
        <i val="0"/>
      </font>
    </dxf>
    <dxf>
      <font>
        <b/>
        <i val="0"/>
      </font>
    </dxf>
    <dxf>
      <font>
        <b val="0"/>
        <i val="0"/>
      </font>
    </dxf>
    <dxf>
      <font>
        <b val="0"/>
        <i val="0"/>
      </font>
    </dxf>
    <dxf>
      <font>
        <b/>
        <i val="0"/>
      </font>
    </dxf>
    <dxf>
      <font>
        <b val="0"/>
        <i val="0"/>
      </font>
    </dxf>
    <dxf>
      <font>
        <b val="0"/>
        <i val="0"/>
      </font>
    </dxf>
    <dxf>
      <font>
        <b/>
        <i val="0"/>
      </font>
    </dxf>
    <dxf>
      <font>
        <b/>
        <i val="0"/>
      </font>
    </dxf>
    <dxf>
      <font>
        <b val="0"/>
        <i val="0"/>
      </font>
    </dxf>
    <dxf>
      <font>
        <b/>
        <i val="0"/>
      </font>
    </dxf>
    <dxf>
      <font>
        <b val="0"/>
        <i val="0"/>
      </font>
    </dxf>
    <dxf>
      <font>
        <b val="0"/>
        <i val="0"/>
      </font>
    </dxf>
    <dxf>
      <font>
        <b val="0"/>
        <i val="0"/>
      </font>
    </dxf>
    <dxf>
      <font>
        <b/>
        <i val="0"/>
      </font>
    </dxf>
    <dxf>
      <font>
        <b val="0"/>
        <i val="0"/>
      </font>
    </dxf>
    <dxf>
      <font>
        <b val="0"/>
        <i val="0"/>
      </font>
    </dxf>
    <dxf>
      <font>
        <b/>
        <i val="0"/>
      </font>
    </dxf>
    <dxf>
      <font>
        <b/>
        <i val="0"/>
      </font>
    </dxf>
    <dxf>
      <font>
        <b val="0"/>
        <i val="0"/>
      </font>
    </dxf>
    <dxf>
      <font>
        <b val="0"/>
        <i val="0"/>
      </font>
    </dxf>
    <dxf>
      <font>
        <b/>
        <i val="0"/>
      </font>
    </dxf>
    <dxf>
      <font>
        <b val="0"/>
        <i val="0"/>
      </font>
    </dxf>
    <dxf>
      <font>
        <b/>
        <i val="0"/>
      </font>
    </dxf>
    <dxf>
      <font>
        <b val="0"/>
        <i val="0"/>
      </font>
    </dxf>
    <dxf>
      <font>
        <b val="0"/>
        <i val="0"/>
      </font>
    </dxf>
    <dxf>
      <font>
        <b val="0"/>
        <i val="0"/>
      </font>
    </dxf>
    <dxf>
      <font>
        <b/>
        <i val="0"/>
      </font>
    </dxf>
    <dxf>
      <font>
        <b/>
        <i val="0"/>
      </font>
    </dxf>
    <dxf>
      <font>
        <b val="0"/>
        <i val="0"/>
      </font>
    </dxf>
    <dxf>
      <font>
        <b/>
        <i val="0"/>
      </font>
    </dxf>
    <dxf>
      <font>
        <b val="0"/>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i val="0"/>
      </font>
    </dxf>
    <dxf>
      <font>
        <b val="0"/>
        <i val="0"/>
      </font>
    </dxf>
    <dxf>
      <font>
        <b/>
        <i val="0"/>
      </font>
    </dxf>
    <dxf>
      <font>
        <b val="0"/>
        <i val="0"/>
      </font>
    </dxf>
    <dxf>
      <font>
        <b val="0"/>
        <i val="0"/>
      </font>
    </dxf>
    <dxf>
      <font>
        <b/>
        <i val="0"/>
      </font>
    </dxf>
    <dxf>
      <font>
        <b val="0"/>
        <i val="0"/>
      </font>
    </dxf>
    <dxf>
      <font>
        <b/>
        <i val="0"/>
      </font>
    </dxf>
    <dxf>
      <font>
        <b/>
        <i val="0"/>
      </font>
    </dxf>
    <dxf>
      <font>
        <b val="0"/>
        <i val="0"/>
      </font>
    </dxf>
    <dxf>
      <font>
        <b val="0"/>
        <i val="0"/>
      </font>
    </dxf>
    <dxf>
      <font>
        <b/>
        <i val="0"/>
      </font>
    </dxf>
    <dxf>
      <font>
        <b val="0"/>
        <i val="0"/>
      </font>
    </dxf>
    <dxf>
      <font>
        <b val="0"/>
        <i val="0"/>
      </font>
    </dxf>
    <dxf>
      <font>
        <b val="0"/>
        <i val="0"/>
      </font>
    </dxf>
    <dxf>
      <font>
        <b/>
        <i val="0"/>
      </font>
    </dxf>
    <dxf>
      <font>
        <b/>
        <i val="0"/>
      </font>
    </dxf>
    <dxf>
      <font>
        <b val="0"/>
        <i val="0"/>
      </font>
    </dxf>
    <dxf>
      <font>
        <b/>
        <i val="0"/>
      </font>
    </dxf>
    <dxf>
      <font>
        <b val="0"/>
        <i val="0"/>
      </font>
    </dxf>
    <dxf>
      <font>
        <b val="0"/>
        <i val="0"/>
      </font>
    </dxf>
    <dxf>
      <font>
        <b val="0"/>
        <i val="0"/>
      </font>
    </dxf>
    <dxf>
      <font>
        <b/>
        <i val="0"/>
      </font>
    </dxf>
    <dxf>
      <font>
        <b val="0"/>
        <i val="0"/>
      </font>
    </dxf>
    <dxf>
      <font>
        <b/>
        <i val="0"/>
      </font>
    </dxf>
    <dxf>
      <font>
        <b/>
        <i val="0"/>
      </font>
    </dxf>
    <dxf>
      <font>
        <b val="0"/>
        <i val="0"/>
      </font>
    </dxf>
    <dxf>
      <font>
        <b val="0"/>
        <i val="0"/>
      </font>
    </dxf>
    <dxf>
      <font>
        <b val="0"/>
        <i val="0"/>
      </font>
    </dxf>
    <dxf>
      <font>
        <b/>
        <i val="0"/>
      </font>
    </dxf>
    <dxf>
      <font>
        <b/>
        <i val="0"/>
      </font>
    </dxf>
    <dxf>
      <font>
        <b val="0"/>
        <i val="0"/>
      </font>
    </dxf>
    <dxf>
      <font>
        <b/>
        <i val="0"/>
      </font>
    </dxf>
    <dxf>
      <font>
        <b val="0"/>
        <i val="0"/>
      </font>
    </dxf>
    <dxf>
      <font>
        <b/>
        <i val="0"/>
      </font>
    </dxf>
    <dxf>
      <font>
        <b/>
        <i val="0"/>
      </font>
    </dxf>
    <dxf>
      <font>
        <b val="0"/>
        <i val="0"/>
      </font>
    </dxf>
    <dxf>
      <font>
        <b val="0"/>
        <i val="0"/>
      </font>
    </dxf>
    <dxf>
      <font>
        <b val="0"/>
        <i val="0"/>
      </font>
    </dxf>
    <dxf>
      <font>
        <b val="0"/>
        <i val="0"/>
      </font>
    </dxf>
    <dxf>
      <font>
        <b/>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val="0"/>
        <i val="0"/>
      </font>
    </dxf>
    <dxf>
      <font>
        <b val="0"/>
        <i val="0"/>
      </font>
    </dxf>
    <dxf>
      <font>
        <b/>
        <i val="0"/>
      </font>
    </dxf>
    <dxf>
      <font>
        <b val="0"/>
        <i val="0"/>
      </font>
    </dxf>
    <dxf>
      <font>
        <b/>
        <i val="0"/>
      </font>
    </dxf>
    <dxf>
      <font>
        <b val="0"/>
        <i val="0"/>
      </font>
    </dxf>
    <dxf>
      <font>
        <b val="0"/>
        <i val="0"/>
      </font>
    </dxf>
    <dxf>
      <font>
        <b/>
        <i val="0"/>
      </font>
    </dxf>
    <dxf>
      <font>
        <b val="0"/>
        <i val="0"/>
      </font>
    </dxf>
    <dxf>
      <font>
        <b val="0"/>
        <i val="0"/>
      </font>
    </dxf>
    <dxf>
      <font>
        <b val="0"/>
        <i val="0"/>
      </font>
    </dxf>
    <dxf>
      <font>
        <b val="0"/>
        <i val="0"/>
      </font>
    </dxf>
    <dxf>
      <font>
        <b/>
        <i val="0"/>
      </font>
    </dxf>
    <dxf>
      <font>
        <b val="0"/>
        <i val="0"/>
      </font>
    </dxf>
    <dxf>
      <font>
        <b val="0"/>
        <i val="0"/>
      </font>
    </dxf>
    <dxf>
      <font>
        <b val="0"/>
        <i val="0"/>
      </font>
    </dxf>
    <dxf>
      <font>
        <b/>
        <i val="0"/>
      </font>
    </dxf>
    <dxf>
      <font>
        <b val="0"/>
        <i val="0"/>
      </font>
    </dxf>
    <dxf>
      <font>
        <b/>
        <i val="0"/>
      </font>
    </dxf>
    <dxf>
      <font>
        <b val="0"/>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val="0"/>
        <i val="0"/>
      </font>
    </dxf>
    <dxf>
      <font>
        <b val="0"/>
        <i val="0"/>
      </font>
    </dxf>
    <dxf>
      <font>
        <b val="0"/>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val="0"/>
        <i val="0"/>
      </font>
    </dxf>
    <dxf>
      <font>
        <b/>
        <i val="0"/>
      </font>
    </dxf>
    <dxf>
      <font>
        <b val="0"/>
        <i val="0"/>
      </font>
    </dxf>
    <dxf>
      <font>
        <b val="0"/>
        <i val="0"/>
      </font>
    </dxf>
    <dxf>
      <font>
        <b val="0"/>
        <i val="0"/>
      </font>
    </dxf>
    <dxf>
      <font>
        <b val="0"/>
        <i val="0"/>
      </font>
    </dxf>
    <dxf>
      <font>
        <b/>
        <i val="0"/>
      </font>
    </dxf>
    <dxf>
      <font>
        <b val="0"/>
        <i val="0"/>
      </font>
    </dxf>
    <dxf>
      <font>
        <b/>
        <i val="0"/>
      </font>
    </dxf>
    <dxf>
      <font>
        <b val="0"/>
        <i val="0"/>
      </font>
    </dxf>
    <dxf>
      <font>
        <b/>
        <i val="0"/>
      </font>
    </dxf>
    <dxf>
      <font>
        <b val="0"/>
        <i val="0"/>
      </font>
    </dxf>
    <dxf>
      <font>
        <b val="0"/>
        <i val="0"/>
      </font>
    </dxf>
    <dxf>
      <font>
        <b/>
        <i val="0"/>
      </font>
    </dxf>
    <dxf>
      <font>
        <b val="0"/>
        <i val="0"/>
      </font>
    </dxf>
    <dxf>
      <font>
        <b/>
        <i val="0"/>
      </font>
    </dxf>
    <dxf>
      <font>
        <b val="0"/>
        <i val="0"/>
      </font>
    </dxf>
    <dxf>
      <font>
        <b/>
        <i val="0"/>
      </font>
    </dxf>
    <dxf>
      <font>
        <b val="0"/>
        <i val="0"/>
      </font>
    </dxf>
    <dxf>
      <font>
        <b val="0"/>
        <i val="0"/>
      </font>
    </dxf>
    <dxf>
      <font>
        <b/>
        <i val="0"/>
      </font>
    </dxf>
    <dxf>
      <font>
        <b val="0"/>
        <i val="0"/>
      </font>
    </dxf>
    <dxf>
      <font>
        <b/>
        <i val="0"/>
      </font>
    </dxf>
    <dxf>
      <font>
        <b val="0"/>
        <i val="0"/>
      </font>
    </dxf>
    <dxf>
      <font>
        <b/>
        <i val="0"/>
      </font>
    </dxf>
    <dxf>
      <font>
        <b val="0"/>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val="0"/>
        <i val="0"/>
      </font>
    </dxf>
    <dxf>
      <font>
        <b/>
        <i val="0"/>
      </font>
    </dxf>
    <dxf>
      <font>
        <b val="0"/>
        <i val="0"/>
      </font>
    </dxf>
    <dxf>
      <font>
        <b/>
        <i val="0"/>
      </font>
    </dxf>
    <dxf>
      <font>
        <b val="0"/>
        <i val="0"/>
      </font>
    </dxf>
    <dxf>
      <font>
        <b/>
        <i val="0"/>
      </font>
    </dxf>
    <dxf>
      <font>
        <b val="0"/>
        <i val="0"/>
      </font>
    </dxf>
    <dxf>
      <font>
        <b val="0"/>
        <i val="0"/>
      </font>
    </dxf>
    <dxf>
      <font>
        <b/>
        <i val="0"/>
      </font>
    </dxf>
    <dxf>
      <font>
        <b val="0"/>
        <i val="0"/>
      </font>
    </dxf>
    <dxf>
      <font>
        <b/>
        <i val="0"/>
      </font>
    </dxf>
    <dxf>
      <font>
        <b val="0"/>
        <i val="0"/>
      </font>
    </dxf>
    <dxf>
      <font>
        <b/>
        <i val="0"/>
      </font>
    </dxf>
    <dxf>
      <font>
        <b val="0"/>
        <i val="0"/>
      </font>
    </dxf>
    <dxf>
      <font>
        <b val="0"/>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val="0"/>
        <i val="0"/>
      </font>
    </dxf>
    <dxf>
      <font>
        <b/>
        <i val="0"/>
      </font>
    </dxf>
    <dxf>
      <font>
        <b val="0"/>
        <i val="0"/>
      </font>
    </dxf>
    <dxf>
      <font>
        <b val="0"/>
        <i val="0"/>
      </font>
    </dxf>
    <dxf>
      <font>
        <b/>
        <i val="0"/>
      </font>
    </dxf>
    <dxf>
      <font>
        <b val="0"/>
        <i val="0"/>
      </font>
    </dxf>
    <dxf>
      <font>
        <b/>
        <i val="0"/>
      </font>
    </dxf>
    <dxf>
      <font>
        <b val="0"/>
        <i val="0"/>
      </font>
    </dxf>
    <dxf>
      <font>
        <b val="0"/>
        <i val="0"/>
      </font>
    </dxf>
    <dxf>
      <font>
        <b/>
        <i val="0"/>
      </font>
    </dxf>
    <dxf>
      <font>
        <b val="0"/>
        <i val="0"/>
      </font>
    </dxf>
    <dxf>
      <font>
        <b val="0"/>
        <i val="0"/>
      </font>
    </dxf>
    <dxf>
      <font>
        <b/>
        <i val="0"/>
      </font>
    </dxf>
    <dxf>
      <font>
        <b/>
        <i val="0"/>
      </font>
    </dxf>
    <dxf>
      <font>
        <b val="0"/>
        <i val="0"/>
      </font>
    </dxf>
    <dxf>
      <font>
        <b val="0"/>
        <i val="0"/>
      </font>
    </dxf>
    <dxf>
      <font>
        <b/>
        <i val="0"/>
      </font>
    </dxf>
    <dxf>
      <font>
        <b val="0"/>
        <i val="0"/>
      </font>
    </dxf>
    <dxf>
      <font>
        <b val="0"/>
        <i val="0"/>
      </font>
    </dxf>
    <dxf>
      <font>
        <b/>
        <i val="0"/>
      </font>
    </dxf>
    <dxf>
      <font>
        <b val="0"/>
        <i val="0"/>
      </font>
    </dxf>
    <dxf>
      <font>
        <b val="0"/>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val="0"/>
        <i val="0"/>
      </font>
    </dxf>
    <dxf>
      <font>
        <b/>
        <i val="0"/>
      </font>
    </dxf>
    <dxf>
      <font>
        <b val="0"/>
        <i val="0"/>
      </font>
    </dxf>
    <dxf>
      <font>
        <b val="0"/>
        <i val="0"/>
      </font>
    </dxf>
    <dxf>
      <font>
        <b/>
        <i val="0"/>
      </font>
    </dxf>
    <dxf>
      <font>
        <b val="0"/>
        <i val="0"/>
      </font>
    </dxf>
    <dxf>
      <font>
        <b/>
        <i val="0"/>
      </font>
    </dxf>
    <dxf>
      <font>
        <b val="0"/>
        <i val="0"/>
      </font>
    </dxf>
    <dxf>
      <font>
        <b/>
        <i val="0"/>
      </font>
    </dxf>
    <dxf>
      <font>
        <b/>
        <i val="0"/>
      </font>
    </dxf>
    <dxf>
      <font>
        <b val="0"/>
        <i val="0"/>
      </font>
    </dxf>
    <dxf>
      <font>
        <b val="0"/>
        <i val="0"/>
      </font>
    </dxf>
    <dxf>
      <font>
        <b/>
        <i val="0"/>
      </font>
    </dxf>
    <dxf>
      <font>
        <b val="0"/>
        <i val="0"/>
      </font>
    </dxf>
    <dxf>
      <font>
        <b val="0"/>
        <i val="0"/>
      </font>
    </dxf>
    <dxf>
      <font>
        <b val="0"/>
        <i val="0"/>
      </font>
    </dxf>
    <dxf>
      <font>
        <b/>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i val="0"/>
      </font>
    </dxf>
    <dxf>
      <font>
        <b/>
        <i val="0"/>
      </font>
    </dxf>
    <dxf>
      <font>
        <b/>
        <i val="0"/>
      </font>
    </dxf>
    <dxf>
      <font>
        <b val="0"/>
        <i val="0"/>
      </font>
    </dxf>
    <dxf>
      <font>
        <b/>
        <i val="0"/>
      </font>
    </dxf>
    <dxf>
      <font>
        <b val="0"/>
        <i val="0"/>
      </font>
    </dxf>
    <dxf>
      <font>
        <b val="0"/>
        <i val="0"/>
      </font>
    </dxf>
    <dxf>
      <font>
        <b val="0"/>
        <i val="0"/>
      </font>
    </dxf>
    <dxf>
      <font>
        <b val="0"/>
        <i val="0"/>
      </font>
    </dxf>
    <dxf>
      <font>
        <b val="0"/>
        <i val="0"/>
      </font>
    </dxf>
    <dxf>
      <font>
        <b/>
        <i val="0"/>
      </font>
    </dxf>
    <dxf>
      <font>
        <b/>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i val="0"/>
      </font>
    </dxf>
    <dxf>
      <font>
        <b val="0"/>
        <i val="0"/>
      </font>
    </dxf>
    <dxf>
      <font>
        <b val="0"/>
        <i val="0"/>
      </font>
    </dxf>
    <dxf>
      <font>
        <b val="0"/>
        <i val="0"/>
      </font>
    </dxf>
    <dxf>
      <font>
        <b/>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i val="0"/>
      </font>
    </dxf>
    <dxf>
      <font>
        <b val="0"/>
        <i val="0"/>
      </font>
    </dxf>
    <dxf>
      <font>
        <b/>
        <i val="0"/>
      </font>
    </dxf>
    <dxf>
      <font>
        <b val="0"/>
        <i val="0"/>
      </font>
    </dxf>
    <dxf>
      <font>
        <b/>
        <i val="0"/>
      </font>
    </dxf>
    <dxf>
      <font>
        <b val="0"/>
        <i val="0"/>
      </font>
    </dxf>
    <dxf>
      <font>
        <b val="0"/>
        <i val="0"/>
      </font>
    </dxf>
    <dxf>
      <font>
        <b/>
        <i val="0"/>
      </font>
    </dxf>
    <dxf>
      <font>
        <b val="0"/>
        <i val="0"/>
      </font>
    </dxf>
    <dxf>
      <font>
        <b val="0"/>
        <i val="0"/>
      </font>
    </dxf>
    <dxf>
      <font>
        <b/>
        <i val="0"/>
      </font>
    </dxf>
    <dxf>
      <font>
        <b/>
        <i val="0"/>
      </font>
    </dxf>
    <dxf>
      <font>
        <b val="0"/>
        <i val="0"/>
      </font>
    </dxf>
    <dxf>
      <font>
        <b val="0"/>
        <i val="0"/>
      </font>
    </dxf>
    <dxf>
      <font>
        <b val="0"/>
        <i val="0"/>
      </font>
    </dxf>
    <dxf>
      <font>
        <b/>
        <i val="0"/>
      </font>
    </dxf>
    <dxf>
      <font>
        <b/>
        <i val="0"/>
      </font>
    </dxf>
    <dxf>
      <font>
        <b val="0"/>
        <i val="0"/>
      </font>
    </dxf>
    <dxf>
      <font>
        <b val="0"/>
        <i val="0"/>
      </font>
    </dxf>
    <dxf>
      <font>
        <b/>
        <i val="0"/>
      </font>
    </dxf>
    <dxf>
      <font>
        <b/>
        <i val="0"/>
      </font>
    </dxf>
    <dxf>
      <font>
        <b val="0"/>
        <i val="0"/>
      </font>
    </dxf>
    <dxf>
      <font>
        <b val="0"/>
        <i val="0"/>
      </font>
    </dxf>
    <dxf>
      <font>
        <b/>
        <i val="0"/>
      </font>
    </dxf>
    <dxf>
      <font>
        <b val="0"/>
        <i val="0"/>
      </font>
    </dxf>
    <dxf>
      <font>
        <b/>
        <i val="0"/>
      </font>
    </dxf>
    <dxf>
      <font>
        <b val="0"/>
        <i val="0"/>
      </font>
    </dxf>
    <dxf>
      <font>
        <b/>
        <i val="0"/>
      </font>
    </dxf>
    <dxf>
      <font>
        <b val="0"/>
        <i val="0"/>
      </font>
    </dxf>
    <dxf>
      <font>
        <b val="0"/>
        <i val="0"/>
      </font>
    </dxf>
    <dxf>
      <font>
        <b val="0"/>
        <i val="0"/>
      </font>
    </dxf>
    <dxf>
      <font>
        <b/>
        <i val="0"/>
      </font>
    </dxf>
    <dxf>
      <font>
        <b/>
        <i val="0"/>
      </font>
    </dxf>
    <dxf>
      <font>
        <b val="0"/>
        <i val="0"/>
      </font>
    </dxf>
    <dxf>
      <font>
        <b val="0"/>
        <i val="0"/>
      </font>
    </dxf>
    <dxf>
      <font>
        <b val="0"/>
        <i val="0"/>
      </font>
    </dxf>
    <dxf>
      <font>
        <b val="0"/>
        <i val="0"/>
      </font>
    </dxf>
    <dxf>
      <font>
        <b/>
        <i val="0"/>
      </font>
    </dxf>
    <dxf>
      <font>
        <b val="0"/>
        <i val="0"/>
      </font>
    </dxf>
    <dxf>
      <font>
        <b/>
        <i val="0"/>
      </font>
    </dxf>
    <dxf>
      <font>
        <b val="0"/>
        <i val="0"/>
      </font>
    </dxf>
    <dxf>
      <font>
        <b/>
        <i val="0"/>
      </font>
    </dxf>
    <dxf>
      <font>
        <b val="0"/>
        <i val="0"/>
      </font>
    </dxf>
    <dxf>
      <font>
        <b val="0"/>
        <i val="0"/>
      </font>
    </dxf>
    <dxf>
      <font>
        <b/>
        <i val="0"/>
      </font>
    </dxf>
    <dxf>
      <font>
        <b val="0"/>
        <i val="0"/>
      </font>
    </dxf>
    <dxf>
      <font>
        <b val="0"/>
        <i val="0"/>
      </font>
    </dxf>
    <dxf>
      <font>
        <b/>
        <i val="0"/>
      </font>
    </dxf>
    <dxf>
      <font>
        <b val="0"/>
        <i val="0"/>
      </font>
    </dxf>
    <dxf>
      <font>
        <b val="0"/>
        <i val="0"/>
      </font>
    </dxf>
    <dxf>
      <font>
        <b/>
        <i val="0"/>
      </font>
    </dxf>
    <dxf>
      <font>
        <b val="0"/>
        <i val="0"/>
      </font>
    </dxf>
    <dxf>
      <font>
        <b val="0"/>
        <i val="0"/>
      </font>
    </dxf>
    <dxf>
      <font>
        <b val="0"/>
        <i val="0"/>
      </font>
    </dxf>
    <dxf>
      <font>
        <b/>
        <i val="0"/>
      </font>
    </dxf>
    <dxf>
      <font>
        <b/>
        <i val="0"/>
      </font>
    </dxf>
    <dxf>
      <font>
        <b val="0"/>
        <i val="0"/>
      </font>
    </dxf>
    <dxf>
      <font>
        <b val="0"/>
        <i val="0"/>
      </font>
    </dxf>
    <dxf>
      <font>
        <b val="0"/>
        <i val="0"/>
      </font>
    </dxf>
    <dxf>
      <font>
        <b/>
        <i val="0"/>
      </font>
    </dxf>
    <dxf>
      <font>
        <b val="0"/>
        <i val="0"/>
      </font>
    </dxf>
    <dxf>
      <font>
        <b/>
        <i val="0"/>
      </font>
    </dxf>
    <dxf>
      <font>
        <b val="0"/>
        <i val="0"/>
      </font>
    </dxf>
    <dxf>
      <font>
        <b/>
        <i val="0"/>
      </font>
    </dxf>
    <dxf>
      <font>
        <b val="0"/>
        <i val="0"/>
      </font>
    </dxf>
    <dxf>
      <font>
        <b val="0"/>
        <i val="0"/>
      </font>
    </dxf>
    <dxf>
      <font>
        <b val="0"/>
        <i val="0"/>
      </font>
    </dxf>
    <dxf>
      <font>
        <b val="0"/>
        <i val="0"/>
      </font>
    </dxf>
    <dxf>
      <font>
        <b/>
        <i val="0"/>
      </font>
    </dxf>
    <dxf>
      <font>
        <b val="0"/>
        <i val="0"/>
      </font>
    </dxf>
    <dxf>
      <font>
        <b/>
        <i val="0"/>
      </font>
    </dxf>
    <dxf>
      <font>
        <b val="0"/>
        <i val="0"/>
      </font>
    </dxf>
    <dxf>
      <font>
        <b/>
        <i val="0"/>
      </font>
    </dxf>
    <dxf>
      <font>
        <b val="0"/>
        <i val="0"/>
      </font>
    </dxf>
    <dxf>
      <font>
        <b val="0"/>
        <i val="0"/>
      </font>
    </dxf>
    <dxf>
      <font>
        <b val="0"/>
        <i val="0"/>
      </font>
    </dxf>
    <dxf>
      <font>
        <b/>
        <i val="0"/>
      </font>
    </dxf>
    <dxf>
      <font>
        <b val="0"/>
        <i val="0"/>
      </font>
    </dxf>
    <dxf>
      <font>
        <b val="0"/>
        <i val="0"/>
      </font>
    </dxf>
    <dxf>
      <font>
        <b val="0"/>
        <i val="0"/>
      </font>
    </dxf>
    <dxf>
      <font>
        <b/>
        <i val="0"/>
      </font>
    </dxf>
    <dxf>
      <font>
        <b/>
        <i val="0"/>
      </font>
    </dxf>
    <dxf>
      <font>
        <b val="0"/>
        <i val="0"/>
      </font>
    </dxf>
    <dxf>
      <font>
        <b/>
        <i val="0"/>
      </font>
    </dxf>
    <dxf>
      <font>
        <b val="0"/>
        <i val="0"/>
      </font>
    </dxf>
    <dxf>
      <font>
        <b val="0"/>
        <i val="0"/>
      </font>
    </dxf>
    <dxf>
      <font>
        <b/>
        <i val="0"/>
      </font>
    </dxf>
    <dxf>
      <font>
        <b val="0"/>
        <i val="0"/>
      </font>
    </dxf>
    <dxf>
      <font>
        <b val="0"/>
        <i val="0"/>
      </font>
    </dxf>
    <dxf>
      <font>
        <b val="0"/>
        <i val="0"/>
      </font>
    </dxf>
    <dxf>
      <font>
        <b/>
        <i val="0"/>
      </font>
    </dxf>
    <dxf>
      <font>
        <b/>
        <i val="0"/>
      </font>
    </dxf>
    <dxf>
      <font>
        <b val="0"/>
        <i val="0"/>
      </font>
    </dxf>
    <dxf>
      <font>
        <b/>
        <i val="0"/>
      </font>
    </dxf>
    <dxf>
      <font>
        <b val="0"/>
        <i val="0"/>
      </font>
    </dxf>
    <dxf>
      <font>
        <b val="0"/>
        <i val="0"/>
      </font>
    </dxf>
    <dxf>
      <font>
        <b val="0"/>
        <i val="0"/>
      </font>
    </dxf>
    <dxf>
      <font>
        <b val="0"/>
        <i val="0"/>
      </font>
    </dxf>
    <dxf>
      <font>
        <b/>
        <i val="0"/>
      </font>
    </dxf>
    <dxf>
      <font>
        <b val="0"/>
        <i val="0"/>
      </font>
    </dxf>
    <dxf>
      <font>
        <b/>
        <i val="0"/>
      </font>
    </dxf>
    <dxf>
      <font>
        <b/>
        <i val="0"/>
      </font>
    </dxf>
    <dxf>
      <font>
        <b val="0"/>
        <i val="0"/>
      </font>
    </dxf>
    <dxf>
      <font>
        <b val="0"/>
        <i val="0"/>
      </font>
    </dxf>
    <dxf>
      <font>
        <b val="0"/>
        <i val="0"/>
      </font>
    </dxf>
    <dxf>
      <font>
        <b/>
        <i val="0"/>
      </font>
    </dxf>
    <dxf>
      <font>
        <b val="0"/>
        <i val="0"/>
      </font>
    </dxf>
    <dxf>
      <font>
        <b val="0"/>
        <i val="0"/>
      </font>
    </dxf>
    <dxf>
      <font>
        <b val="0"/>
        <i val="0"/>
      </font>
    </dxf>
    <dxf>
      <font>
        <b/>
        <i val="0"/>
      </font>
    </dxf>
    <dxf>
      <font>
        <b val="0"/>
        <i val="0"/>
      </font>
    </dxf>
    <dxf>
      <font>
        <b/>
        <i val="0"/>
      </font>
    </dxf>
    <dxf>
      <font>
        <b/>
        <i val="0"/>
      </font>
    </dxf>
    <dxf>
      <font>
        <b val="0"/>
        <i val="0"/>
      </font>
    </dxf>
    <dxf>
      <font>
        <b val="0"/>
        <i val="0"/>
      </font>
    </dxf>
    <dxf>
      <font>
        <b val="0"/>
        <i val="0"/>
      </font>
    </dxf>
    <dxf>
      <font>
        <b/>
        <i val="0"/>
      </font>
    </dxf>
    <dxf>
      <font>
        <b/>
        <i val="0"/>
      </font>
    </dxf>
    <dxf>
      <font>
        <b val="0"/>
        <i val="0"/>
      </font>
    </dxf>
    <dxf>
      <font>
        <b/>
        <i val="0"/>
      </font>
    </dxf>
    <dxf>
      <font>
        <b/>
        <i val="0"/>
      </font>
    </dxf>
    <dxf>
      <font>
        <b val="0"/>
        <i val="0"/>
      </font>
    </dxf>
    <dxf>
      <font>
        <b val="0"/>
        <i val="0"/>
      </font>
    </dxf>
    <dxf>
      <font>
        <b/>
        <i val="0"/>
      </font>
    </dxf>
    <dxf>
      <font>
        <b val="0"/>
        <i val="0"/>
      </font>
    </dxf>
    <dxf>
      <font>
        <b/>
        <i val="0"/>
      </font>
    </dxf>
    <dxf>
      <font>
        <b val="0"/>
        <i val="0"/>
      </font>
    </dxf>
    <dxf>
      <font>
        <b val="0"/>
        <i val="0"/>
      </font>
    </dxf>
    <dxf>
      <font>
        <b/>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val="0"/>
        <i val="0"/>
      </font>
    </dxf>
    <dxf>
      <font>
        <b/>
        <i val="0"/>
      </font>
    </dxf>
    <dxf>
      <font>
        <b val="0"/>
        <i val="0"/>
      </font>
    </dxf>
    <dxf>
      <font>
        <b/>
        <i val="0"/>
      </font>
    </dxf>
    <dxf>
      <font>
        <b val="0"/>
        <i val="0"/>
      </font>
    </dxf>
    <dxf>
      <font>
        <b val="0"/>
        <i val="0"/>
      </font>
    </dxf>
    <dxf>
      <font>
        <b/>
        <i val="0"/>
      </font>
    </dxf>
    <dxf>
      <font>
        <b/>
        <i val="0"/>
      </font>
    </dxf>
    <dxf>
      <font>
        <b val="0"/>
        <i val="0"/>
      </font>
    </dxf>
    <dxf>
      <font>
        <b val="0"/>
        <i val="0"/>
      </font>
    </dxf>
    <dxf>
      <font>
        <b/>
        <i val="0"/>
      </font>
    </dxf>
    <dxf>
      <font>
        <b val="0"/>
        <i val="0"/>
      </font>
    </dxf>
    <dxf>
      <font>
        <b/>
        <i val="0"/>
      </font>
    </dxf>
    <dxf>
      <font>
        <b val="0"/>
        <i val="0"/>
      </font>
    </dxf>
    <dxf>
      <font>
        <b val="0"/>
        <i val="0"/>
      </font>
    </dxf>
    <dxf>
      <font>
        <b/>
        <i val="0"/>
      </font>
    </dxf>
    <dxf>
      <font>
        <b val="0"/>
        <i val="0"/>
      </font>
    </dxf>
    <dxf>
      <font>
        <b val="0"/>
        <i val="0"/>
      </font>
    </dxf>
    <dxf>
      <font>
        <b/>
        <i val="0"/>
      </font>
    </dxf>
    <dxf>
      <font>
        <b/>
        <i val="0"/>
      </font>
    </dxf>
    <dxf>
      <font>
        <b val="0"/>
        <i val="0"/>
      </font>
    </dxf>
    <dxf>
      <font>
        <b val="0"/>
        <i val="0"/>
      </font>
    </dxf>
    <dxf>
      <font>
        <b/>
        <i val="0"/>
      </font>
    </dxf>
    <dxf>
      <font>
        <b/>
        <i val="0"/>
      </font>
    </dxf>
    <dxf>
      <font>
        <b val="0"/>
        <i val="0"/>
      </font>
    </dxf>
    <dxf>
      <font>
        <b val="0"/>
        <i val="0"/>
      </font>
    </dxf>
    <dxf>
      <font>
        <b/>
        <i val="0"/>
      </font>
    </dxf>
    <dxf>
      <font>
        <b/>
        <i val="0"/>
      </font>
    </dxf>
    <dxf>
      <font>
        <b val="0"/>
        <i val="0"/>
      </font>
    </dxf>
    <dxf>
      <font>
        <b val="0"/>
        <i val="0"/>
      </font>
    </dxf>
    <dxf>
      <font>
        <b/>
        <i val="0"/>
      </font>
    </dxf>
    <dxf>
      <font>
        <b/>
        <i val="0"/>
      </font>
    </dxf>
    <dxf>
      <font>
        <b val="0"/>
        <i val="0"/>
      </font>
    </dxf>
    <dxf>
      <font>
        <b val="0"/>
        <i val="0"/>
      </font>
    </dxf>
    <dxf>
      <font>
        <b val="0"/>
        <i val="0"/>
      </font>
    </dxf>
    <dxf>
      <font>
        <b val="0"/>
        <i val="0"/>
      </font>
    </dxf>
    <dxf>
      <font>
        <b/>
        <i val="0"/>
      </font>
    </dxf>
    <dxf>
      <font>
        <b val="0"/>
        <i val="0"/>
      </font>
    </dxf>
    <dxf>
      <font>
        <b/>
        <i val="0"/>
      </font>
    </dxf>
    <dxf>
      <font>
        <b val="0"/>
        <i val="0"/>
      </font>
    </dxf>
    <dxf>
      <font>
        <b/>
        <i val="0"/>
      </font>
    </dxf>
    <dxf>
      <font>
        <b val="0"/>
        <i val="0"/>
      </font>
    </dxf>
    <dxf>
      <font>
        <b/>
        <i val="0"/>
      </font>
    </dxf>
    <dxf>
      <font>
        <b/>
        <i val="0"/>
      </font>
    </dxf>
    <dxf>
      <font>
        <b val="0"/>
        <i val="0"/>
      </font>
    </dxf>
    <dxf>
      <font>
        <b val="0"/>
        <i val="0"/>
      </font>
    </dxf>
    <dxf>
      <font>
        <b/>
        <i val="0"/>
      </font>
    </dxf>
    <dxf>
      <font>
        <b/>
        <i val="0"/>
      </font>
    </dxf>
    <dxf>
      <font>
        <b val="0"/>
        <i val="0"/>
      </font>
    </dxf>
    <dxf>
      <font>
        <b val="0"/>
        <i val="0"/>
      </font>
    </dxf>
    <dxf>
      <font>
        <b/>
        <i val="0"/>
      </font>
    </dxf>
    <dxf>
      <font>
        <b val="0"/>
        <i val="0"/>
      </font>
    </dxf>
    <dxf>
      <font>
        <b/>
        <i val="0"/>
      </font>
    </dxf>
    <dxf>
      <font>
        <b/>
        <i val="0"/>
      </font>
    </dxf>
    <dxf>
      <font>
        <b val="0"/>
        <i val="0"/>
      </font>
    </dxf>
    <dxf>
      <font>
        <b val="0"/>
        <i val="0"/>
      </font>
    </dxf>
    <dxf>
      <font>
        <b val="0"/>
        <i val="0"/>
      </font>
    </dxf>
    <dxf>
      <font>
        <b/>
        <i val="0"/>
      </font>
    </dxf>
    <dxf>
      <font>
        <b val="0"/>
        <i val="0"/>
      </font>
    </dxf>
    <dxf>
      <font>
        <b val="0"/>
        <i val="0"/>
      </font>
    </dxf>
    <dxf>
      <font>
        <b/>
        <i val="0"/>
      </font>
    </dxf>
    <dxf>
      <font>
        <b val="0"/>
        <i val="0"/>
      </font>
    </dxf>
    <dxf>
      <font>
        <b val="0"/>
        <i val="0"/>
      </font>
    </dxf>
    <dxf>
      <font>
        <b/>
        <i val="0"/>
      </font>
    </dxf>
    <dxf>
      <font>
        <b val="0"/>
        <i val="0"/>
      </font>
    </dxf>
    <dxf>
      <font>
        <b val="0"/>
        <i val="0"/>
      </font>
    </dxf>
    <dxf>
      <font>
        <b/>
        <i val="0"/>
      </font>
    </dxf>
    <dxf>
      <font>
        <b val="0"/>
        <i val="0"/>
      </font>
    </dxf>
    <dxf>
      <font>
        <b/>
        <i val="0"/>
      </font>
    </dxf>
    <dxf>
      <font>
        <b/>
        <i val="0"/>
      </font>
    </dxf>
    <dxf>
      <font>
        <b val="0"/>
        <i val="0"/>
      </font>
    </dxf>
    <dxf>
      <font>
        <b/>
        <i val="0"/>
      </font>
    </dxf>
    <dxf>
      <font>
        <b/>
        <i val="0"/>
      </font>
    </dxf>
    <dxf>
      <font>
        <b val="0"/>
        <i val="0"/>
      </font>
    </dxf>
    <dxf>
      <font>
        <b/>
        <i val="0"/>
      </font>
    </dxf>
    <dxf>
      <font>
        <b val="0"/>
        <i val="0"/>
      </font>
    </dxf>
    <dxf>
      <font>
        <b/>
        <i val="0"/>
      </font>
    </dxf>
    <dxf>
      <font>
        <b val="0"/>
        <i val="0"/>
      </font>
    </dxf>
    <dxf>
      <font>
        <b val="0"/>
        <i val="0"/>
      </font>
    </dxf>
    <dxf>
      <font>
        <b/>
        <i val="0"/>
      </font>
    </dxf>
    <dxf>
      <font>
        <b val="0"/>
        <i val="0"/>
      </font>
    </dxf>
    <dxf>
      <font>
        <b val="0"/>
        <i val="0"/>
      </font>
    </dxf>
    <dxf>
      <font>
        <b val="0"/>
        <i val="0"/>
      </font>
    </dxf>
    <dxf>
      <font>
        <b val="0"/>
        <i val="0"/>
      </font>
    </dxf>
    <dxf>
      <font>
        <b val="0"/>
        <i val="0"/>
      </font>
    </dxf>
    <dxf>
      <font>
        <b/>
        <i val="0"/>
      </font>
    </dxf>
    <dxf>
      <font>
        <b/>
        <i val="0"/>
      </font>
    </dxf>
    <dxf>
      <font>
        <b/>
        <i val="0"/>
      </font>
    </dxf>
    <dxf>
      <font>
        <b/>
        <i val="0"/>
      </font>
    </dxf>
    <dxf>
      <font>
        <b val="0"/>
        <i val="0"/>
      </font>
    </dxf>
    <dxf>
      <font>
        <b/>
        <i val="0"/>
      </font>
    </dxf>
    <dxf>
      <font>
        <b/>
        <i val="0"/>
      </font>
    </dxf>
    <dxf>
      <font>
        <b val="0"/>
        <i val="0"/>
      </font>
    </dxf>
    <dxf>
      <font>
        <b/>
        <i val="0"/>
      </font>
    </dxf>
    <dxf>
      <font>
        <b val="0"/>
        <i val="0"/>
      </font>
    </dxf>
    <dxf>
      <font>
        <b val="0"/>
        <i val="0"/>
      </font>
    </dxf>
    <dxf>
      <font>
        <b/>
        <i val="0"/>
      </font>
    </dxf>
    <dxf>
      <font>
        <b val="0"/>
        <i val="0"/>
      </font>
    </dxf>
    <dxf>
      <font>
        <b/>
        <i val="0"/>
      </font>
    </dxf>
    <dxf>
      <font>
        <b val="0"/>
        <i val="0"/>
      </font>
    </dxf>
    <dxf>
      <font>
        <b val="0"/>
        <i val="0"/>
      </font>
    </dxf>
    <dxf>
      <font>
        <b/>
        <i val="0"/>
      </font>
    </dxf>
    <dxf>
      <font>
        <b val="0"/>
        <i val="0"/>
      </font>
    </dxf>
    <dxf>
      <font>
        <b/>
        <i val="0"/>
      </font>
    </dxf>
    <dxf>
      <font>
        <b val="0"/>
        <i val="0"/>
      </font>
    </dxf>
    <dxf>
      <font>
        <b/>
        <i val="0"/>
      </font>
    </dxf>
    <dxf>
      <font>
        <b val="0"/>
        <i val="0"/>
      </font>
    </dxf>
    <dxf>
      <font>
        <b val="0"/>
        <i val="0"/>
      </font>
    </dxf>
    <dxf>
      <font>
        <b val="0"/>
        <i val="0"/>
      </font>
    </dxf>
    <dxf>
      <font>
        <b/>
        <i val="0"/>
      </font>
    </dxf>
    <dxf>
      <font>
        <b val="0"/>
        <i val="0"/>
      </font>
    </dxf>
    <dxf>
      <font>
        <b val="0"/>
        <i val="0"/>
      </font>
    </dxf>
    <dxf>
      <font>
        <b/>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i val="0"/>
      </font>
    </dxf>
    <dxf>
      <font>
        <b val="0"/>
        <i val="0"/>
      </font>
    </dxf>
    <dxf>
      <font>
        <b val="0"/>
        <i val="0"/>
      </font>
    </dxf>
    <dxf>
      <font>
        <b val="0"/>
        <i val="0"/>
      </font>
    </dxf>
    <dxf>
      <font>
        <b val="0"/>
        <i val="0"/>
      </font>
    </dxf>
    <dxf>
      <font>
        <b val="0"/>
        <i val="0"/>
      </font>
    </dxf>
    <dxf>
      <font>
        <b val="0"/>
        <i val="0"/>
      </font>
    </dxf>
    <dxf>
      <font>
        <b/>
        <i val="0"/>
      </font>
    </dxf>
    <dxf>
      <font>
        <b val="0"/>
        <i val="0"/>
      </font>
    </dxf>
    <dxf>
      <font>
        <b/>
        <i val="0"/>
      </font>
    </dxf>
    <dxf>
      <font>
        <b/>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i val="0"/>
      </font>
    </dxf>
    <dxf>
      <font>
        <b/>
        <i val="0"/>
      </font>
    </dxf>
    <dxf>
      <font>
        <b/>
        <i val="0"/>
      </font>
    </dxf>
    <dxf>
      <font>
        <b/>
        <i val="0"/>
      </font>
    </dxf>
    <dxf>
      <font>
        <b val="0"/>
        <i val="0"/>
      </font>
    </dxf>
    <dxf>
      <font>
        <b val="0"/>
        <i val="0"/>
      </font>
    </dxf>
    <dxf>
      <font>
        <b val="0"/>
        <i val="0"/>
      </font>
    </dxf>
    <dxf>
      <font>
        <b val="0"/>
        <i val="0"/>
      </font>
    </dxf>
    <dxf>
      <font>
        <b val="0"/>
        <i val="0"/>
      </font>
    </dxf>
    <dxf>
      <font>
        <b val="0"/>
        <i val="0"/>
      </font>
    </dxf>
    <dxf>
      <font>
        <b val="0"/>
        <i val="0"/>
      </font>
    </dxf>
    <dxf>
      <font>
        <b/>
        <i val="0"/>
      </font>
    </dxf>
    <dxf>
      <font>
        <b val="0"/>
        <i val="0"/>
      </font>
    </dxf>
    <dxf>
      <font>
        <b val="0"/>
        <i val="0"/>
      </font>
    </dxf>
    <dxf>
      <font>
        <b/>
        <i val="0"/>
      </font>
    </dxf>
    <dxf>
      <font>
        <b/>
        <i val="0"/>
      </font>
    </dxf>
    <dxf>
      <font>
        <b val="0"/>
        <i val="0"/>
      </font>
    </dxf>
    <dxf>
      <font>
        <b/>
        <i val="0"/>
      </font>
    </dxf>
    <dxf>
      <font>
        <b val="0"/>
        <i val="0"/>
      </font>
    </dxf>
    <dxf>
      <font>
        <b val="0"/>
        <i val="0"/>
      </font>
    </dxf>
    <dxf>
      <font>
        <b val="0"/>
        <i val="0"/>
      </font>
    </dxf>
    <dxf>
      <font>
        <b/>
        <i val="0"/>
      </font>
    </dxf>
    <dxf>
      <font>
        <b val="0"/>
        <i val="0"/>
      </font>
    </dxf>
    <dxf>
      <font>
        <b/>
        <i val="0"/>
      </font>
    </dxf>
    <dxf>
      <font>
        <b val="0"/>
        <i val="0"/>
      </font>
    </dxf>
    <dxf>
      <font>
        <b val="0"/>
        <i val="0"/>
      </font>
    </dxf>
    <dxf>
      <font>
        <b/>
        <i val="0"/>
      </font>
    </dxf>
    <dxf>
      <font>
        <b val="0"/>
        <i val="0"/>
      </font>
    </dxf>
    <dxf>
      <font>
        <b val="0"/>
        <i val="0"/>
      </font>
    </dxf>
    <dxf>
      <font>
        <b/>
        <i val="0"/>
      </font>
    </dxf>
    <dxf>
      <font>
        <b/>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i val="0"/>
      </font>
    </dxf>
    <dxf>
      <font>
        <b val="0"/>
        <i val="0"/>
      </font>
    </dxf>
    <dxf>
      <font>
        <b/>
        <i val="0"/>
      </font>
    </dxf>
    <dxf>
      <font>
        <b val="0"/>
        <i val="0"/>
      </font>
    </dxf>
    <dxf>
      <font>
        <b val="0"/>
        <i val="0"/>
      </font>
    </dxf>
    <dxf>
      <font>
        <b/>
        <i val="0"/>
      </font>
    </dxf>
    <dxf>
      <font>
        <b val="0"/>
        <i val="0"/>
      </font>
    </dxf>
    <dxf>
      <font>
        <b val="0"/>
        <i val="0"/>
      </font>
    </dxf>
    <dxf>
      <font>
        <b/>
        <i val="0"/>
      </font>
    </dxf>
    <dxf>
      <font>
        <b val="0"/>
        <i val="0"/>
      </font>
    </dxf>
    <dxf>
      <font>
        <b val="0"/>
        <i val="0"/>
      </font>
    </dxf>
    <dxf>
      <font>
        <b/>
        <i val="0"/>
      </font>
    </dxf>
    <dxf>
      <font>
        <b val="0"/>
        <i val="0"/>
      </font>
    </dxf>
    <dxf>
      <font>
        <b val="0"/>
        <i val="0"/>
      </font>
    </dxf>
    <dxf>
      <font>
        <b val="0"/>
        <i val="0"/>
      </font>
    </dxf>
    <dxf>
      <font>
        <b/>
        <i val="0"/>
      </font>
    </dxf>
    <dxf>
      <font>
        <b val="0"/>
        <i val="0"/>
      </font>
    </dxf>
    <dxf>
      <font>
        <b/>
        <i val="0"/>
      </font>
    </dxf>
    <dxf>
      <font>
        <b/>
        <i val="0"/>
      </font>
    </dxf>
    <dxf>
      <font>
        <b val="0"/>
        <i val="0"/>
      </font>
    </dxf>
    <dxf>
      <font>
        <b val="0"/>
        <i val="0"/>
      </font>
    </dxf>
    <dxf>
      <font>
        <b/>
        <i val="0"/>
      </font>
    </dxf>
    <dxf>
      <font>
        <b val="0"/>
        <i val="0"/>
      </font>
    </dxf>
    <dxf>
      <font>
        <b val="0"/>
        <i val="0"/>
      </font>
    </dxf>
    <dxf>
      <font>
        <b/>
        <i val="0"/>
      </font>
    </dxf>
    <dxf>
      <font>
        <b/>
        <i val="0"/>
      </font>
    </dxf>
    <dxf>
      <font>
        <b val="0"/>
        <i val="0"/>
      </font>
    </dxf>
    <dxf>
      <font>
        <b val="0"/>
        <i val="0"/>
      </font>
    </dxf>
    <dxf>
      <font>
        <b val="0"/>
        <i val="0"/>
      </font>
    </dxf>
    <dxf>
      <font>
        <b val="0"/>
        <i val="0"/>
      </font>
    </dxf>
    <dxf>
      <font>
        <b val="0"/>
        <i val="0"/>
      </font>
    </dxf>
    <dxf>
      <font>
        <b/>
        <i val="0"/>
      </font>
    </dxf>
    <dxf>
      <font>
        <b/>
        <i val="0"/>
      </font>
    </dxf>
    <dxf>
      <font>
        <b val="0"/>
        <i val="0"/>
      </font>
    </dxf>
    <dxf>
      <font>
        <b val="0"/>
        <i val="0"/>
      </font>
    </dxf>
    <dxf>
      <font>
        <b/>
        <i val="0"/>
      </font>
    </dxf>
    <dxf>
      <font>
        <b val="0"/>
        <i val="0"/>
      </font>
    </dxf>
    <dxf>
      <font>
        <b/>
        <i val="0"/>
      </font>
    </dxf>
    <dxf>
      <font>
        <b val="0"/>
        <i val="0"/>
      </font>
    </dxf>
    <dxf>
      <font>
        <b/>
        <i val="0"/>
      </font>
    </dxf>
    <dxf>
      <font>
        <b val="0"/>
        <i val="0"/>
      </font>
    </dxf>
    <dxf>
      <font>
        <b val="0"/>
        <i val="0"/>
      </font>
    </dxf>
    <dxf>
      <font>
        <b val="0"/>
        <i val="0"/>
      </font>
    </dxf>
    <dxf>
      <font>
        <b/>
        <i val="0"/>
      </font>
    </dxf>
    <dxf>
      <font>
        <b val="0"/>
        <i val="0"/>
      </font>
    </dxf>
    <dxf>
      <font>
        <b/>
        <i val="0"/>
      </font>
    </dxf>
    <dxf>
      <font>
        <b/>
        <i val="0"/>
      </font>
    </dxf>
    <dxf>
      <font>
        <b val="0"/>
        <i val="0"/>
      </font>
    </dxf>
    <dxf>
      <font>
        <b/>
        <i val="0"/>
      </font>
    </dxf>
    <dxf>
      <font>
        <b val="0"/>
        <i val="0"/>
      </font>
    </dxf>
    <dxf>
      <font>
        <b/>
        <i val="0"/>
      </font>
    </dxf>
    <dxf>
      <font>
        <b/>
        <i val="0"/>
      </font>
    </dxf>
    <dxf>
      <font>
        <b/>
        <i val="0"/>
      </font>
    </dxf>
    <dxf>
      <font>
        <b val="0"/>
        <i val="0"/>
      </font>
    </dxf>
    <dxf>
      <font>
        <b/>
        <i val="0"/>
      </font>
    </dxf>
    <dxf>
      <font>
        <b val="0"/>
        <i val="0"/>
      </font>
    </dxf>
    <dxf>
      <font>
        <b/>
        <i val="0"/>
      </font>
    </dxf>
    <dxf>
      <font>
        <b val="0"/>
        <i val="0"/>
      </font>
    </dxf>
    <dxf>
      <font>
        <b val="0"/>
        <i val="0"/>
      </font>
    </dxf>
    <dxf>
      <font>
        <b/>
        <i val="0"/>
      </font>
    </dxf>
    <dxf>
      <font>
        <b val="0"/>
        <i val="0"/>
      </font>
    </dxf>
    <dxf>
      <font>
        <b val="0"/>
        <i val="0"/>
      </font>
    </dxf>
    <dxf>
      <font>
        <b/>
        <i val="0"/>
      </font>
    </dxf>
    <dxf>
      <font>
        <b val="0"/>
        <i val="0"/>
      </font>
    </dxf>
    <dxf>
      <font>
        <b val="0"/>
        <i val="0"/>
      </font>
    </dxf>
    <dxf>
      <font>
        <b val="0"/>
        <i val="0"/>
      </font>
    </dxf>
    <dxf>
      <font>
        <b val="0"/>
        <i val="0"/>
      </font>
    </dxf>
    <dxf>
      <font>
        <b val="0"/>
        <i val="0"/>
      </font>
    </dxf>
    <dxf>
      <font>
        <b/>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i val="0"/>
      </font>
    </dxf>
    <dxf>
      <font>
        <b val="0"/>
        <i val="0"/>
      </font>
    </dxf>
    <dxf>
      <font>
        <b val="0"/>
        <i val="0"/>
      </font>
    </dxf>
    <dxf>
      <font>
        <b/>
        <i val="0"/>
      </font>
    </dxf>
    <dxf>
      <font>
        <b val="0"/>
        <i val="0"/>
      </font>
    </dxf>
    <dxf>
      <font>
        <b val="0"/>
        <i val="0"/>
      </font>
    </dxf>
    <dxf>
      <font>
        <b/>
        <i val="0"/>
      </font>
    </dxf>
    <dxf>
      <font>
        <b val="0"/>
        <i val="0"/>
      </font>
    </dxf>
    <dxf>
      <font>
        <b val="0"/>
        <i val="0"/>
      </font>
    </dxf>
    <dxf>
      <font>
        <b/>
        <i val="0"/>
      </font>
    </dxf>
    <dxf>
      <font>
        <b val="0"/>
        <i val="0"/>
      </font>
    </dxf>
    <dxf>
      <font>
        <b val="0"/>
        <i val="0"/>
      </font>
    </dxf>
    <dxf>
      <font>
        <b/>
        <i val="0"/>
      </font>
    </dxf>
    <dxf>
      <font>
        <b val="0"/>
        <i val="0"/>
      </font>
    </dxf>
    <dxf>
      <font>
        <b val="0"/>
        <i val="0"/>
      </font>
    </dxf>
    <dxf>
      <font>
        <b/>
        <i val="0"/>
      </font>
    </dxf>
    <dxf>
      <font>
        <b val="0"/>
        <i val="0"/>
      </font>
    </dxf>
    <dxf>
      <font>
        <b val="0"/>
        <i val="0"/>
      </font>
    </dxf>
    <dxf>
      <font>
        <b/>
        <i val="0"/>
      </font>
    </dxf>
    <dxf>
      <font>
        <b val="0"/>
        <i val="0"/>
      </font>
    </dxf>
    <dxf>
      <font>
        <b val="0"/>
        <i val="0"/>
      </font>
    </dxf>
    <dxf>
      <font>
        <b/>
        <i val="0"/>
      </font>
    </dxf>
    <dxf>
      <font>
        <b val="0"/>
        <i val="0"/>
      </font>
    </dxf>
    <dxf>
      <font>
        <b val="0"/>
        <i val="0"/>
      </font>
    </dxf>
    <dxf>
      <font>
        <b/>
        <i val="0"/>
      </font>
    </dxf>
    <dxf>
      <font>
        <b val="0"/>
        <i val="0"/>
      </font>
    </dxf>
    <dxf>
      <font>
        <b val="0"/>
        <i val="0"/>
      </font>
    </dxf>
    <dxf>
      <font>
        <b/>
        <i val="0"/>
      </font>
    </dxf>
    <dxf>
      <font>
        <b val="0"/>
        <i val="0"/>
      </font>
    </dxf>
    <dxf>
      <font>
        <b val="0"/>
        <i val="0"/>
      </font>
    </dxf>
    <dxf>
      <font>
        <b/>
        <i val="0"/>
      </font>
    </dxf>
    <dxf>
      <font>
        <b val="0"/>
        <i val="0"/>
      </font>
    </dxf>
    <dxf>
      <font>
        <b val="0"/>
        <i val="0"/>
      </font>
    </dxf>
    <dxf>
      <font>
        <b/>
        <i val="0"/>
      </font>
    </dxf>
    <dxf>
      <font>
        <b val="0"/>
        <i val="0"/>
      </font>
    </dxf>
    <dxf>
      <font>
        <b val="0"/>
        <i val="0"/>
      </font>
    </dxf>
    <dxf>
      <font>
        <b/>
        <i val="0"/>
      </font>
    </dxf>
    <dxf>
      <font>
        <b val="0"/>
        <i val="0"/>
      </font>
    </dxf>
    <dxf>
      <font>
        <b val="0"/>
        <i val="0"/>
      </font>
    </dxf>
    <dxf>
      <font>
        <b/>
        <i val="0"/>
      </font>
    </dxf>
    <dxf>
      <font>
        <b val="0"/>
        <i val="0"/>
      </font>
    </dxf>
    <dxf>
      <font>
        <b val="0"/>
        <i val="0"/>
      </font>
    </dxf>
    <dxf>
      <font>
        <b val="0"/>
        <i val="0"/>
      </font>
    </dxf>
    <dxf>
      <font>
        <b/>
        <i val="0"/>
      </font>
    </dxf>
    <dxf>
      <font>
        <b val="0"/>
        <i val="0"/>
      </font>
    </dxf>
    <dxf>
      <font>
        <b val="0"/>
        <i val="0"/>
      </font>
    </dxf>
    <dxf>
      <font>
        <b val="0"/>
        <i val="0"/>
      </font>
    </dxf>
    <dxf>
      <font>
        <b val="0"/>
        <i val="0"/>
      </font>
    </dxf>
    <dxf>
      <font>
        <b val="0"/>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val="0"/>
        <i val="0"/>
      </font>
    </dxf>
    <dxf>
      <font>
        <b/>
        <i val="0"/>
      </font>
    </dxf>
    <dxf>
      <font>
        <b/>
        <i val="0"/>
      </font>
    </dxf>
    <dxf>
      <font>
        <b val="0"/>
        <i val="0"/>
      </font>
    </dxf>
    <dxf>
      <font>
        <b val="0"/>
        <i val="0"/>
      </font>
    </dxf>
    <dxf>
      <font>
        <b/>
        <i val="0"/>
      </font>
    </dxf>
    <dxf>
      <font>
        <b val="0"/>
        <i val="0"/>
      </font>
    </dxf>
    <dxf>
      <font>
        <b val="0"/>
        <i val="0"/>
      </font>
    </dxf>
    <dxf>
      <font>
        <b val="0"/>
        <i val="0"/>
      </font>
    </dxf>
    <dxf>
      <font>
        <b/>
        <i val="0"/>
      </font>
    </dxf>
    <dxf>
      <font>
        <b/>
        <i val="0"/>
      </font>
    </dxf>
    <dxf>
      <font>
        <b val="0"/>
        <i val="0"/>
      </font>
    </dxf>
    <dxf>
      <font>
        <b val="0"/>
        <i val="0"/>
      </font>
    </dxf>
    <dxf>
      <font>
        <b/>
        <i val="0"/>
      </font>
    </dxf>
    <dxf>
      <font>
        <b val="0"/>
        <i val="0"/>
      </font>
    </dxf>
    <dxf>
      <font>
        <b/>
        <i val="0"/>
      </font>
    </dxf>
    <dxf>
      <font>
        <b val="0"/>
        <i val="0"/>
      </font>
    </dxf>
    <dxf>
      <font>
        <b/>
        <i val="0"/>
      </font>
    </dxf>
    <dxf>
      <font>
        <b val="0"/>
        <i val="0"/>
      </font>
    </dxf>
    <dxf>
      <font>
        <b val="0"/>
        <i val="0"/>
      </font>
    </dxf>
    <dxf>
      <font>
        <b val="0"/>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val="0"/>
        <i val="0"/>
      </font>
    </dxf>
    <dxf>
      <font>
        <b/>
        <i val="0"/>
      </font>
    </dxf>
    <dxf>
      <font>
        <b val="0"/>
        <i val="0"/>
      </font>
    </dxf>
    <dxf>
      <font>
        <b/>
        <i val="0"/>
      </font>
    </dxf>
    <dxf>
      <font>
        <b val="0"/>
        <i val="0"/>
      </font>
    </dxf>
    <dxf>
      <font>
        <b val="0"/>
        <i val="0"/>
      </font>
    </dxf>
    <dxf>
      <font>
        <b val="0"/>
        <i val="0"/>
      </font>
    </dxf>
    <dxf>
      <font>
        <b/>
        <i val="0"/>
      </font>
    </dxf>
    <dxf>
      <font>
        <b/>
        <i val="0"/>
      </font>
    </dxf>
    <dxf>
      <font>
        <b/>
        <i val="0"/>
      </font>
    </dxf>
    <dxf>
      <font>
        <b/>
        <i val="0"/>
      </font>
    </dxf>
    <dxf>
      <font>
        <b/>
        <i val="0"/>
      </font>
    </dxf>
    <dxf>
      <font>
        <b val="0"/>
        <i val="0"/>
      </font>
    </dxf>
    <dxf>
      <font>
        <b/>
        <i val="0"/>
      </font>
    </dxf>
    <dxf>
      <font>
        <b/>
        <i val="0"/>
      </font>
    </dxf>
    <dxf>
      <font>
        <b/>
        <i val="0"/>
      </font>
    </dxf>
    <dxf>
      <font>
        <b val="0"/>
        <i val="0"/>
      </font>
    </dxf>
    <dxf>
      <font>
        <b val="0"/>
        <i val="0"/>
      </font>
    </dxf>
    <dxf>
      <font>
        <b/>
        <i val="0"/>
      </font>
    </dxf>
    <dxf>
      <font>
        <b/>
        <i val="0"/>
      </font>
    </dxf>
    <dxf>
      <font>
        <b/>
        <i val="0"/>
      </font>
    </dxf>
    <dxf>
      <font>
        <b/>
        <i val="0"/>
      </font>
    </dxf>
    <dxf>
      <font>
        <b/>
        <i val="0"/>
      </font>
    </dxf>
    <dxf>
      <font>
        <b val="0"/>
        <i val="0"/>
      </font>
    </dxf>
    <dxf>
      <font>
        <b/>
        <i val="0"/>
      </font>
    </dxf>
    <dxf>
      <font>
        <b val="0"/>
        <i val="0"/>
      </font>
    </dxf>
    <dxf>
      <font>
        <b/>
        <i val="0"/>
      </font>
    </dxf>
    <dxf>
      <font>
        <b/>
        <i val="0"/>
      </font>
    </dxf>
    <dxf>
      <font>
        <b val="0"/>
        <i val="0"/>
      </font>
    </dxf>
    <dxf>
      <font>
        <b/>
        <i val="0"/>
      </font>
    </dxf>
    <dxf>
      <font>
        <b/>
        <i val="0"/>
      </font>
    </dxf>
    <dxf>
      <font>
        <b/>
        <i val="0"/>
      </font>
    </dxf>
    <dxf>
      <font>
        <b val="0"/>
        <i val="0"/>
      </font>
    </dxf>
    <dxf>
      <font>
        <b val="0"/>
        <i val="0"/>
      </font>
    </dxf>
    <dxf>
      <font>
        <b/>
        <i val="0"/>
      </font>
    </dxf>
    <dxf>
      <font>
        <b val="0"/>
        <i val="0"/>
      </font>
    </dxf>
    <dxf>
      <font>
        <b/>
        <i val="0"/>
      </font>
    </dxf>
    <dxf>
      <font>
        <b val="0"/>
        <i val="0"/>
      </font>
    </dxf>
    <dxf>
      <font>
        <b/>
        <i val="0"/>
      </font>
    </dxf>
    <dxf>
      <font>
        <b val="0"/>
        <i val="0"/>
      </font>
    </dxf>
    <dxf>
      <font>
        <b val="0"/>
        <i val="0"/>
      </font>
    </dxf>
    <dxf>
      <font>
        <b/>
        <i val="0"/>
      </font>
    </dxf>
    <dxf>
      <font>
        <b val="0"/>
        <i val="0"/>
      </font>
    </dxf>
    <dxf>
      <font>
        <b/>
        <i val="0"/>
      </font>
    </dxf>
    <dxf>
      <font>
        <b val="0"/>
        <i val="0"/>
      </font>
    </dxf>
    <dxf>
      <font>
        <b val="0"/>
        <i val="0"/>
      </font>
    </dxf>
    <dxf>
      <font>
        <b val="0"/>
        <i val="0"/>
      </font>
    </dxf>
    <dxf>
      <font>
        <b/>
        <i val="0"/>
      </font>
    </dxf>
    <dxf>
      <font>
        <b val="0"/>
        <i val="0"/>
      </font>
    </dxf>
    <dxf>
      <font>
        <b val="0"/>
        <i val="0"/>
      </font>
    </dxf>
    <dxf>
      <font>
        <b/>
        <i val="0"/>
      </font>
    </dxf>
    <dxf>
      <font>
        <b/>
        <i val="0"/>
      </font>
    </dxf>
    <dxf>
      <font>
        <b val="0"/>
        <i val="0"/>
      </font>
    </dxf>
    <dxf>
      <font>
        <b val="0"/>
        <i val="0"/>
      </font>
    </dxf>
    <dxf>
      <font>
        <b/>
        <i val="0"/>
      </font>
    </dxf>
    <dxf>
      <font>
        <b/>
        <i val="0"/>
      </font>
    </dxf>
    <dxf>
      <font>
        <b val="0"/>
        <i val="0"/>
      </font>
    </dxf>
    <dxf>
      <font>
        <b val="0"/>
        <i val="0"/>
      </font>
    </dxf>
    <dxf>
      <font>
        <b/>
        <i val="0"/>
      </font>
    </dxf>
    <dxf>
      <font>
        <b val="0"/>
        <i val="0"/>
      </font>
    </dxf>
    <dxf>
      <font>
        <b val="0"/>
        <i val="0"/>
      </font>
    </dxf>
    <dxf>
      <font>
        <b/>
        <i val="0"/>
      </font>
    </dxf>
    <dxf>
      <font>
        <b/>
        <i val="0"/>
      </font>
    </dxf>
    <dxf>
      <font>
        <b val="0"/>
        <i val="0"/>
      </font>
    </dxf>
    <dxf>
      <font>
        <b val="0"/>
        <i val="0"/>
      </font>
    </dxf>
    <dxf>
      <font>
        <b/>
        <i val="0"/>
      </font>
    </dxf>
    <dxf>
      <font>
        <b/>
        <i val="0"/>
      </font>
    </dxf>
    <dxf>
      <font>
        <b val="0"/>
        <i val="0"/>
      </font>
    </dxf>
    <dxf>
      <font>
        <b val="0"/>
        <i val="0"/>
      </font>
    </dxf>
    <dxf>
      <font>
        <b/>
        <i val="0"/>
      </font>
    </dxf>
    <dxf>
      <font>
        <b/>
        <i val="0"/>
      </font>
    </dxf>
    <dxf>
      <font>
        <b val="0"/>
        <i val="0"/>
      </font>
    </dxf>
    <dxf>
      <font>
        <b val="0"/>
        <i val="0"/>
      </font>
    </dxf>
    <dxf>
      <font>
        <b/>
        <i val="0"/>
      </font>
    </dxf>
    <dxf>
      <font>
        <b/>
        <i val="0"/>
      </font>
    </dxf>
    <dxf>
      <font>
        <b val="0"/>
        <i val="0"/>
      </font>
    </dxf>
    <dxf>
      <font>
        <b val="0"/>
        <i val="0"/>
      </font>
    </dxf>
    <dxf>
      <font>
        <b/>
        <i val="0"/>
      </font>
    </dxf>
    <dxf>
      <font>
        <b/>
        <i val="0"/>
      </font>
    </dxf>
    <dxf>
      <font>
        <b val="0"/>
        <i val="0"/>
      </font>
    </dxf>
    <dxf>
      <font>
        <b val="0"/>
        <i val="0"/>
      </font>
    </dxf>
    <dxf>
      <font>
        <b/>
        <i val="0"/>
      </font>
    </dxf>
    <dxf>
      <font>
        <b/>
        <i val="0"/>
      </font>
    </dxf>
    <dxf>
      <font>
        <b val="0"/>
        <i val="0"/>
      </font>
    </dxf>
    <dxf>
      <font>
        <b val="0"/>
        <i val="0"/>
      </font>
    </dxf>
    <dxf>
      <font>
        <b/>
        <i val="0"/>
      </font>
    </dxf>
    <dxf>
      <font>
        <b/>
        <i val="0"/>
      </font>
    </dxf>
    <dxf>
      <font>
        <b val="0"/>
        <i val="0"/>
      </font>
    </dxf>
    <dxf>
      <font>
        <b/>
        <i val="0"/>
      </font>
    </dxf>
    <dxf>
      <font>
        <b val="0"/>
        <i val="0"/>
      </font>
    </dxf>
    <dxf>
      <font>
        <b val="0"/>
        <i val="0"/>
      </font>
    </dxf>
    <dxf>
      <font>
        <b/>
        <i val="0"/>
      </font>
    </dxf>
    <dxf>
      <font>
        <b val="0"/>
        <i val="0"/>
      </font>
    </dxf>
    <dxf>
      <font>
        <b val="0"/>
        <i val="0"/>
      </font>
    </dxf>
    <dxf>
      <font>
        <b/>
        <i val="0"/>
      </font>
    </dxf>
    <dxf>
      <font>
        <b/>
        <i val="0"/>
      </font>
    </dxf>
    <dxf>
      <font>
        <b val="0"/>
        <i val="0"/>
      </font>
    </dxf>
    <dxf>
      <font>
        <b/>
        <i val="0"/>
      </font>
    </dxf>
    <dxf>
      <font>
        <b val="0"/>
        <i val="0"/>
      </font>
    </dxf>
    <dxf>
      <font>
        <b val="0"/>
        <i val="0"/>
      </font>
    </dxf>
    <dxf>
      <font>
        <b/>
        <i val="0"/>
      </font>
    </dxf>
    <dxf>
      <font>
        <b val="0"/>
        <i val="0"/>
      </font>
    </dxf>
    <dxf>
      <font>
        <b/>
        <i val="0"/>
      </font>
    </dxf>
    <dxf>
      <font>
        <b/>
        <i val="0"/>
      </font>
    </dxf>
    <dxf>
      <font>
        <b/>
        <i val="0"/>
      </font>
    </dxf>
    <dxf>
      <font>
        <b val="0"/>
        <i val="0"/>
      </font>
    </dxf>
    <dxf>
      <font>
        <b/>
        <i val="0"/>
      </font>
    </dxf>
    <dxf>
      <font>
        <b/>
        <i val="0"/>
      </font>
    </dxf>
    <dxf>
      <font>
        <b val="0"/>
        <i val="0"/>
      </font>
    </dxf>
    <dxf>
      <font>
        <b/>
        <i val="0"/>
      </font>
    </dxf>
    <dxf>
      <font>
        <b val="0"/>
        <i val="0"/>
      </font>
    </dxf>
    <dxf>
      <font>
        <b/>
        <i val="0"/>
      </font>
    </dxf>
    <dxf>
      <font>
        <b/>
        <i val="0"/>
      </font>
    </dxf>
    <dxf>
      <font>
        <b val="0"/>
        <i val="0"/>
      </font>
    </dxf>
    <dxf>
      <font>
        <b val="0"/>
        <i val="0"/>
      </font>
    </dxf>
    <dxf>
      <font>
        <b/>
        <i val="0"/>
      </font>
    </dxf>
    <dxf>
      <font>
        <b val="0"/>
        <i val="0"/>
      </font>
    </dxf>
    <dxf>
      <font>
        <b val="0"/>
        <i val="0"/>
      </font>
    </dxf>
    <dxf>
      <font>
        <b/>
        <i val="0"/>
      </font>
    </dxf>
    <dxf>
      <font>
        <b val="0"/>
        <i val="0"/>
      </font>
    </dxf>
    <dxf>
      <font>
        <b/>
        <i val="0"/>
      </font>
    </dxf>
    <dxf>
      <font>
        <b val="0"/>
        <i val="0"/>
      </font>
    </dxf>
    <dxf>
      <font>
        <b/>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val="0"/>
        <i val="0"/>
      </font>
    </dxf>
    <dxf>
      <font>
        <b/>
        <i val="0"/>
      </font>
    </dxf>
    <dxf>
      <font>
        <b val="0"/>
        <i val="0"/>
      </font>
    </dxf>
    <dxf>
      <font>
        <b/>
        <i val="0"/>
      </font>
    </dxf>
    <dxf>
      <font>
        <b val="0"/>
        <i val="0"/>
      </font>
    </dxf>
    <dxf>
      <font>
        <b val="0"/>
        <i val="0"/>
      </font>
    </dxf>
    <dxf>
      <font>
        <b val="0"/>
        <i val="0"/>
      </font>
    </dxf>
    <dxf>
      <font>
        <b val="0"/>
        <i val="0"/>
      </font>
    </dxf>
    <dxf>
      <font>
        <b/>
        <i val="0"/>
      </font>
    </dxf>
    <dxf>
      <font>
        <b/>
        <i val="0"/>
      </font>
    </dxf>
    <dxf>
      <font>
        <b val="0"/>
        <i val="0"/>
      </font>
    </dxf>
    <dxf>
      <font>
        <b/>
        <i val="0"/>
      </font>
    </dxf>
    <dxf>
      <font>
        <b val="0"/>
        <i val="0"/>
      </font>
    </dxf>
    <dxf>
      <font>
        <b/>
        <i val="0"/>
      </font>
    </dxf>
    <dxf>
      <font>
        <b val="0"/>
        <i val="0"/>
      </font>
    </dxf>
    <dxf>
      <font>
        <b val="0"/>
        <i val="0"/>
      </font>
    </dxf>
    <dxf>
      <font>
        <b val="0"/>
        <i val="0"/>
      </font>
    </dxf>
    <dxf>
      <font>
        <b val="0"/>
        <i val="0"/>
      </font>
    </dxf>
    <dxf>
      <font>
        <b/>
        <i val="0"/>
      </font>
    </dxf>
    <dxf>
      <font>
        <b val="0"/>
        <i val="0"/>
      </font>
    </dxf>
    <dxf>
      <font>
        <b/>
        <i val="0"/>
      </font>
    </dxf>
    <dxf>
      <font>
        <b val="0"/>
        <i val="0"/>
      </font>
    </dxf>
    <dxf>
      <font>
        <b val="0"/>
        <i val="0"/>
      </font>
    </dxf>
    <dxf>
      <font>
        <b/>
        <i val="0"/>
      </font>
    </dxf>
    <dxf>
      <font>
        <b val="0"/>
        <i val="0"/>
      </font>
    </dxf>
    <dxf>
      <font>
        <b val="0"/>
        <i val="0"/>
      </font>
    </dxf>
    <dxf>
      <font>
        <b/>
        <i val="0"/>
      </font>
    </dxf>
    <dxf>
      <font>
        <b val="0"/>
        <i val="0"/>
      </font>
    </dxf>
    <dxf>
      <font>
        <b val="0"/>
        <i val="0"/>
      </font>
    </dxf>
    <dxf>
      <font>
        <b/>
        <i val="0"/>
      </font>
    </dxf>
    <dxf>
      <font>
        <b val="0"/>
        <i val="0"/>
      </font>
    </dxf>
    <dxf>
      <font>
        <b/>
        <i val="0"/>
      </font>
    </dxf>
    <dxf>
      <font>
        <b val="0"/>
        <i val="0"/>
      </font>
    </dxf>
    <dxf>
      <font>
        <b/>
        <i val="0"/>
      </font>
    </dxf>
    <dxf>
      <font>
        <b val="0"/>
        <i val="0"/>
      </font>
    </dxf>
    <dxf>
      <font>
        <b val="0"/>
        <i val="0"/>
      </font>
    </dxf>
    <dxf>
      <font>
        <b/>
        <i val="0"/>
      </font>
    </dxf>
    <dxf>
      <font>
        <b/>
        <i val="0"/>
      </font>
    </dxf>
    <dxf>
      <font>
        <b val="0"/>
        <i val="0"/>
      </font>
    </dxf>
    <dxf>
      <font>
        <b val="0"/>
        <i val="0"/>
      </font>
    </dxf>
    <dxf>
      <font>
        <b/>
        <i val="0"/>
      </font>
    </dxf>
    <dxf>
      <font>
        <b val="0"/>
        <i val="0"/>
      </font>
    </dxf>
    <dxf>
      <font>
        <b val="0"/>
        <i val="0"/>
      </font>
    </dxf>
    <dxf>
      <font>
        <b val="0"/>
        <i val="0"/>
      </font>
    </dxf>
    <dxf>
      <font>
        <b val="0"/>
        <i val="0"/>
      </font>
    </dxf>
    <dxf>
      <font>
        <b/>
        <i val="0"/>
      </font>
    </dxf>
    <dxf>
      <font>
        <b/>
        <i val="0"/>
      </font>
    </dxf>
    <dxf>
      <font>
        <b val="0"/>
        <i val="0"/>
      </font>
    </dxf>
    <dxf>
      <font>
        <b/>
        <i val="0"/>
      </font>
    </dxf>
    <dxf>
      <font>
        <b val="0"/>
        <i val="0"/>
      </font>
    </dxf>
    <dxf>
      <font>
        <b val="0"/>
        <i val="0"/>
      </font>
    </dxf>
    <dxf>
      <font>
        <b/>
        <i val="0"/>
      </font>
    </dxf>
    <dxf>
      <font>
        <b val="0"/>
        <i val="0"/>
      </font>
    </dxf>
    <dxf>
      <font>
        <b val="0"/>
        <i val="0"/>
      </font>
    </dxf>
    <dxf>
      <font>
        <b/>
        <i val="0"/>
      </font>
    </dxf>
    <dxf>
      <font>
        <b val="0"/>
        <i val="0"/>
      </font>
    </dxf>
    <dxf>
      <font>
        <b/>
        <i val="0"/>
      </font>
    </dxf>
    <dxf>
      <font>
        <b val="0"/>
        <i val="0"/>
      </font>
    </dxf>
    <dxf>
      <font>
        <b val="0"/>
        <i val="0"/>
      </font>
    </dxf>
    <dxf>
      <font>
        <b val="0"/>
        <i val="0"/>
      </font>
    </dxf>
    <dxf>
      <font>
        <b/>
        <i val="0"/>
      </font>
    </dxf>
    <dxf>
      <font>
        <b val="0"/>
        <i val="0"/>
      </font>
    </dxf>
    <dxf>
      <font>
        <b val="0"/>
        <i val="0"/>
      </font>
    </dxf>
    <dxf>
      <font>
        <b val="0"/>
        <i val="0"/>
      </font>
    </dxf>
    <dxf>
      <font>
        <b val="0"/>
        <i val="0"/>
      </font>
    </dxf>
    <dxf>
      <font>
        <b val="0"/>
        <i val="0"/>
      </font>
    </dxf>
    <dxf>
      <font>
        <b/>
        <i val="0"/>
      </font>
    </dxf>
    <dxf>
      <font>
        <b val="0"/>
        <i val="0"/>
      </font>
    </dxf>
    <dxf>
      <font>
        <b/>
        <i val="0"/>
      </font>
    </dxf>
    <dxf>
      <font>
        <b/>
        <i val="0"/>
      </font>
    </dxf>
    <dxf>
      <font>
        <b val="0"/>
        <i val="0"/>
      </font>
    </dxf>
    <dxf>
      <font>
        <b val="0"/>
        <i val="0"/>
      </font>
    </dxf>
    <dxf>
      <font>
        <b val="0"/>
        <i val="0"/>
      </font>
    </dxf>
    <dxf>
      <font>
        <b val="0"/>
        <i val="0"/>
      </font>
    </dxf>
    <dxf>
      <font>
        <b val="0"/>
        <i val="0"/>
      </font>
    </dxf>
    <dxf>
      <font>
        <b/>
        <i val="0"/>
      </font>
    </dxf>
    <dxf>
      <font>
        <b val="0"/>
        <i val="0"/>
      </font>
    </dxf>
    <dxf>
      <font>
        <b val="0"/>
        <i val="0"/>
      </font>
    </dxf>
    <dxf>
      <font>
        <b val="0"/>
        <i val="0"/>
      </font>
    </dxf>
    <dxf>
      <font>
        <b val="0"/>
        <i val="0"/>
      </font>
    </dxf>
    <dxf>
      <font>
        <b val="0"/>
        <i val="0"/>
      </font>
    </dxf>
    <dxf>
      <font>
        <b/>
        <i val="0"/>
      </font>
    </dxf>
    <dxf>
      <font>
        <b val="0"/>
        <i val="0"/>
      </font>
    </dxf>
    <dxf>
      <font>
        <b val="0"/>
        <i val="0"/>
      </font>
    </dxf>
    <dxf>
      <font>
        <b/>
        <i val="0"/>
      </font>
    </dxf>
    <dxf>
      <font>
        <b val="0"/>
        <i val="0"/>
      </font>
    </dxf>
    <dxf>
      <font>
        <b val="0"/>
        <i val="0"/>
      </font>
    </dxf>
    <dxf>
      <font>
        <b/>
        <i val="0"/>
      </font>
    </dxf>
    <dxf>
      <font>
        <b val="0"/>
        <i val="0"/>
      </font>
    </dxf>
    <dxf>
      <font>
        <b val="0"/>
        <i val="0"/>
      </font>
    </dxf>
    <dxf>
      <font>
        <b val="0"/>
        <i val="0"/>
      </font>
    </dxf>
    <dxf>
      <font>
        <b/>
        <i val="0"/>
      </font>
    </dxf>
    <dxf>
      <font>
        <b val="0"/>
        <i val="0"/>
      </font>
    </dxf>
    <dxf>
      <font>
        <b/>
        <i val="0"/>
      </font>
    </dxf>
    <dxf>
      <font>
        <b val="0"/>
        <i val="0"/>
      </font>
    </dxf>
    <dxf>
      <font>
        <b/>
        <i val="0"/>
      </font>
    </dxf>
    <dxf>
      <font>
        <b val="0"/>
        <i val="0"/>
      </font>
    </dxf>
    <dxf>
      <font>
        <b val="0"/>
        <i val="0"/>
      </font>
    </dxf>
    <dxf>
      <font>
        <b/>
        <i val="0"/>
      </font>
    </dxf>
    <dxf>
      <font>
        <b val="0"/>
        <i val="0"/>
      </font>
    </dxf>
    <dxf>
      <font>
        <b/>
        <i val="0"/>
      </font>
    </dxf>
    <dxf>
      <font>
        <b val="0"/>
        <i val="0"/>
      </font>
    </dxf>
    <dxf>
      <font>
        <b/>
        <i val="0"/>
      </font>
    </dxf>
    <dxf>
      <font>
        <b val="0"/>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i val="0"/>
      </font>
    </dxf>
    <dxf>
      <font>
        <b val="0"/>
        <i val="0"/>
      </font>
    </dxf>
    <dxf>
      <font>
        <b val="0"/>
        <i val="0"/>
      </font>
    </dxf>
    <dxf>
      <font>
        <b val="0"/>
        <i val="0"/>
      </font>
    </dxf>
    <dxf>
      <font>
        <b val="0"/>
        <i val="0"/>
      </font>
    </dxf>
    <dxf>
      <font>
        <b val="0"/>
        <i val="0"/>
      </font>
    </dxf>
    <dxf>
      <font>
        <b/>
        <i val="0"/>
      </font>
    </dxf>
    <dxf>
      <font>
        <b val="0"/>
        <i val="0"/>
      </font>
    </dxf>
    <dxf>
      <font>
        <b val="0"/>
        <i val="0"/>
      </font>
    </dxf>
    <dxf>
      <font>
        <b val="0"/>
        <i val="0"/>
      </font>
    </dxf>
    <dxf>
      <font>
        <b val="0"/>
        <i val="0"/>
      </font>
    </dxf>
    <dxf>
      <font>
        <b val="0"/>
        <i val="0"/>
      </font>
    </dxf>
    <dxf>
      <font>
        <b/>
        <i val="0"/>
      </font>
    </dxf>
    <dxf>
      <font>
        <b val="0"/>
        <i val="0"/>
      </font>
    </dxf>
    <dxf>
      <font>
        <b val="0"/>
        <i val="0"/>
      </font>
    </dxf>
    <dxf>
      <font>
        <b val="0"/>
        <i val="0"/>
      </font>
    </dxf>
    <dxf>
      <font>
        <b/>
        <i val="0"/>
      </font>
    </dxf>
    <dxf>
      <font>
        <b val="0"/>
        <i val="0"/>
      </font>
    </dxf>
    <dxf>
      <font>
        <b/>
        <i val="0"/>
      </font>
    </dxf>
    <dxf>
      <font>
        <b val="0"/>
        <i val="0"/>
      </font>
    </dxf>
    <dxf>
      <font>
        <b/>
        <i val="0"/>
      </font>
    </dxf>
    <dxf>
      <font>
        <b val="0"/>
        <i val="0"/>
      </font>
    </dxf>
    <dxf>
      <font>
        <b val="0"/>
        <i val="0"/>
      </font>
    </dxf>
    <dxf>
      <font>
        <b/>
        <i val="0"/>
      </font>
    </dxf>
    <dxf>
      <font>
        <b val="0"/>
        <i val="0"/>
      </font>
    </dxf>
    <dxf>
      <font>
        <b val="0"/>
        <i val="0"/>
      </font>
    </dxf>
    <dxf>
      <font>
        <b val="0"/>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val="0"/>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val="0"/>
        <i val="0"/>
      </font>
    </dxf>
    <dxf>
      <font>
        <b/>
        <i val="0"/>
      </font>
    </dxf>
    <dxf>
      <font>
        <b/>
        <i val="0"/>
      </font>
    </dxf>
    <dxf>
      <font>
        <b val="0"/>
        <i val="0"/>
      </font>
    </dxf>
    <dxf>
      <font>
        <b/>
        <i val="0"/>
      </font>
    </dxf>
    <dxf>
      <font>
        <b val="0"/>
        <i val="0"/>
      </font>
    </dxf>
    <dxf>
      <font>
        <b/>
        <i val="0"/>
      </font>
    </dxf>
    <dxf>
      <font>
        <b val="0"/>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val="0"/>
        <i val="0"/>
      </font>
    </dxf>
    <dxf>
      <font>
        <b/>
        <i val="0"/>
      </font>
    </dxf>
    <dxf>
      <font>
        <b val="0"/>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val="0"/>
        <i val="0"/>
      </font>
    </dxf>
    <dxf>
      <font>
        <b/>
        <i val="0"/>
      </font>
    </dxf>
    <dxf>
      <font>
        <b val="0"/>
        <i val="0"/>
      </font>
    </dxf>
    <dxf>
      <font>
        <b/>
        <i val="0"/>
      </font>
    </dxf>
    <dxf>
      <font>
        <b val="0"/>
        <i val="0"/>
      </font>
    </dxf>
    <dxf>
      <font>
        <b/>
        <i val="0"/>
      </font>
    </dxf>
    <dxf>
      <font>
        <b/>
        <i val="0"/>
      </font>
    </dxf>
    <dxf>
      <font>
        <b val="0"/>
        <i val="0"/>
      </font>
    </dxf>
    <dxf>
      <font>
        <b/>
        <i val="0"/>
      </font>
    </dxf>
    <dxf>
      <font>
        <b val="0"/>
        <i val="0"/>
      </font>
    </dxf>
    <dxf>
      <font>
        <b val="0"/>
        <i val="0"/>
      </font>
    </dxf>
    <dxf>
      <font>
        <b/>
        <i val="0"/>
      </font>
    </dxf>
    <dxf>
      <font>
        <b/>
        <i val="0"/>
      </font>
    </dxf>
    <dxf>
      <font>
        <b val="0"/>
        <i val="0"/>
      </font>
    </dxf>
    <dxf>
      <font>
        <b/>
        <i val="0"/>
      </font>
    </dxf>
    <dxf>
      <font>
        <b val="0"/>
        <i val="0"/>
      </font>
    </dxf>
    <dxf>
      <font>
        <b val="0"/>
        <i val="0"/>
      </font>
    </dxf>
    <dxf>
      <font>
        <b val="0"/>
        <i val="0"/>
      </font>
    </dxf>
    <dxf>
      <font>
        <b val="0"/>
        <i val="0"/>
      </font>
    </dxf>
    <dxf>
      <font>
        <b/>
        <i val="0"/>
      </font>
    </dxf>
    <dxf>
      <font>
        <b val="0"/>
        <i val="0"/>
      </font>
    </dxf>
    <dxf>
      <font>
        <b val="0"/>
        <i val="0"/>
      </font>
    </dxf>
    <dxf>
      <font>
        <b/>
        <i val="0"/>
      </font>
    </dxf>
    <dxf>
      <font>
        <b val="0"/>
        <i val="0"/>
      </font>
    </dxf>
    <dxf>
      <font>
        <b/>
        <i val="0"/>
      </font>
    </dxf>
    <dxf>
      <font>
        <b val="0"/>
        <i val="0"/>
      </font>
    </dxf>
    <dxf>
      <font>
        <b val="0"/>
        <i val="0"/>
      </font>
    </dxf>
    <dxf>
      <font>
        <b/>
        <i val="0"/>
      </font>
    </dxf>
    <dxf>
      <font>
        <b/>
        <i val="0"/>
      </font>
    </dxf>
    <dxf>
      <font>
        <b val="0"/>
        <i val="0"/>
      </font>
    </dxf>
    <dxf>
      <font>
        <b/>
        <i val="0"/>
      </font>
    </dxf>
    <dxf>
      <font>
        <b val="0"/>
        <i val="0"/>
      </font>
    </dxf>
    <dxf>
      <font>
        <b val="0"/>
        <i val="0"/>
      </font>
    </dxf>
    <dxf>
      <font>
        <b/>
        <i val="0"/>
      </font>
    </dxf>
    <dxf>
      <font>
        <b val="0"/>
        <i val="0"/>
      </font>
    </dxf>
    <dxf>
      <font>
        <b val="0"/>
        <i val="0"/>
      </font>
    </dxf>
    <dxf>
      <font>
        <b/>
        <i val="0"/>
      </font>
    </dxf>
    <dxf>
      <font>
        <b val="0"/>
        <i val="0"/>
      </font>
    </dxf>
    <dxf>
      <font>
        <b val="0"/>
        <i val="0"/>
      </font>
    </dxf>
    <dxf>
      <font>
        <b/>
        <i val="0"/>
      </font>
    </dxf>
    <dxf>
      <font>
        <b val="0"/>
        <i val="0"/>
      </font>
    </dxf>
    <dxf>
      <font>
        <b val="0"/>
        <i val="0"/>
      </font>
    </dxf>
    <dxf>
      <font>
        <b/>
        <i val="0"/>
      </font>
    </dxf>
    <dxf>
      <font>
        <b val="0"/>
        <i val="0"/>
      </font>
    </dxf>
    <dxf>
      <font>
        <b val="0"/>
        <i val="0"/>
      </font>
    </dxf>
    <dxf>
      <font>
        <b/>
        <i val="0"/>
      </font>
    </dxf>
    <dxf>
      <font>
        <b val="0"/>
        <i val="0"/>
      </font>
    </dxf>
    <dxf>
      <font>
        <b val="0"/>
        <i val="0"/>
      </font>
    </dxf>
    <dxf>
      <font>
        <b/>
        <i val="0"/>
      </font>
    </dxf>
    <dxf>
      <font>
        <b val="0"/>
        <i val="0"/>
      </font>
    </dxf>
    <dxf>
      <font>
        <b val="0"/>
        <i val="0"/>
      </font>
    </dxf>
    <dxf>
      <font>
        <b/>
        <i val="0"/>
      </font>
    </dxf>
    <dxf>
      <font>
        <b val="0"/>
        <i val="0"/>
      </font>
    </dxf>
    <dxf>
      <font>
        <b val="0"/>
        <i val="0"/>
      </font>
    </dxf>
    <dxf>
      <font>
        <b/>
        <i val="0"/>
      </font>
    </dxf>
    <dxf>
      <font>
        <b val="0"/>
        <i val="0"/>
      </font>
    </dxf>
    <dxf>
      <font>
        <b val="0"/>
        <i val="0"/>
      </font>
    </dxf>
    <dxf>
      <font>
        <b/>
        <i val="0"/>
      </font>
    </dxf>
    <dxf>
      <font>
        <b val="0"/>
        <i val="0"/>
      </font>
    </dxf>
    <dxf>
      <font>
        <b val="0"/>
        <i val="0"/>
      </font>
    </dxf>
    <dxf>
      <font>
        <b/>
        <i val="0"/>
      </font>
    </dxf>
    <dxf>
      <font>
        <b val="0"/>
        <i val="0"/>
      </font>
    </dxf>
    <dxf>
      <font>
        <b val="0"/>
        <i val="0"/>
      </font>
    </dxf>
    <dxf>
      <font>
        <b/>
        <i val="0"/>
      </font>
    </dxf>
    <dxf>
      <font>
        <b val="0"/>
        <i val="0"/>
      </font>
    </dxf>
    <dxf>
      <font>
        <b val="0"/>
        <i val="0"/>
      </font>
    </dxf>
    <dxf>
      <font>
        <b/>
        <i val="0"/>
      </font>
    </dxf>
    <dxf>
      <font>
        <b val="0"/>
        <i val="0"/>
      </font>
    </dxf>
    <dxf>
      <font>
        <b val="0"/>
        <i val="0"/>
      </font>
    </dxf>
    <dxf>
      <font>
        <b/>
        <i val="0"/>
      </font>
    </dxf>
    <dxf>
      <font>
        <b val="0"/>
        <i val="0"/>
      </font>
    </dxf>
    <dxf>
      <font>
        <b val="0"/>
        <i val="0"/>
      </font>
    </dxf>
    <dxf>
      <font>
        <b/>
        <i val="0"/>
      </font>
    </dxf>
    <dxf>
      <font>
        <b val="0"/>
        <i val="0"/>
      </font>
    </dxf>
    <dxf>
      <font>
        <b val="0"/>
        <i val="0"/>
      </font>
    </dxf>
    <dxf>
      <font>
        <b/>
        <i val="0"/>
      </font>
    </dxf>
    <dxf>
      <font>
        <b val="0"/>
        <i val="0"/>
      </font>
    </dxf>
    <dxf>
      <font>
        <b/>
        <i val="0"/>
      </font>
    </dxf>
    <dxf>
      <font>
        <b val="0"/>
        <i val="0"/>
      </font>
    </dxf>
    <dxf>
      <font>
        <b val="0"/>
        <i val="0"/>
      </font>
    </dxf>
    <dxf>
      <font>
        <b/>
        <i val="0"/>
      </font>
    </dxf>
    <dxf>
      <font>
        <b val="0"/>
        <i val="0"/>
      </font>
    </dxf>
    <dxf>
      <font>
        <b val="0"/>
        <i val="0"/>
      </font>
    </dxf>
    <dxf>
      <font>
        <b/>
        <i val="0"/>
      </font>
    </dxf>
    <dxf>
      <font>
        <b val="0"/>
        <i val="0"/>
      </font>
    </dxf>
    <dxf>
      <font>
        <b val="0"/>
        <i val="0"/>
      </font>
    </dxf>
    <dxf>
      <font>
        <b/>
        <i val="0"/>
      </font>
    </dxf>
    <dxf>
      <font>
        <b val="0"/>
        <i val="0"/>
      </font>
    </dxf>
    <dxf>
      <font>
        <b val="0"/>
        <i val="0"/>
      </font>
    </dxf>
    <dxf>
      <font>
        <b/>
        <i val="0"/>
      </font>
    </dxf>
    <dxf>
      <font>
        <b val="0"/>
        <i val="0"/>
      </font>
    </dxf>
    <dxf>
      <font>
        <b val="0"/>
        <i val="0"/>
      </font>
    </dxf>
    <dxf>
      <font>
        <b/>
        <i val="0"/>
      </font>
    </dxf>
    <dxf>
      <font>
        <b val="0"/>
        <i val="0"/>
      </font>
    </dxf>
    <dxf>
      <font>
        <b val="0"/>
        <i val="0"/>
      </font>
    </dxf>
    <dxf>
      <font>
        <b/>
        <i val="0"/>
      </font>
    </dxf>
    <dxf>
      <font>
        <b val="0"/>
        <i val="0"/>
      </font>
    </dxf>
    <dxf>
      <font>
        <b val="0"/>
        <i val="0"/>
      </font>
    </dxf>
    <dxf>
      <font>
        <b/>
        <i val="0"/>
      </font>
    </dxf>
    <dxf>
      <font>
        <b val="0"/>
        <i val="0"/>
      </font>
    </dxf>
    <dxf>
      <font>
        <b val="0"/>
        <i val="0"/>
      </font>
    </dxf>
    <dxf>
      <font>
        <b val="0"/>
        <i val="0"/>
      </font>
    </dxf>
    <dxf>
      <font>
        <b val="0"/>
        <i val="0"/>
      </font>
    </dxf>
    <dxf>
      <font>
        <b/>
        <i val="0"/>
      </font>
    </dxf>
    <dxf>
      <font>
        <b val="0"/>
        <i val="0"/>
      </font>
    </dxf>
    <dxf>
      <font>
        <b val="0"/>
        <i val="0"/>
      </font>
    </dxf>
    <dxf>
      <font>
        <b/>
        <i val="0"/>
      </font>
    </dxf>
    <dxf>
      <font>
        <b val="0"/>
        <i val="0"/>
      </font>
    </dxf>
    <dxf>
      <font>
        <b val="0"/>
        <i val="0"/>
      </font>
    </dxf>
    <dxf>
      <font>
        <b val="0"/>
        <i val="0"/>
      </font>
    </dxf>
    <dxf>
      <font>
        <b val="0"/>
        <i val="0"/>
      </font>
    </dxf>
    <dxf>
      <font>
        <b/>
        <i val="0"/>
      </font>
    </dxf>
    <dxf>
      <font>
        <b/>
        <i val="0"/>
      </font>
    </dxf>
    <dxf>
      <font>
        <b val="0"/>
        <i val="0"/>
      </font>
    </dxf>
    <dxf>
      <font>
        <b/>
        <i val="0"/>
      </font>
    </dxf>
    <dxf>
      <font>
        <b val="0"/>
        <i val="0"/>
      </font>
    </dxf>
    <dxf>
      <font>
        <b val="0"/>
        <i val="0"/>
      </font>
    </dxf>
    <dxf>
      <font>
        <b/>
        <i val="0"/>
      </font>
    </dxf>
    <dxf>
      <font>
        <b val="0"/>
        <i val="0"/>
      </font>
    </dxf>
    <dxf>
      <font>
        <b val="0"/>
        <i val="0"/>
      </font>
    </dxf>
    <dxf>
      <font>
        <b val="0"/>
        <i val="0"/>
      </font>
    </dxf>
    <dxf>
      <font>
        <b/>
        <i val="0"/>
      </font>
    </dxf>
    <dxf>
      <font>
        <b val="0"/>
        <i val="0"/>
      </font>
    </dxf>
    <dxf>
      <font>
        <b/>
        <i val="0"/>
      </font>
    </dxf>
    <dxf>
      <font>
        <b val="0"/>
        <i val="0"/>
      </font>
    </dxf>
    <dxf>
      <font>
        <b val="0"/>
        <i val="0"/>
      </font>
    </dxf>
    <dxf>
      <font>
        <b val="0"/>
        <i val="0"/>
      </font>
    </dxf>
    <dxf>
      <font>
        <b val="0"/>
        <i val="0"/>
      </font>
    </dxf>
    <dxf>
      <font>
        <b/>
        <i val="0"/>
      </font>
    </dxf>
    <dxf>
      <font>
        <b/>
        <i val="0"/>
      </font>
    </dxf>
    <dxf>
      <font>
        <b val="0"/>
        <i val="0"/>
      </font>
    </dxf>
    <dxf>
      <font>
        <b/>
        <i val="0"/>
      </font>
    </dxf>
    <dxf>
      <font>
        <b val="0"/>
        <i val="0"/>
      </font>
    </dxf>
    <dxf>
      <font>
        <b val="0"/>
        <i val="0"/>
      </font>
    </dxf>
    <dxf>
      <font>
        <b val="0"/>
        <i val="0"/>
      </font>
    </dxf>
    <dxf>
      <font>
        <b val="0"/>
        <i val="0"/>
      </font>
    </dxf>
    <dxf>
      <font>
        <b/>
        <i val="0"/>
      </font>
    </dxf>
    <dxf>
      <font>
        <b val="0"/>
        <i val="0"/>
      </font>
    </dxf>
    <dxf>
      <font>
        <b val="0"/>
        <i val="0"/>
      </font>
    </dxf>
    <dxf>
      <font>
        <b/>
        <i val="0"/>
      </font>
    </dxf>
    <dxf>
      <font>
        <b val="0"/>
        <i val="0"/>
      </font>
    </dxf>
    <dxf>
      <font>
        <b val="0"/>
        <i val="0"/>
      </font>
    </dxf>
    <dxf>
      <font>
        <b/>
        <i val="0"/>
      </font>
    </dxf>
    <dxf>
      <font>
        <b val="0"/>
        <i val="0"/>
      </font>
    </dxf>
    <dxf>
      <font>
        <b val="0"/>
        <i val="0"/>
      </font>
    </dxf>
    <dxf>
      <font>
        <b/>
        <i val="0"/>
      </font>
    </dxf>
    <dxf>
      <font>
        <b val="0"/>
        <i val="0"/>
      </font>
    </dxf>
    <dxf>
      <font>
        <b val="0"/>
        <i val="0"/>
      </font>
    </dxf>
    <dxf>
      <font>
        <b/>
        <i val="0"/>
      </font>
    </dxf>
    <dxf>
      <font>
        <b val="0"/>
        <i val="0"/>
      </font>
    </dxf>
    <dxf>
      <font>
        <b val="0"/>
        <i val="0"/>
      </font>
    </dxf>
    <dxf>
      <font>
        <b/>
        <i val="0"/>
      </font>
    </dxf>
    <dxf>
      <font>
        <b val="0"/>
        <i val="0"/>
      </font>
    </dxf>
    <dxf>
      <font>
        <b val="0"/>
        <i val="0"/>
      </font>
    </dxf>
    <dxf>
      <font>
        <b/>
        <i val="0"/>
      </font>
    </dxf>
    <dxf>
      <font>
        <b val="0"/>
        <i val="0"/>
      </font>
    </dxf>
    <dxf>
      <font>
        <b val="0"/>
        <i val="0"/>
      </font>
    </dxf>
    <dxf>
      <font>
        <b/>
        <i val="0"/>
      </font>
    </dxf>
    <dxf>
      <font>
        <b val="0"/>
        <i val="0"/>
      </font>
    </dxf>
    <dxf>
      <font>
        <b val="0"/>
        <i val="0"/>
      </font>
    </dxf>
    <dxf>
      <font>
        <b val="0"/>
        <i val="0"/>
      </font>
    </dxf>
    <dxf>
      <font>
        <b val="0"/>
        <i val="0"/>
      </font>
    </dxf>
    <dxf>
      <font>
        <b/>
        <i val="0"/>
      </font>
    </dxf>
    <dxf>
      <font>
        <b val="0"/>
        <i val="0"/>
      </font>
    </dxf>
    <dxf>
      <font>
        <b val="0"/>
        <i val="0"/>
      </font>
    </dxf>
    <dxf>
      <font>
        <b/>
        <i val="0"/>
      </font>
    </dxf>
    <dxf>
      <font>
        <b val="0"/>
        <i val="0"/>
      </font>
    </dxf>
    <dxf>
      <font>
        <b val="0"/>
        <i val="0"/>
      </font>
    </dxf>
    <dxf>
      <font>
        <b/>
        <i val="0"/>
      </font>
    </dxf>
    <dxf>
      <font>
        <b val="0"/>
        <i val="0"/>
      </font>
    </dxf>
    <dxf>
      <font>
        <b val="0"/>
        <i val="0"/>
      </font>
    </dxf>
    <dxf>
      <font>
        <b val="0"/>
        <i val="0"/>
      </font>
    </dxf>
    <dxf>
      <font>
        <b val="0"/>
        <i val="0"/>
      </font>
    </dxf>
    <dxf>
      <font>
        <b/>
        <i val="0"/>
      </font>
    </dxf>
    <dxf>
      <font>
        <b val="0"/>
        <i val="0"/>
      </font>
    </dxf>
    <dxf>
      <font>
        <b val="0"/>
        <i val="0"/>
      </font>
    </dxf>
    <dxf>
      <font>
        <b val="0"/>
        <i val="0"/>
      </font>
    </dxf>
    <dxf>
      <font>
        <b/>
        <i val="0"/>
      </font>
    </dxf>
    <dxf>
      <font>
        <b val="0"/>
        <i val="0"/>
      </font>
    </dxf>
    <dxf>
      <font>
        <b val="0"/>
        <i val="0"/>
      </font>
    </dxf>
    <dxf>
      <font>
        <b val="0"/>
        <i val="0"/>
      </font>
    </dxf>
    <dxf>
      <font>
        <b val="0"/>
        <i val="0"/>
      </font>
    </dxf>
    <dxf>
      <font>
        <b val="0"/>
        <i val="0"/>
      </font>
    </dxf>
    <dxf>
      <font>
        <b/>
        <i val="0"/>
      </font>
    </dxf>
    <dxf>
      <font>
        <b val="0"/>
        <i val="0"/>
      </font>
    </dxf>
    <dxf>
      <font>
        <b val="0"/>
        <i val="0"/>
      </font>
    </dxf>
    <dxf>
      <font>
        <b/>
        <i val="0"/>
      </font>
    </dxf>
    <dxf>
      <font>
        <b val="0"/>
        <i val="0"/>
      </font>
    </dxf>
    <dxf>
      <font>
        <b/>
        <i val="0"/>
      </font>
    </dxf>
    <dxf>
      <font>
        <b val="0"/>
        <i val="0"/>
      </font>
    </dxf>
    <dxf>
      <font>
        <b val="0"/>
        <i val="0"/>
      </font>
    </dxf>
    <dxf>
      <font>
        <b/>
        <i val="0"/>
      </font>
    </dxf>
    <dxf>
      <font>
        <b val="0"/>
        <i val="0"/>
      </font>
    </dxf>
    <dxf>
      <font>
        <b val="0"/>
        <i val="0"/>
      </font>
    </dxf>
    <dxf>
      <font>
        <b/>
        <i val="0"/>
      </font>
    </dxf>
    <dxf>
      <font>
        <b val="0"/>
        <i val="0"/>
      </font>
    </dxf>
    <dxf>
      <font>
        <b/>
        <i val="0"/>
      </font>
    </dxf>
    <dxf>
      <font>
        <b val="0"/>
        <i val="0"/>
      </font>
    </dxf>
    <dxf>
      <font>
        <b val="0"/>
        <i val="0"/>
      </font>
    </dxf>
    <dxf>
      <font>
        <b val="0"/>
        <i val="0"/>
      </font>
    </dxf>
    <dxf>
      <font>
        <b val="0"/>
        <i val="0"/>
      </font>
    </dxf>
    <dxf>
      <font>
        <b/>
        <i val="0"/>
      </font>
    </dxf>
    <dxf>
      <font>
        <b val="0"/>
        <i val="0"/>
      </font>
    </dxf>
    <dxf>
      <font>
        <b val="0"/>
        <i val="0"/>
      </font>
    </dxf>
    <dxf>
      <font>
        <b/>
        <i val="0"/>
      </font>
    </dxf>
    <dxf>
      <font>
        <b val="0"/>
        <i val="0"/>
      </font>
    </dxf>
    <dxf>
      <font>
        <b val="0"/>
        <i val="0"/>
      </font>
    </dxf>
    <dxf>
      <font>
        <b val="0"/>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
      <font>
        <b/>
        <i val="0"/>
      </font>
    </dxf>
    <dxf>
      <font>
        <b val="0"/>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2</xdr:row>
      <xdr:rowOff>73722</xdr:rowOff>
    </xdr:from>
    <xdr:ext cx="2286000" cy="715926"/>
    <xdr:pic>
      <xdr:nvPicPr>
        <xdr:cNvPr id="3"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83297"/>
          <a:ext cx="2286000" cy="71592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xdr:row>
      <xdr:rowOff>98535</xdr:rowOff>
    </xdr:from>
    <xdr:ext cx="2441466" cy="821120"/>
    <xdr:pic>
      <xdr:nvPicPr>
        <xdr:cNvPr id="5" name="Imagem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95604"/>
          <a:ext cx="2441466" cy="821120"/>
        </a:xfrm>
        <a:prstGeom prst="rect">
          <a:avLst/>
        </a:prstGeom>
      </xdr:spPr>
    </xdr:pic>
    <xdr:clientData/>
  </xdr:one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136"/>
  <sheetViews>
    <sheetView showGridLines="0" tabSelected="1" topLeftCell="A103" zoomScaleNormal="100" zoomScaleSheetLayoutView="73" zoomScalePageLayoutView="60" workbookViewId="0">
      <selection activeCell="I127" sqref="I127"/>
    </sheetView>
  </sheetViews>
  <sheetFormatPr defaultRowHeight="15.75"/>
  <cols>
    <col min="1" max="1" width="9.42578125" style="76" bestFit="1" customWidth="1"/>
    <col min="2" max="2" width="10.140625" customWidth="1"/>
    <col min="3" max="3" width="9.5703125" style="9" customWidth="1"/>
    <col min="4" max="4" width="59.28515625" style="155" customWidth="1"/>
    <col min="5" max="5" width="11.85546875" style="243" customWidth="1"/>
    <col min="6" max="6" width="9.28515625" customWidth="1"/>
    <col min="7" max="7" width="15.140625" style="11" customWidth="1"/>
    <col min="8" max="8" width="20.42578125" style="11" customWidth="1"/>
    <col min="9" max="9" width="19.42578125" style="11" bestFit="1" customWidth="1"/>
    <col min="10" max="10" width="13.7109375" customWidth="1"/>
    <col min="11" max="11" width="25.140625" bestFit="1" customWidth="1"/>
  </cols>
  <sheetData>
    <row r="2" spans="1:13" ht="16.5" thickBot="1"/>
    <row r="3" spans="1:13" s="23" customFormat="1" ht="22.5" customHeight="1">
      <c r="A3" s="309" t="s">
        <v>0</v>
      </c>
      <c r="B3" s="310"/>
      <c r="C3" s="310"/>
      <c r="D3" s="310"/>
      <c r="E3" s="310"/>
      <c r="F3" s="310"/>
      <c r="G3" s="310"/>
      <c r="H3" s="310"/>
      <c r="I3" s="311"/>
      <c r="J3" s="305"/>
      <c r="K3" s="26"/>
      <c r="L3" s="26"/>
      <c r="M3" s="26"/>
    </row>
    <row r="4" spans="1:13" s="23" customFormat="1" ht="18.75" customHeight="1">
      <c r="A4" s="306" t="s">
        <v>22</v>
      </c>
      <c r="B4" s="307"/>
      <c r="C4" s="307"/>
      <c r="D4" s="307"/>
      <c r="E4" s="307"/>
      <c r="F4" s="307"/>
      <c r="G4" s="307"/>
      <c r="H4" s="307"/>
      <c r="I4" s="308"/>
      <c r="J4" s="305"/>
      <c r="K4" s="26"/>
      <c r="L4" s="26"/>
      <c r="M4" s="26"/>
    </row>
    <row r="5" spans="1:13" s="23" customFormat="1" ht="17.25" customHeight="1">
      <c r="A5" s="306" t="s">
        <v>1050</v>
      </c>
      <c r="B5" s="307"/>
      <c r="C5" s="307"/>
      <c r="D5" s="307"/>
      <c r="E5" s="307"/>
      <c r="F5" s="307"/>
      <c r="G5" s="307"/>
      <c r="H5" s="307"/>
      <c r="I5" s="308"/>
      <c r="J5" s="305"/>
      <c r="K5" s="26"/>
      <c r="L5" s="26"/>
      <c r="M5" s="26"/>
    </row>
    <row r="6" spans="1:13" s="23" customFormat="1" ht="18.75" customHeight="1">
      <c r="A6" s="306" t="s">
        <v>921</v>
      </c>
      <c r="B6" s="307"/>
      <c r="C6" s="307"/>
      <c r="D6" s="307"/>
      <c r="E6" s="307"/>
      <c r="F6" s="307"/>
      <c r="G6" s="307"/>
      <c r="H6" s="307"/>
      <c r="I6" s="308"/>
      <c r="J6" s="305"/>
      <c r="K6" s="26"/>
      <c r="L6" s="26"/>
      <c r="M6" s="26"/>
    </row>
    <row r="7" spans="1:13" s="23" customFormat="1" ht="19.5" customHeight="1">
      <c r="A7" s="306" t="s">
        <v>1051</v>
      </c>
      <c r="B7" s="307"/>
      <c r="C7" s="307"/>
      <c r="D7" s="307"/>
      <c r="E7" s="307"/>
      <c r="F7" s="307"/>
      <c r="G7" s="307"/>
      <c r="H7" s="307"/>
      <c r="I7" s="308"/>
      <c r="J7" s="305"/>
      <c r="K7" s="26"/>
      <c r="L7" s="26"/>
      <c r="M7" s="26"/>
    </row>
    <row r="8" spans="1:13" s="23" customFormat="1" ht="15.75" customHeight="1">
      <c r="A8" s="302" t="s">
        <v>1041</v>
      </c>
      <c r="B8" s="303"/>
      <c r="C8" s="303"/>
      <c r="D8" s="303"/>
      <c r="E8" s="303"/>
      <c r="F8" s="303"/>
      <c r="G8" s="303"/>
      <c r="H8" s="303"/>
      <c r="I8" s="304"/>
      <c r="J8" s="27"/>
      <c r="K8" s="26"/>
      <c r="L8" s="26"/>
      <c r="M8" s="26"/>
    </row>
    <row r="9" spans="1:13" ht="25.5" customHeight="1">
      <c r="A9" s="278" t="s">
        <v>1</v>
      </c>
      <c r="B9" s="323" t="s">
        <v>2</v>
      </c>
      <c r="C9" s="324"/>
      <c r="D9" s="156" t="s">
        <v>3</v>
      </c>
      <c r="E9" s="244" t="s">
        <v>4</v>
      </c>
      <c r="F9" s="148" t="s">
        <v>5</v>
      </c>
      <c r="G9" s="12" t="s">
        <v>6</v>
      </c>
      <c r="H9" s="12" t="s">
        <v>7</v>
      </c>
      <c r="I9" s="279" t="s">
        <v>8</v>
      </c>
      <c r="L9" s="1"/>
      <c r="M9" s="1"/>
    </row>
    <row r="10" spans="1:13" ht="16.5" customHeight="1">
      <c r="A10" s="314" t="s">
        <v>210</v>
      </c>
      <c r="B10" s="315"/>
      <c r="C10" s="315"/>
      <c r="D10" s="315"/>
      <c r="E10" s="315"/>
      <c r="F10" s="315"/>
      <c r="G10" s="315"/>
      <c r="H10" s="315"/>
      <c r="I10" s="316"/>
      <c r="L10" s="1"/>
      <c r="M10" s="1"/>
    </row>
    <row r="11" spans="1:13" ht="16.5" customHeight="1">
      <c r="A11" s="280">
        <v>1</v>
      </c>
      <c r="B11" s="149" t="s">
        <v>17</v>
      </c>
      <c r="C11" s="51">
        <v>20000</v>
      </c>
      <c r="D11" s="157" t="s">
        <v>281</v>
      </c>
      <c r="E11" s="245"/>
      <c r="F11" s="51"/>
      <c r="G11" s="52"/>
      <c r="H11" s="52"/>
      <c r="I11" s="281"/>
      <c r="L11" s="1"/>
      <c r="M11" s="1"/>
    </row>
    <row r="12" spans="1:13" ht="28.5">
      <c r="A12" s="282" t="s">
        <v>124</v>
      </c>
      <c r="B12" s="61" t="s">
        <v>17</v>
      </c>
      <c r="C12" s="3">
        <v>20102</v>
      </c>
      <c r="D12" s="69" t="s">
        <v>873</v>
      </c>
      <c r="E12" s="33">
        <f>'MEMÓRIA DE CÁLCULO'!F16</f>
        <v>12.55</v>
      </c>
      <c r="F12" s="33" t="s">
        <v>13</v>
      </c>
      <c r="G12" s="443">
        <v>0</v>
      </c>
      <c r="H12" s="443">
        <v>0</v>
      </c>
      <c r="I12" s="444">
        <f>ROUNDUP((H12+G12)*E12,2)</f>
        <v>0</v>
      </c>
      <c r="J12" s="134"/>
      <c r="L12" s="1"/>
      <c r="M12" s="1"/>
    </row>
    <row r="13" spans="1:13" ht="28.5">
      <c r="A13" s="282" t="s">
        <v>131</v>
      </c>
      <c r="B13" s="61" t="s">
        <v>17</v>
      </c>
      <c r="C13" s="61">
        <v>20106</v>
      </c>
      <c r="D13" s="147" t="s">
        <v>280</v>
      </c>
      <c r="E13" s="33">
        <f>ROUNDUP('MEMÓRIA DE CÁLCULO'!F39,3)</f>
        <v>178.84</v>
      </c>
      <c r="F13" s="33" t="s">
        <v>16</v>
      </c>
      <c r="G13" s="443">
        <v>0</v>
      </c>
      <c r="H13" s="443">
        <v>0</v>
      </c>
      <c r="I13" s="444">
        <f t="shared" ref="I13:I18" si="0">ROUNDUP((H13+G13)*E13,2)</f>
        <v>0</v>
      </c>
      <c r="L13" s="1"/>
      <c r="M13" s="1"/>
    </row>
    <row r="14" spans="1:13" ht="28.5">
      <c r="A14" s="282" t="s">
        <v>479</v>
      </c>
      <c r="B14" s="61" t="s">
        <v>17</v>
      </c>
      <c r="C14" s="61">
        <v>20109</v>
      </c>
      <c r="D14" s="69" t="s">
        <v>875</v>
      </c>
      <c r="E14" s="33">
        <f>'MEMÓRIA DE CÁLCULO'!F42</f>
        <v>80</v>
      </c>
      <c r="F14" s="33" t="s">
        <v>16</v>
      </c>
      <c r="G14" s="443">
        <v>0</v>
      </c>
      <c r="H14" s="443">
        <v>0</v>
      </c>
      <c r="I14" s="444">
        <f t="shared" si="0"/>
        <v>0</v>
      </c>
      <c r="L14" s="1"/>
      <c r="M14" s="1"/>
    </row>
    <row r="15" spans="1:13" ht="28.5">
      <c r="A15" s="282" t="s">
        <v>872</v>
      </c>
      <c r="B15" s="61" t="s">
        <v>17</v>
      </c>
      <c r="C15" s="61">
        <v>20141</v>
      </c>
      <c r="D15" s="147" t="s">
        <v>211</v>
      </c>
      <c r="E15" s="33">
        <f>'MEMÓRIA DE CÁLCULO'!F54</f>
        <v>7</v>
      </c>
      <c r="F15" s="33" t="s">
        <v>108</v>
      </c>
      <c r="G15" s="443">
        <v>0</v>
      </c>
      <c r="H15" s="443">
        <v>0</v>
      </c>
      <c r="I15" s="444">
        <f t="shared" si="0"/>
        <v>0</v>
      </c>
      <c r="L15" s="1"/>
      <c r="M15" s="1"/>
    </row>
    <row r="16" spans="1:13" ht="28.5">
      <c r="A16" s="282" t="s">
        <v>876</v>
      </c>
      <c r="B16" s="61" t="s">
        <v>17</v>
      </c>
      <c r="C16" s="61">
        <v>20163</v>
      </c>
      <c r="D16" s="147" t="s">
        <v>250</v>
      </c>
      <c r="E16" s="33">
        <f>'MEMÓRIA DE CÁLCULO'!F66</f>
        <v>0.11899999999999999</v>
      </c>
      <c r="F16" s="33" t="s">
        <v>212</v>
      </c>
      <c r="G16" s="443">
        <v>0</v>
      </c>
      <c r="H16" s="443">
        <v>0</v>
      </c>
      <c r="I16" s="444">
        <f t="shared" si="0"/>
        <v>0</v>
      </c>
      <c r="L16" s="1"/>
      <c r="M16" s="1"/>
    </row>
    <row r="17" spans="1:13" ht="42.75">
      <c r="A17" s="282" t="s">
        <v>964</v>
      </c>
      <c r="B17" s="61" t="s">
        <v>17</v>
      </c>
      <c r="C17" s="61">
        <v>21301</v>
      </c>
      <c r="D17" s="147" t="s">
        <v>1025</v>
      </c>
      <c r="E17" s="33">
        <f>'MEMÓRIA DE CÁLCULO'!F69</f>
        <v>3.75</v>
      </c>
      <c r="F17" s="33" t="s">
        <v>16</v>
      </c>
      <c r="G17" s="443">
        <v>0</v>
      </c>
      <c r="H17" s="443">
        <v>0</v>
      </c>
      <c r="I17" s="444">
        <f t="shared" si="0"/>
        <v>0</v>
      </c>
      <c r="L17" s="1"/>
      <c r="M17" s="1"/>
    </row>
    <row r="18" spans="1:13" ht="42.75">
      <c r="A18" s="282" t="s">
        <v>1024</v>
      </c>
      <c r="B18" s="61" t="s">
        <v>314</v>
      </c>
      <c r="C18" s="61">
        <v>97637</v>
      </c>
      <c r="D18" s="147" t="s">
        <v>965</v>
      </c>
      <c r="E18" s="33">
        <f>'MEMÓRIA DE CÁLCULO'!F74</f>
        <v>25.56</v>
      </c>
      <c r="F18" s="33" t="s">
        <v>13</v>
      </c>
      <c r="G18" s="445">
        <v>0</v>
      </c>
      <c r="H18" s="446"/>
      <c r="I18" s="444">
        <f t="shared" si="0"/>
        <v>0</v>
      </c>
      <c r="L18" s="1"/>
      <c r="M18" s="1"/>
    </row>
    <row r="19" spans="1:13" ht="16.5" customHeight="1">
      <c r="A19" s="312" t="s">
        <v>14</v>
      </c>
      <c r="B19" s="313"/>
      <c r="C19" s="313"/>
      <c r="D19" s="313"/>
      <c r="E19" s="313"/>
      <c r="F19" s="313"/>
      <c r="G19" s="313"/>
      <c r="H19" s="313"/>
      <c r="I19" s="447">
        <f>ROUNDUP(I12+I13+I14+I15+I16+I18+I17,2)</f>
        <v>0</v>
      </c>
      <c r="L19" s="1"/>
      <c r="M19" s="1"/>
    </row>
    <row r="20" spans="1:13" ht="16.5" customHeight="1">
      <c r="A20" s="314" t="s">
        <v>968</v>
      </c>
      <c r="B20" s="315"/>
      <c r="C20" s="315"/>
      <c r="D20" s="315"/>
      <c r="E20" s="315"/>
      <c r="F20" s="315"/>
      <c r="G20" s="315"/>
      <c r="H20" s="315"/>
      <c r="I20" s="316"/>
      <c r="L20" s="1"/>
      <c r="M20" s="1"/>
    </row>
    <row r="21" spans="1:13" ht="16.5" customHeight="1">
      <c r="A21" s="280">
        <v>2</v>
      </c>
      <c r="B21" s="149" t="s">
        <v>17</v>
      </c>
      <c r="C21" s="51">
        <v>30000</v>
      </c>
      <c r="D21" s="157" t="s">
        <v>973</v>
      </c>
      <c r="E21" s="244" t="s">
        <v>4</v>
      </c>
      <c r="F21" s="148" t="s">
        <v>5</v>
      </c>
      <c r="G21" s="12" t="s">
        <v>6</v>
      </c>
      <c r="H21" s="12" t="s">
        <v>7</v>
      </c>
      <c r="I21" s="279" t="s">
        <v>8</v>
      </c>
      <c r="L21" s="1"/>
      <c r="M21" s="1"/>
    </row>
    <row r="22" spans="1:13" ht="28.5">
      <c r="A22" s="282" t="s">
        <v>125</v>
      </c>
      <c r="B22" s="61" t="s">
        <v>17</v>
      </c>
      <c r="C22" s="61">
        <v>30105</v>
      </c>
      <c r="D22" s="69" t="s">
        <v>970</v>
      </c>
      <c r="E22" s="33">
        <f>'MEMÓRIA DE CÁLCULO'!F78</f>
        <v>31.27</v>
      </c>
      <c r="F22" s="33" t="s">
        <v>969</v>
      </c>
      <c r="G22" s="443">
        <v>0</v>
      </c>
      <c r="H22" s="443">
        <v>0</v>
      </c>
      <c r="I22" s="444">
        <f>ROUNDUP((H22+G22)*E22,2)</f>
        <v>0</v>
      </c>
      <c r="L22" s="1"/>
      <c r="M22" s="1"/>
    </row>
    <row r="23" spans="1:13" ht="16.5" customHeight="1">
      <c r="A23" s="312" t="s">
        <v>14</v>
      </c>
      <c r="B23" s="313"/>
      <c r="C23" s="313"/>
      <c r="D23" s="313"/>
      <c r="E23" s="313"/>
      <c r="F23" s="313"/>
      <c r="G23" s="313"/>
      <c r="H23" s="313"/>
      <c r="I23" s="447">
        <f>I22</f>
        <v>0</v>
      </c>
      <c r="L23" s="1"/>
      <c r="M23" s="1"/>
    </row>
    <row r="24" spans="1:13" ht="16.5" customHeight="1">
      <c r="A24" s="314" t="s">
        <v>276</v>
      </c>
      <c r="B24" s="315"/>
      <c r="C24" s="315"/>
      <c r="D24" s="315"/>
      <c r="E24" s="315"/>
      <c r="F24" s="315"/>
      <c r="G24" s="315"/>
      <c r="H24" s="315"/>
      <c r="I24" s="316"/>
      <c r="L24" s="1"/>
      <c r="M24" s="1"/>
    </row>
    <row r="25" spans="1:13" ht="16.5" customHeight="1">
      <c r="A25" s="280">
        <v>3</v>
      </c>
      <c r="B25" s="149" t="s">
        <v>17</v>
      </c>
      <c r="C25" s="51">
        <v>60000</v>
      </c>
      <c r="D25" s="157" t="s">
        <v>277</v>
      </c>
      <c r="E25" s="244" t="s">
        <v>4</v>
      </c>
      <c r="F25" s="148" t="s">
        <v>5</v>
      </c>
      <c r="G25" s="12" t="s">
        <v>6</v>
      </c>
      <c r="H25" s="12" t="s">
        <v>7</v>
      </c>
      <c r="I25" s="279" t="s">
        <v>8</v>
      </c>
      <c r="L25" s="1"/>
      <c r="M25" s="1"/>
    </row>
    <row r="26" spans="1:13" ht="16.5" customHeight="1">
      <c r="A26" s="283" t="s">
        <v>132</v>
      </c>
      <c r="B26" s="3" t="s">
        <v>17</v>
      </c>
      <c r="C26" s="3">
        <v>60105</v>
      </c>
      <c r="D26" s="69" t="s">
        <v>278</v>
      </c>
      <c r="E26" s="48">
        <f>'MEMÓRIA DE CÁLCULO'!F100</f>
        <v>783.23</v>
      </c>
      <c r="F26" s="48" t="s">
        <v>13</v>
      </c>
      <c r="G26" s="443">
        <v>0</v>
      </c>
      <c r="H26" s="443">
        <v>0</v>
      </c>
      <c r="I26" s="444">
        <f>(G26+H26)*E26</f>
        <v>0</v>
      </c>
      <c r="L26" s="1"/>
      <c r="M26" s="1"/>
    </row>
    <row r="27" spans="1:13" ht="16.5" customHeight="1">
      <c r="A27" s="312" t="s">
        <v>14</v>
      </c>
      <c r="B27" s="313"/>
      <c r="C27" s="313"/>
      <c r="D27" s="313"/>
      <c r="E27" s="313"/>
      <c r="F27" s="313"/>
      <c r="G27" s="313"/>
      <c r="H27" s="313"/>
      <c r="I27" s="447">
        <f>I26</f>
        <v>0</v>
      </c>
      <c r="L27" s="1"/>
      <c r="M27" s="1"/>
    </row>
    <row r="28" spans="1:13" ht="16.5" customHeight="1">
      <c r="A28" s="314" t="s">
        <v>111</v>
      </c>
      <c r="B28" s="315"/>
      <c r="C28" s="315"/>
      <c r="D28" s="315"/>
      <c r="E28" s="315"/>
      <c r="F28" s="315"/>
      <c r="G28" s="315"/>
      <c r="H28" s="315"/>
      <c r="I28" s="316"/>
      <c r="L28" s="1"/>
      <c r="M28" s="1"/>
    </row>
    <row r="29" spans="1:13" ht="30">
      <c r="A29" s="280">
        <v>4</v>
      </c>
      <c r="B29" s="149" t="s">
        <v>17</v>
      </c>
      <c r="C29" s="51">
        <v>70000</v>
      </c>
      <c r="D29" s="157" t="s">
        <v>923</v>
      </c>
      <c r="E29" s="244" t="s">
        <v>4</v>
      </c>
      <c r="F29" s="148" t="s">
        <v>5</v>
      </c>
      <c r="G29" s="12" t="s">
        <v>6</v>
      </c>
      <c r="H29" s="12" t="s">
        <v>7</v>
      </c>
      <c r="I29" s="279" t="s">
        <v>8</v>
      </c>
      <c r="L29" s="1"/>
      <c r="M29" s="1"/>
    </row>
    <row r="30" spans="1:13" ht="16.5" customHeight="1">
      <c r="A30" s="283" t="s">
        <v>480</v>
      </c>
      <c r="B30" s="3" t="s">
        <v>17</v>
      </c>
      <c r="C30" s="3">
        <v>72251</v>
      </c>
      <c r="D30" s="69" t="s">
        <v>200</v>
      </c>
      <c r="E30" s="48">
        <f>'MEMÓRIA DE CÁLCULO'!F135</f>
        <v>146</v>
      </c>
      <c r="F30" s="48" t="s">
        <v>108</v>
      </c>
      <c r="G30" s="443">
        <v>0</v>
      </c>
      <c r="H30" s="443">
        <v>0</v>
      </c>
      <c r="I30" s="444">
        <f>(G30+H30)*E30</f>
        <v>0</v>
      </c>
      <c r="L30" s="1"/>
      <c r="M30" s="1"/>
    </row>
    <row r="31" spans="1:13" ht="16.5" customHeight="1">
      <c r="A31" s="283" t="s">
        <v>481</v>
      </c>
      <c r="B31" s="3" t="s">
        <v>17</v>
      </c>
      <c r="C31" s="3">
        <v>72252</v>
      </c>
      <c r="D31" s="69" t="s">
        <v>263</v>
      </c>
      <c r="E31" s="48">
        <f>'MEMÓRIA DE CÁLCULO'!F179</f>
        <v>199</v>
      </c>
      <c r="F31" s="48" t="s">
        <v>108</v>
      </c>
      <c r="G31" s="443">
        <v>0</v>
      </c>
      <c r="H31" s="443">
        <v>0</v>
      </c>
      <c r="I31" s="444">
        <f t="shared" ref="I31:I43" si="1">(G31+H31)*E31</f>
        <v>0</v>
      </c>
      <c r="L31" s="1"/>
      <c r="M31" s="1"/>
    </row>
    <row r="32" spans="1:13" ht="16.5" customHeight="1">
      <c r="A32" s="283" t="s">
        <v>482</v>
      </c>
      <c r="B32" s="3" t="s">
        <v>17</v>
      </c>
      <c r="C32" s="3">
        <v>71201</v>
      </c>
      <c r="D32" s="69" t="s">
        <v>415</v>
      </c>
      <c r="E32" s="48">
        <f>'MEMÓRIA DE CÁLCULO'!F189</f>
        <v>115</v>
      </c>
      <c r="F32" s="48" t="s">
        <v>262</v>
      </c>
      <c r="G32" s="443">
        <v>0</v>
      </c>
      <c r="H32" s="443">
        <v>0</v>
      </c>
      <c r="I32" s="444">
        <f t="shared" si="1"/>
        <v>0</v>
      </c>
      <c r="L32" s="1"/>
      <c r="M32" s="1"/>
    </row>
    <row r="33" spans="1:13" ht="16.5" customHeight="1">
      <c r="A33" s="283" t="s">
        <v>483</v>
      </c>
      <c r="B33" s="3" t="s">
        <v>17</v>
      </c>
      <c r="C33" s="3">
        <v>71432</v>
      </c>
      <c r="D33" s="69" t="s">
        <v>538</v>
      </c>
      <c r="E33" s="48">
        <f>'MEMÓRIA DE CÁLCULO'!F195</f>
        <v>3</v>
      </c>
      <c r="F33" s="48" t="s">
        <v>112</v>
      </c>
      <c r="G33" s="443">
        <v>0</v>
      </c>
      <c r="H33" s="443">
        <v>0</v>
      </c>
      <c r="I33" s="444">
        <f t="shared" si="1"/>
        <v>0</v>
      </c>
      <c r="L33" s="1"/>
      <c r="M33" s="1"/>
    </row>
    <row r="34" spans="1:13" ht="16.5" customHeight="1">
      <c r="A34" s="283" t="s">
        <v>484</v>
      </c>
      <c r="B34" s="3" t="s">
        <v>17</v>
      </c>
      <c r="C34" s="3">
        <v>71440</v>
      </c>
      <c r="D34" s="69" t="s">
        <v>290</v>
      </c>
      <c r="E34" s="48">
        <f>'MEMÓRIA DE CÁLCULO'!F258</f>
        <v>55</v>
      </c>
      <c r="F34" s="48" t="s">
        <v>108</v>
      </c>
      <c r="G34" s="443">
        <v>0</v>
      </c>
      <c r="H34" s="443">
        <v>0</v>
      </c>
      <c r="I34" s="444">
        <f t="shared" si="1"/>
        <v>0</v>
      </c>
      <c r="L34" s="1"/>
      <c r="M34" s="1"/>
    </row>
    <row r="35" spans="1:13" ht="16.5" customHeight="1">
      <c r="A35" s="283" t="s">
        <v>485</v>
      </c>
      <c r="B35" s="3" t="s">
        <v>17</v>
      </c>
      <c r="C35" s="3">
        <v>71441</v>
      </c>
      <c r="D35" s="69" t="s">
        <v>293</v>
      </c>
      <c r="E35" s="48">
        <f>'MEMÓRIA DE CÁLCULO'!F269</f>
        <v>6</v>
      </c>
      <c r="F35" s="48" t="s">
        <v>108</v>
      </c>
      <c r="G35" s="443">
        <v>0</v>
      </c>
      <c r="H35" s="443">
        <v>0</v>
      </c>
      <c r="I35" s="444">
        <f t="shared" si="1"/>
        <v>0</v>
      </c>
      <c r="L35" s="1"/>
      <c r="M35" s="1"/>
    </row>
    <row r="36" spans="1:13" ht="28.5">
      <c r="A36" s="283" t="s">
        <v>486</v>
      </c>
      <c r="B36" s="3" t="s">
        <v>17</v>
      </c>
      <c r="C36" s="3">
        <v>71443</v>
      </c>
      <c r="D36" s="69" t="s">
        <v>529</v>
      </c>
      <c r="E36" s="48">
        <f>'MEMÓRIA DE CÁLCULO'!F277</f>
        <v>4</v>
      </c>
      <c r="F36" s="48" t="s">
        <v>108</v>
      </c>
      <c r="G36" s="443">
        <v>0</v>
      </c>
      <c r="H36" s="443">
        <v>0</v>
      </c>
      <c r="I36" s="444">
        <f t="shared" si="1"/>
        <v>0</v>
      </c>
      <c r="L36" s="1"/>
      <c r="M36" s="1"/>
    </row>
    <row r="37" spans="1:13" ht="16.5" customHeight="1">
      <c r="A37" s="283" t="s">
        <v>487</v>
      </c>
      <c r="B37" s="3" t="s">
        <v>17</v>
      </c>
      <c r="C37" s="3">
        <v>71534</v>
      </c>
      <c r="D37" s="69" t="s">
        <v>107</v>
      </c>
      <c r="E37" s="48">
        <f>'MEMÓRIA DE CÁLCULO'!F311</f>
        <v>237</v>
      </c>
      <c r="F37" s="48" t="s">
        <v>108</v>
      </c>
      <c r="G37" s="443">
        <v>0</v>
      </c>
      <c r="H37" s="443">
        <v>0</v>
      </c>
      <c r="I37" s="444">
        <f t="shared" si="1"/>
        <v>0</v>
      </c>
      <c r="L37" s="1"/>
      <c r="M37" s="1"/>
    </row>
    <row r="38" spans="1:13" ht="16.5" customHeight="1">
      <c r="A38" s="283" t="s">
        <v>488</v>
      </c>
      <c r="B38" s="3" t="s">
        <v>17</v>
      </c>
      <c r="C38" s="3">
        <v>71536</v>
      </c>
      <c r="D38" s="69" t="s">
        <v>109</v>
      </c>
      <c r="E38" s="48">
        <f>'MEMÓRIA DE CÁLCULO'!F359</f>
        <v>281</v>
      </c>
      <c r="F38" s="48" t="s">
        <v>108</v>
      </c>
      <c r="G38" s="443">
        <v>0</v>
      </c>
      <c r="H38" s="443">
        <v>0</v>
      </c>
      <c r="I38" s="444">
        <f t="shared" si="1"/>
        <v>0</v>
      </c>
      <c r="L38" s="1"/>
      <c r="M38" s="1"/>
    </row>
    <row r="39" spans="1:13" ht="28.5">
      <c r="A39" s="283" t="s">
        <v>489</v>
      </c>
      <c r="B39" s="3" t="s">
        <v>17</v>
      </c>
      <c r="C39" s="3">
        <v>71619</v>
      </c>
      <c r="D39" s="69" t="s">
        <v>143</v>
      </c>
      <c r="E39" s="48">
        <f>'MEMÓRIA DE CÁLCULO'!F367</f>
        <v>26</v>
      </c>
      <c r="F39" s="48" t="s">
        <v>108</v>
      </c>
      <c r="G39" s="443">
        <v>0</v>
      </c>
      <c r="H39" s="443">
        <v>0</v>
      </c>
      <c r="I39" s="444">
        <f t="shared" si="1"/>
        <v>0</v>
      </c>
      <c r="L39" s="1"/>
      <c r="M39" s="1"/>
    </row>
    <row r="40" spans="1:13" ht="28.5">
      <c r="A40" s="283" t="s">
        <v>533</v>
      </c>
      <c r="B40" s="3" t="s">
        <v>17</v>
      </c>
      <c r="C40" s="3">
        <v>71622</v>
      </c>
      <c r="D40" s="69" t="s">
        <v>130</v>
      </c>
      <c r="E40" s="48">
        <f>'MEMÓRIA DE CÁLCULO'!F384</f>
        <v>32</v>
      </c>
      <c r="F40" s="48" t="s">
        <v>112</v>
      </c>
      <c r="G40" s="443">
        <v>0</v>
      </c>
      <c r="H40" s="443">
        <v>0</v>
      </c>
      <c r="I40" s="444">
        <f t="shared" si="1"/>
        <v>0</v>
      </c>
      <c r="L40" s="1"/>
      <c r="M40" s="1"/>
    </row>
    <row r="41" spans="1:13" ht="28.5">
      <c r="A41" s="283" t="s">
        <v>977</v>
      </c>
      <c r="B41" s="3" t="s">
        <v>17</v>
      </c>
      <c r="C41" s="3">
        <v>71194</v>
      </c>
      <c r="D41" s="158" t="s">
        <v>261</v>
      </c>
      <c r="E41" s="64">
        <f>'MEMÓRIA DE CÁLCULO'!F388</f>
        <v>100</v>
      </c>
      <c r="F41" s="235" t="s">
        <v>262</v>
      </c>
      <c r="G41" s="443">
        <v>0</v>
      </c>
      <c r="H41" s="443">
        <v>0</v>
      </c>
      <c r="I41" s="444">
        <f t="shared" si="1"/>
        <v>0</v>
      </c>
      <c r="L41" s="1"/>
      <c r="M41" s="1"/>
    </row>
    <row r="42" spans="1:13" ht="28.5">
      <c r="A42" s="283" t="s">
        <v>978</v>
      </c>
      <c r="B42" s="3" t="s">
        <v>17</v>
      </c>
      <c r="C42" s="3">
        <v>72570</v>
      </c>
      <c r="D42" s="158" t="s">
        <v>294</v>
      </c>
      <c r="E42" s="64">
        <f>'MEMÓRIA DE CÁLCULO'!F445</f>
        <v>178</v>
      </c>
      <c r="F42" s="48" t="s">
        <v>112</v>
      </c>
      <c r="G42" s="443">
        <v>0</v>
      </c>
      <c r="H42" s="443">
        <v>0</v>
      </c>
      <c r="I42" s="444">
        <f t="shared" si="1"/>
        <v>0</v>
      </c>
      <c r="L42" s="1"/>
      <c r="M42" s="1"/>
    </row>
    <row r="43" spans="1:13" ht="16.5" customHeight="1">
      <c r="A43" s="283" t="s">
        <v>979</v>
      </c>
      <c r="B43" s="3" t="s">
        <v>314</v>
      </c>
      <c r="C43" s="3">
        <v>72339</v>
      </c>
      <c r="D43" s="158" t="s">
        <v>922</v>
      </c>
      <c r="E43" s="64">
        <f>'MEMÓRIA DE CÁLCULO'!F451</f>
        <v>5</v>
      </c>
      <c r="F43" s="48" t="s">
        <v>112</v>
      </c>
      <c r="G43" s="443">
        <v>0</v>
      </c>
      <c r="H43" s="443">
        <v>0</v>
      </c>
      <c r="I43" s="444">
        <f t="shared" si="1"/>
        <v>0</v>
      </c>
      <c r="L43" s="1"/>
      <c r="M43" s="1"/>
    </row>
    <row r="44" spans="1:13" ht="16.5" customHeight="1">
      <c r="A44" s="312" t="s">
        <v>14</v>
      </c>
      <c r="B44" s="313"/>
      <c r="C44" s="313"/>
      <c r="D44" s="313"/>
      <c r="E44" s="313"/>
      <c r="F44" s="313"/>
      <c r="G44" s="313"/>
      <c r="H44" s="313"/>
      <c r="I44" s="447">
        <f>SUM(I30:I43)</f>
        <v>0</v>
      </c>
      <c r="L44" s="1"/>
      <c r="M44" s="1"/>
    </row>
    <row r="45" spans="1:13" ht="16.5" customHeight="1">
      <c r="A45" s="299" t="s">
        <v>1044</v>
      </c>
      <c r="B45" s="300"/>
      <c r="C45" s="300"/>
      <c r="D45" s="300"/>
      <c r="E45" s="300"/>
      <c r="F45" s="300"/>
      <c r="G45" s="300"/>
      <c r="H45" s="300"/>
      <c r="I45" s="301"/>
      <c r="L45" s="1"/>
      <c r="M45" s="1"/>
    </row>
    <row r="46" spans="1:13" ht="16.5" customHeight="1">
      <c r="A46" s="284">
        <v>5</v>
      </c>
      <c r="B46" s="51" t="s">
        <v>17</v>
      </c>
      <c r="C46" s="151">
        <v>80000</v>
      </c>
      <c r="D46" s="157" t="s">
        <v>177</v>
      </c>
      <c r="E46" s="244" t="s">
        <v>4</v>
      </c>
      <c r="F46" s="148" t="s">
        <v>5</v>
      </c>
      <c r="G46" s="12" t="s">
        <v>6</v>
      </c>
      <c r="H46" s="12" t="s">
        <v>7</v>
      </c>
      <c r="I46" s="279" t="s">
        <v>8</v>
      </c>
      <c r="L46" s="1"/>
      <c r="M46" s="1"/>
    </row>
    <row r="47" spans="1:13" ht="16.5" customHeight="1">
      <c r="A47" s="283" t="s">
        <v>490</v>
      </c>
      <c r="B47" s="3" t="s">
        <v>17</v>
      </c>
      <c r="C47" s="55">
        <v>80502</v>
      </c>
      <c r="D47" s="69" t="s">
        <v>275</v>
      </c>
      <c r="E47" s="66">
        <f>'MEMÓRIA DE CÁLCULO'!F462</f>
        <v>7</v>
      </c>
      <c r="F47" s="48" t="s">
        <v>176</v>
      </c>
      <c r="G47" s="443">
        <v>0</v>
      </c>
      <c r="H47" s="443">
        <v>0</v>
      </c>
      <c r="I47" s="444">
        <f>(G47+H47)*E47</f>
        <v>0</v>
      </c>
      <c r="L47" s="1"/>
      <c r="M47" s="1"/>
    </row>
    <row r="48" spans="1:13" ht="32.25" customHeight="1">
      <c r="A48" s="283" t="s">
        <v>980</v>
      </c>
      <c r="B48" s="3" t="s">
        <v>17</v>
      </c>
      <c r="C48" s="55">
        <v>80511</v>
      </c>
      <c r="D48" s="69" t="s">
        <v>206</v>
      </c>
      <c r="E48" s="65">
        <f>'MEMÓRIA DE CÁLCULO'!F470</f>
        <v>6</v>
      </c>
      <c r="F48" s="48" t="s">
        <v>176</v>
      </c>
      <c r="G48" s="443">
        <v>0</v>
      </c>
      <c r="H48" s="443">
        <v>0</v>
      </c>
      <c r="I48" s="444">
        <f t="shared" ref="I48:I57" si="2">(G48+H48)*E48</f>
        <v>0</v>
      </c>
      <c r="L48" s="1"/>
      <c r="M48" s="1"/>
    </row>
    <row r="49" spans="1:13" ht="32.25" customHeight="1">
      <c r="A49" s="283" t="s">
        <v>981</v>
      </c>
      <c r="B49" s="3" t="s">
        <v>17</v>
      </c>
      <c r="C49" s="55">
        <v>80518</v>
      </c>
      <c r="D49" s="69" t="s">
        <v>208</v>
      </c>
      <c r="E49" s="65">
        <f>'MEMÓRIA DE CÁLCULO'!F474</f>
        <v>1</v>
      </c>
      <c r="F49" s="48" t="s">
        <v>203</v>
      </c>
      <c r="G49" s="443">
        <v>0</v>
      </c>
      <c r="H49" s="443">
        <v>0</v>
      </c>
      <c r="I49" s="444">
        <f t="shared" si="2"/>
        <v>0</v>
      </c>
      <c r="L49" s="1"/>
      <c r="M49" s="1"/>
    </row>
    <row r="50" spans="1:13" ht="28.5">
      <c r="A50" s="283" t="s">
        <v>982</v>
      </c>
      <c r="B50" s="3" t="s">
        <v>17</v>
      </c>
      <c r="C50" s="55">
        <v>80526</v>
      </c>
      <c r="D50" s="124" t="s">
        <v>890</v>
      </c>
      <c r="E50" s="65">
        <f>'MEMÓRIA DE CÁLCULO'!F481</f>
        <v>4</v>
      </c>
      <c r="F50" s="48" t="s">
        <v>176</v>
      </c>
      <c r="G50" s="443">
        <v>0</v>
      </c>
      <c r="H50" s="443">
        <v>0</v>
      </c>
      <c r="I50" s="444">
        <f t="shared" si="2"/>
        <v>0</v>
      </c>
      <c r="L50" s="1"/>
      <c r="M50" s="1"/>
    </row>
    <row r="51" spans="1:13" ht="28.5">
      <c r="A51" s="283" t="s">
        <v>983</v>
      </c>
      <c r="B51" s="3" t="s">
        <v>17</v>
      </c>
      <c r="C51" s="55">
        <v>80562</v>
      </c>
      <c r="D51" s="69" t="s">
        <v>264</v>
      </c>
      <c r="E51" s="65">
        <f>'MEMÓRIA DE CÁLCULO'!F498</f>
        <v>14</v>
      </c>
      <c r="F51" s="48" t="s">
        <v>203</v>
      </c>
      <c r="G51" s="443">
        <v>0</v>
      </c>
      <c r="H51" s="443">
        <v>0</v>
      </c>
      <c r="I51" s="444">
        <f t="shared" si="2"/>
        <v>0</v>
      </c>
      <c r="L51" s="1"/>
      <c r="M51" s="1"/>
    </row>
    <row r="52" spans="1:13" ht="16.5" customHeight="1">
      <c r="A52" s="283" t="s">
        <v>984</v>
      </c>
      <c r="B52" s="3" t="s">
        <v>17</v>
      </c>
      <c r="C52" s="55">
        <v>80601</v>
      </c>
      <c r="D52" s="69" t="s">
        <v>175</v>
      </c>
      <c r="E52" s="65">
        <f>'MEMÓRIA DE CÁLCULO'!F502</f>
        <v>2</v>
      </c>
      <c r="F52" s="48" t="s">
        <v>176</v>
      </c>
      <c r="G52" s="443">
        <v>0</v>
      </c>
      <c r="H52" s="443">
        <v>0</v>
      </c>
      <c r="I52" s="444">
        <f t="shared" si="2"/>
        <v>0</v>
      </c>
      <c r="L52" s="1"/>
      <c r="M52" s="1"/>
    </row>
    <row r="53" spans="1:13" ht="16.5" customHeight="1">
      <c r="A53" s="283" t="s">
        <v>985</v>
      </c>
      <c r="B53" s="3" t="s">
        <v>17</v>
      </c>
      <c r="C53" s="55">
        <v>80570</v>
      </c>
      <c r="D53" s="69" t="s">
        <v>204</v>
      </c>
      <c r="E53" s="66">
        <f>'MEMÓRIA DE CÁLCULO'!F513</f>
        <v>10</v>
      </c>
      <c r="F53" s="48" t="s">
        <v>203</v>
      </c>
      <c r="G53" s="443">
        <v>0</v>
      </c>
      <c r="H53" s="443">
        <v>0</v>
      </c>
      <c r="I53" s="444">
        <f t="shared" si="2"/>
        <v>0</v>
      </c>
      <c r="L53" s="1"/>
      <c r="M53" s="1"/>
    </row>
    <row r="54" spans="1:13" ht="16.5" customHeight="1">
      <c r="A54" s="283" t="s">
        <v>986</v>
      </c>
      <c r="B54" s="3" t="s">
        <v>17</v>
      </c>
      <c r="C54" s="55">
        <v>80721</v>
      </c>
      <c r="D54" s="69" t="s">
        <v>209</v>
      </c>
      <c r="E54" s="66">
        <f>'MEMÓRIA DE CÁLCULO'!F518</f>
        <v>3</v>
      </c>
      <c r="F54" s="48" t="s">
        <v>203</v>
      </c>
      <c r="G54" s="443">
        <v>0</v>
      </c>
      <c r="H54" s="443">
        <v>0</v>
      </c>
      <c r="I54" s="444">
        <f t="shared" si="2"/>
        <v>0</v>
      </c>
      <c r="L54" s="1"/>
      <c r="M54" s="1"/>
    </row>
    <row r="55" spans="1:13" ht="16.5" customHeight="1">
      <c r="A55" s="283" t="s">
        <v>987</v>
      </c>
      <c r="B55" s="3" t="s">
        <v>17</v>
      </c>
      <c r="C55" s="55">
        <v>82304</v>
      </c>
      <c r="D55" s="69" t="s">
        <v>266</v>
      </c>
      <c r="E55" s="66">
        <f>'MEMÓRIA DE CÁLCULO'!F524</f>
        <v>60</v>
      </c>
      <c r="F55" s="48" t="s">
        <v>267</v>
      </c>
      <c r="G55" s="443">
        <v>0</v>
      </c>
      <c r="H55" s="443">
        <v>0</v>
      </c>
      <c r="I55" s="444">
        <f t="shared" si="2"/>
        <v>0</v>
      </c>
      <c r="L55" s="1"/>
      <c r="M55" s="1"/>
    </row>
    <row r="56" spans="1:13" ht="16.5" customHeight="1">
      <c r="A56" s="283" t="s">
        <v>988</v>
      </c>
      <c r="B56" s="3" t="s">
        <v>17</v>
      </c>
      <c r="C56" s="55">
        <v>81501</v>
      </c>
      <c r="D56" s="69" t="s">
        <v>272</v>
      </c>
      <c r="E56" s="66">
        <f>'MEMÓRIA DE CÁLCULO'!F530</f>
        <v>164</v>
      </c>
      <c r="F56" s="48" t="s">
        <v>176</v>
      </c>
      <c r="G56" s="443">
        <v>0</v>
      </c>
      <c r="H56" s="443">
        <v>0</v>
      </c>
      <c r="I56" s="444">
        <f t="shared" si="2"/>
        <v>0</v>
      </c>
      <c r="L56" s="1"/>
      <c r="M56" s="1"/>
    </row>
    <row r="57" spans="1:13" ht="16.5" customHeight="1">
      <c r="A57" s="283" t="s">
        <v>989</v>
      </c>
      <c r="B57" s="3" t="s">
        <v>17</v>
      </c>
      <c r="C57" s="55">
        <v>81663</v>
      </c>
      <c r="D57" s="69" t="s">
        <v>381</v>
      </c>
      <c r="E57" s="66">
        <f>'MEMÓRIA DE CÁLCULO'!F535</f>
        <v>3</v>
      </c>
      <c r="F57" s="48" t="s">
        <v>176</v>
      </c>
      <c r="G57" s="443">
        <v>0</v>
      </c>
      <c r="H57" s="443">
        <v>0</v>
      </c>
      <c r="I57" s="444">
        <f t="shared" si="2"/>
        <v>0</v>
      </c>
      <c r="L57" s="1"/>
      <c r="M57" s="1"/>
    </row>
    <row r="58" spans="1:13" ht="16.5" customHeight="1">
      <c r="A58" s="312" t="s">
        <v>14</v>
      </c>
      <c r="B58" s="313"/>
      <c r="C58" s="313"/>
      <c r="D58" s="313"/>
      <c r="E58" s="313"/>
      <c r="F58" s="313"/>
      <c r="G58" s="313"/>
      <c r="H58" s="313"/>
      <c r="I58" s="447">
        <f>SUM(I47:I57)</f>
        <v>0</v>
      </c>
      <c r="L58" s="1"/>
      <c r="M58" s="1"/>
    </row>
    <row r="59" spans="1:13" ht="16.5" customHeight="1">
      <c r="A59" s="299" t="s">
        <v>245</v>
      </c>
      <c r="B59" s="300"/>
      <c r="C59" s="300"/>
      <c r="D59" s="300"/>
      <c r="E59" s="300"/>
      <c r="F59" s="300"/>
      <c r="G59" s="300"/>
      <c r="H59" s="300"/>
      <c r="I59" s="301"/>
      <c r="L59" s="1"/>
      <c r="M59" s="1"/>
    </row>
    <row r="60" spans="1:13" ht="16.5" customHeight="1">
      <c r="A60" s="284">
        <v>6</v>
      </c>
      <c r="B60" s="51" t="s">
        <v>17</v>
      </c>
      <c r="C60" s="151">
        <v>100000</v>
      </c>
      <c r="D60" s="157" t="s">
        <v>246</v>
      </c>
      <c r="E60" s="244" t="s">
        <v>4</v>
      </c>
      <c r="F60" s="148" t="s">
        <v>5</v>
      </c>
      <c r="G60" s="12" t="s">
        <v>6</v>
      </c>
      <c r="H60" s="12" t="s">
        <v>7</v>
      </c>
      <c r="I60" s="279" t="s">
        <v>8</v>
      </c>
      <c r="L60" s="1"/>
      <c r="M60" s="1"/>
    </row>
    <row r="61" spans="1:13" ht="16.5" customHeight="1">
      <c r="A61" s="283" t="s">
        <v>491</v>
      </c>
      <c r="B61" s="150" t="s">
        <v>17</v>
      </c>
      <c r="C61" s="3">
        <v>100402</v>
      </c>
      <c r="D61" s="159" t="s">
        <v>255</v>
      </c>
      <c r="E61" s="66">
        <f>'MEMÓRIA DE CÁLCULO'!F549</f>
        <v>27.75</v>
      </c>
      <c r="F61" s="48" t="s">
        <v>16</v>
      </c>
      <c r="G61" s="443">
        <v>0</v>
      </c>
      <c r="H61" s="443">
        <v>0</v>
      </c>
      <c r="I61" s="444">
        <f>(G61+H61)*E61</f>
        <v>0</v>
      </c>
      <c r="L61" s="1"/>
      <c r="M61" s="1"/>
    </row>
    <row r="62" spans="1:13" ht="16.5" customHeight="1">
      <c r="A62" s="297" t="s">
        <v>9</v>
      </c>
      <c r="B62" s="298"/>
      <c r="C62" s="298"/>
      <c r="D62" s="298"/>
      <c r="E62" s="298"/>
      <c r="F62" s="298"/>
      <c r="G62" s="298"/>
      <c r="H62" s="298"/>
      <c r="I62" s="448">
        <f>SUM(I61)</f>
        <v>0</v>
      </c>
      <c r="L62" s="1"/>
      <c r="M62" s="1"/>
    </row>
    <row r="63" spans="1:13" ht="16.5" customHeight="1">
      <c r="A63" s="299" t="s">
        <v>268</v>
      </c>
      <c r="B63" s="300"/>
      <c r="C63" s="300"/>
      <c r="D63" s="300"/>
      <c r="E63" s="300"/>
      <c r="F63" s="300"/>
      <c r="G63" s="300"/>
      <c r="H63" s="300"/>
      <c r="I63" s="301"/>
      <c r="L63" s="1"/>
      <c r="M63" s="1"/>
    </row>
    <row r="64" spans="1:13" ht="16.5" customHeight="1">
      <c r="A64" s="284">
        <v>7</v>
      </c>
      <c r="B64" s="51" t="s">
        <v>17</v>
      </c>
      <c r="C64" s="151">
        <v>120000</v>
      </c>
      <c r="D64" s="152" t="s">
        <v>269</v>
      </c>
      <c r="E64" s="244" t="s">
        <v>4</v>
      </c>
      <c r="F64" s="148" t="s">
        <v>5</v>
      </c>
      <c r="G64" s="12" t="s">
        <v>6</v>
      </c>
      <c r="H64" s="12" t="s">
        <v>7</v>
      </c>
      <c r="I64" s="279" t="s">
        <v>8</v>
      </c>
      <c r="L64" s="1"/>
      <c r="M64" s="1"/>
    </row>
    <row r="65" spans="1:13" s="126" customFormat="1" ht="28.5">
      <c r="A65" s="285" t="s">
        <v>492</v>
      </c>
      <c r="B65" s="3" t="s">
        <v>314</v>
      </c>
      <c r="C65" s="55">
        <v>96920</v>
      </c>
      <c r="D65" s="69" t="s">
        <v>312</v>
      </c>
      <c r="E65" s="125">
        <f>'MEMÓRIA DE CÁLCULO'!F556</f>
        <v>1.1599999999999999</v>
      </c>
      <c r="F65" s="48" t="s">
        <v>313</v>
      </c>
      <c r="G65" s="443">
        <v>0</v>
      </c>
      <c r="H65" s="443">
        <v>0</v>
      </c>
      <c r="I65" s="444">
        <f>(G65+H65)*E65</f>
        <v>0</v>
      </c>
      <c r="L65" s="127"/>
      <c r="M65" s="127"/>
    </row>
    <row r="66" spans="1:13" ht="28.5">
      <c r="A66" s="285" t="s">
        <v>990</v>
      </c>
      <c r="B66" s="3" t="s">
        <v>17</v>
      </c>
      <c r="C66" s="55">
        <v>120209</v>
      </c>
      <c r="D66" s="69" t="s">
        <v>311</v>
      </c>
      <c r="E66" s="66">
        <f>'MEMÓRIA DE CÁLCULO'!F615</f>
        <v>630.63</v>
      </c>
      <c r="F66" s="48" t="s">
        <v>13</v>
      </c>
      <c r="G66" s="443">
        <v>0</v>
      </c>
      <c r="H66" s="443">
        <v>0</v>
      </c>
      <c r="I66" s="444">
        <f>(G66+H66)*E66</f>
        <v>0</v>
      </c>
      <c r="L66" s="1"/>
      <c r="M66" s="1"/>
    </row>
    <row r="67" spans="1:13" ht="16.5" customHeight="1">
      <c r="A67" s="297" t="s">
        <v>9</v>
      </c>
      <c r="B67" s="298"/>
      <c r="C67" s="298"/>
      <c r="D67" s="298"/>
      <c r="E67" s="298"/>
      <c r="F67" s="298"/>
      <c r="G67" s="298"/>
      <c r="H67" s="298"/>
      <c r="I67" s="448">
        <f>SUM(I65:I66)</f>
        <v>0</v>
      </c>
      <c r="L67" s="1"/>
      <c r="M67" s="1"/>
    </row>
    <row r="68" spans="1:13" ht="16.5" customHeight="1">
      <c r="A68" s="299" t="s">
        <v>902</v>
      </c>
      <c r="B68" s="300"/>
      <c r="C68" s="300"/>
      <c r="D68" s="300"/>
      <c r="E68" s="300"/>
      <c r="F68" s="300"/>
      <c r="G68" s="300"/>
      <c r="H68" s="300"/>
      <c r="I68" s="301"/>
      <c r="L68" s="1"/>
      <c r="M68" s="1"/>
    </row>
    <row r="69" spans="1:13" ht="16.5" customHeight="1">
      <c r="A69" s="284">
        <v>8</v>
      </c>
      <c r="B69" s="51" t="s">
        <v>17</v>
      </c>
      <c r="C69" s="151">
        <v>150000</v>
      </c>
      <c r="D69" s="152" t="s">
        <v>991</v>
      </c>
      <c r="E69" s="244" t="s">
        <v>4</v>
      </c>
      <c r="F69" s="148" t="s">
        <v>5</v>
      </c>
      <c r="G69" s="12" t="s">
        <v>6</v>
      </c>
      <c r="H69" s="12" t="s">
        <v>7</v>
      </c>
      <c r="I69" s="279" t="s">
        <v>8</v>
      </c>
      <c r="L69" s="1"/>
      <c r="M69" s="1"/>
    </row>
    <row r="70" spans="1:13" ht="71.25">
      <c r="A70" s="285" t="s">
        <v>493</v>
      </c>
      <c r="B70" s="3" t="s">
        <v>314</v>
      </c>
      <c r="C70" s="55">
        <v>92580</v>
      </c>
      <c r="D70" s="69" t="s">
        <v>903</v>
      </c>
      <c r="E70" s="125">
        <f>'MEMÓRIA DE CÁLCULO'!F619</f>
        <v>9.18</v>
      </c>
      <c r="F70" s="48" t="s">
        <v>13</v>
      </c>
      <c r="G70" s="443">
        <v>0</v>
      </c>
      <c r="H70" s="443">
        <v>0</v>
      </c>
      <c r="I70" s="444">
        <f>(G70+H70)*E70</f>
        <v>0</v>
      </c>
      <c r="L70" s="1"/>
      <c r="M70" s="1"/>
    </row>
    <row r="71" spans="1:13" ht="16.5" customHeight="1">
      <c r="A71" s="297" t="s">
        <v>9</v>
      </c>
      <c r="B71" s="298"/>
      <c r="C71" s="298"/>
      <c r="D71" s="298"/>
      <c r="E71" s="298"/>
      <c r="F71" s="298"/>
      <c r="G71" s="298"/>
      <c r="H71" s="298"/>
      <c r="I71" s="448">
        <f>SUM(I70)</f>
        <v>0</v>
      </c>
      <c r="L71" s="1"/>
      <c r="M71" s="1"/>
    </row>
    <row r="72" spans="1:13" ht="16.5" customHeight="1">
      <c r="A72" s="299" t="s">
        <v>906</v>
      </c>
      <c r="B72" s="300"/>
      <c r="C72" s="300"/>
      <c r="D72" s="300"/>
      <c r="E72" s="300"/>
      <c r="F72" s="300"/>
      <c r="G72" s="300"/>
      <c r="H72" s="300"/>
      <c r="I72" s="301"/>
      <c r="L72" s="1"/>
      <c r="M72" s="1"/>
    </row>
    <row r="73" spans="1:13" ht="16.5" customHeight="1">
      <c r="A73" s="284">
        <v>9</v>
      </c>
      <c r="B73" s="51" t="s">
        <v>17</v>
      </c>
      <c r="C73" s="151">
        <v>160000</v>
      </c>
      <c r="D73" s="152" t="s">
        <v>924</v>
      </c>
      <c r="E73" s="244" t="s">
        <v>4</v>
      </c>
      <c r="F73" s="148" t="s">
        <v>5</v>
      </c>
      <c r="G73" s="12" t="s">
        <v>6</v>
      </c>
      <c r="H73" s="12" t="s">
        <v>7</v>
      </c>
      <c r="I73" s="279" t="s">
        <v>8</v>
      </c>
      <c r="L73" s="1"/>
      <c r="M73" s="1"/>
    </row>
    <row r="74" spans="1:13" ht="26.25">
      <c r="A74" s="285" t="s">
        <v>494</v>
      </c>
      <c r="B74" s="3" t="s">
        <v>17</v>
      </c>
      <c r="C74" s="55">
        <v>160501</v>
      </c>
      <c r="D74" s="69" t="s">
        <v>907</v>
      </c>
      <c r="E74" s="66">
        <f>'MEMÓRIA DE CÁLCULO'!F627</f>
        <v>11.7</v>
      </c>
      <c r="F74" s="48" t="s">
        <v>13</v>
      </c>
      <c r="G74" s="443">
        <v>0</v>
      </c>
      <c r="H74" s="443">
        <v>0</v>
      </c>
      <c r="I74" s="444">
        <f>(G74+H74)*E74</f>
        <v>0</v>
      </c>
      <c r="L74" s="1"/>
      <c r="M74" s="1"/>
    </row>
    <row r="75" spans="1:13" ht="28.5">
      <c r="A75" s="285" t="s">
        <v>992</v>
      </c>
      <c r="B75" s="3" t="s">
        <v>17</v>
      </c>
      <c r="C75" s="55">
        <v>160906</v>
      </c>
      <c r="D75" s="69" t="s">
        <v>911</v>
      </c>
      <c r="E75" s="66">
        <f>'MEMÓRIA DE CÁLCULO'!F631</f>
        <v>47.57</v>
      </c>
      <c r="F75" s="48" t="s">
        <v>13</v>
      </c>
      <c r="G75" s="443">
        <v>0</v>
      </c>
      <c r="H75" s="443">
        <v>0</v>
      </c>
      <c r="I75" s="444">
        <f>(G75+H75)*E75</f>
        <v>0</v>
      </c>
      <c r="L75" s="1"/>
      <c r="M75" s="1"/>
    </row>
    <row r="76" spans="1:13" ht="16.5" customHeight="1">
      <c r="A76" s="297" t="s">
        <v>9</v>
      </c>
      <c r="B76" s="298"/>
      <c r="C76" s="298"/>
      <c r="D76" s="298"/>
      <c r="E76" s="298"/>
      <c r="F76" s="298"/>
      <c r="G76" s="298"/>
      <c r="H76" s="298"/>
      <c r="I76" s="451">
        <f>SUM(I74:I75)</f>
        <v>0</v>
      </c>
      <c r="L76" s="1"/>
      <c r="M76" s="1"/>
    </row>
    <row r="77" spans="1:13" ht="16.5" customHeight="1">
      <c r="A77" s="299" t="s">
        <v>349</v>
      </c>
      <c r="B77" s="300"/>
      <c r="C77" s="300"/>
      <c r="D77" s="300"/>
      <c r="E77" s="300"/>
      <c r="F77" s="300"/>
      <c r="G77" s="300"/>
      <c r="H77" s="300"/>
      <c r="I77" s="301"/>
      <c r="L77" s="1"/>
      <c r="M77" s="1"/>
    </row>
    <row r="78" spans="1:13" ht="16.5" customHeight="1">
      <c r="A78" s="284">
        <v>10</v>
      </c>
      <c r="B78" s="51" t="s">
        <v>17</v>
      </c>
      <c r="C78" s="151">
        <v>170000</v>
      </c>
      <c r="D78" s="152" t="s">
        <v>351</v>
      </c>
      <c r="E78" s="244" t="s">
        <v>4</v>
      </c>
      <c r="F78" s="148" t="s">
        <v>5</v>
      </c>
      <c r="G78" s="12" t="s">
        <v>6</v>
      </c>
      <c r="H78" s="12" t="s">
        <v>7</v>
      </c>
      <c r="I78" s="279" t="s">
        <v>8</v>
      </c>
      <c r="L78" s="1"/>
      <c r="M78" s="1"/>
    </row>
    <row r="79" spans="1:13" ht="28.5">
      <c r="A79" s="286" t="s">
        <v>993</v>
      </c>
      <c r="B79" s="3" t="s">
        <v>17</v>
      </c>
      <c r="C79" s="55">
        <v>170104</v>
      </c>
      <c r="D79" s="69" t="s">
        <v>350</v>
      </c>
      <c r="E79" s="66">
        <f>'MEMÓRIA DE CÁLCULO'!F637</f>
        <v>27</v>
      </c>
      <c r="F79" s="48" t="s">
        <v>176</v>
      </c>
      <c r="G79" s="443">
        <v>0</v>
      </c>
      <c r="H79" s="443">
        <v>0</v>
      </c>
      <c r="I79" s="444">
        <f>(G79+H79)*E79</f>
        <v>0</v>
      </c>
      <c r="L79" s="1"/>
      <c r="M79" s="1"/>
    </row>
    <row r="80" spans="1:13" ht="16.5" customHeight="1">
      <c r="A80" s="297" t="s">
        <v>9</v>
      </c>
      <c r="B80" s="298"/>
      <c r="C80" s="298"/>
      <c r="D80" s="298"/>
      <c r="E80" s="298"/>
      <c r="F80" s="298"/>
      <c r="G80" s="298"/>
      <c r="H80" s="298"/>
      <c r="I80" s="448">
        <f>SUM(I79)</f>
        <v>0</v>
      </c>
      <c r="L80" s="1"/>
      <c r="M80" s="1"/>
    </row>
    <row r="81" spans="1:13" ht="18" customHeight="1">
      <c r="A81" s="299" t="s">
        <v>335</v>
      </c>
      <c r="B81" s="300"/>
      <c r="C81" s="300"/>
      <c r="D81" s="300"/>
      <c r="E81" s="300"/>
      <c r="F81" s="300"/>
      <c r="G81" s="300"/>
      <c r="H81" s="300"/>
      <c r="I81" s="301"/>
      <c r="L81" s="1"/>
      <c r="M81" s="1"/>
    </row>
    <row r="82" spans="1:13" ht="60">
      <c r="A82" s="284">
        <v>11</v>
      </c>
      <c r="B82" s="51" t="s">
        <v>17</v>
      </c>
      <c r="C82" s="151">
        <v>180000</v>
      </c>
      <c r="D82" s="152" t="s">
        <v>336</v>
      </c>
      <c r="E82" s="244" t="s">
        <v>4</v>
      </c>
      <c r="F82" s="148" t="s">
        <v>5</v>
      </c>
      <c r="G82" s="12" t="s">
        <v>6</v>
      </c>
      <c r="H82" s="12" t="s">
        <v>7</v>
      </c>
      <c r="I82" s="279" t="s">
        <v>8</v>
      </c>
      <c r="L82" s="1"/>
      <c r="M82" s="1"/>
    </row>
    <row r="83" spans="1:13" ht="28.5" customHeight="1">
      <c r="A83" s="286" t="s">
        <v>495</v>
      </c>
      <c r="B83" s="3" t="s">
        <v>314</v>
      </c>
      <c r="C83" s="55">
        <v>83623</v>
      </c>
      <c r="D83" s="69" t="s">
        <v>337</v>
      </c>
      <c r="E83" s="66">
        <f>'MEMÓRIA DE CÁLCULO'!F646</f>
        <v>13.95</v>
      </c>
      <c r="F83" s="48" t="s">
        <v>338</v>
      </c>
      <c r="G83" s="443">
        <v>0</v>
      </c>
      <c r="H83" s="443">
        <v>0</v>
      </c>
      <c r="I83" s="444">
        <f>(G83+H83)*E83</f>
        <v>0</v>
      </c>
      <c r="L83" s="1"/>
      <c r="M83" s="1"/>
    </row>
    <row r="84" spans="1:13" ht="16.5" customHeight="1">
      <c r="A84" s="286" t="s">
        <v>994</v>
      </c>
      <c r="B84" s="3" t="s">
        <v>17</v>
      </c>
      <c r="C84" s="55">
        <v>180304</v>
      </c>
      <c r="D84" s="69" t="s">
        <v>353</v>
      </c>
      <c r="E84" s="66">
        <f>'MEMÓRIA DE CÁLCULO'!F664</f>
        <v>31.39</v>
      </c>
      <c r="F84" s="48" t="s">
        <v>25</v>
      </c>
      <c r="G84" s="443">
        <v>0</v>
      </c>
      <c r="H84" s="443">
        <v>0</v>
      </c>
      <c r="I84" s="444">
        <f>(G84+H84)*E84</f>
        <v>0</v>
      </c>
      <c r="L84" s="1"/>
      <c r="M84" s="1"/>
    </row>
    <row r="85" spans="1:13" ht="16.5" customHeight="1">
      <c r="A85" s="297" t="s">
        <v>9</v>
      </c>
      <c r="B85" s="298"/>
      <c r="C85" s="298"/>
      <c r="D85" s="298"/>
      <c r="E85" s="298"/>
      <c r="F85" s="298"/>
      <c r="G85" s="298"/>
      <c r="H85" s="298"/>
      <c r="I85" s="449">
        <f>SUM(I83:I84)</f>
        <v>0</v>
      </c>
      <c r="L85" s="1"/>
      <c r="M85" s="1"/>
    </row>
    <row r="86" spans="1:13" ht="16.5" customHeight="1">
      <c r="A86" s="299" t="s">
        <v>154</v>
      </c>
      <c r="B86" s="300"/>
      <c r="C86" s="300"/>
      <c r="D86" s="300"/>
      <c r="E86" s="300"/>
      <c r="F86" s="300"/>
      <c r="G86" s="300"/>
      <c r="H86" s="300"/>
      <c r="I86" s="301"/>
      <c r="L86" s="1"/>
      <c r="M86" s="1"/>
    </row>
    <row r="87" spans="1:13" ht="26.25">
      <c r="A87" s="284">
        <v>12</v>
      </c>
      <c r="B87" s="51" t="s">
        <v>17</v>
      </c>
      <c r="C87" s="151">
        <v>190000</v>
      </c>
      <c r="D87" s="152" t="s">
        <v>259</v>
      </c>
      <c r="E87" s="244" t="s">
        <v>4</v>
      </c>
      <c r="F87" s="148" t="s">
        <v>5</v>
      </c>
      <c r="G87" s="12" t="s">
        <v>6</v>
      </c>
      <c r="H87" s="12" t="s">
        <v>7</v>
      </c>
      <c r="I87" s="279" t="s">
        <v>8</v>
      </c>
      <c r="L87" s="1"/>
      <c r="M87" s="1"/>
    </row>
    <row r="88" spans="1:13" ht="16.5" customHeight="1">
      <c r="A88" s="283" t="s">
        <v>496</v>
      </c>
      <c r="B88" s="3" t="s">
        <v>17</v>
      </c>
      <c r="C88" s="3">
        <v>190301</v>
      </c>
      <c r="D88" s="69" t="s">
        <v>156</v>
      </c>
      <c r="E88" s="48">
        <f>'MEMÓRIA DE CÁLCULO'!F752</f>
        <v>213.03</v>
      </c>
      <c r="F88" s="235" t="s">
        <v>13</v>
      </c>
      <c r="G88" s="443">
        <v>0</v>
      </c>
      <c r="H88" s="443">
        <v>0</v>
      </c>
      <c r="I88" s="444">
        <f>(G88+H88)*E88</f>
        <v>0</v>
      </c>
      <c r="L88" s="1"/>
      <c r="M88" s="1"/>
    </row>
    <row r="89" spans="1:13" ht="16.5" customHeight="1">
      <c r="A89" s="297" t="s">
        <v>9</v>
      </c>
      <c r="B89" s="298"/>
      <c r="C89" s="298"/>
      <c r="D89" s="298"/>
      <c r="E89" s="298"/>
      <c r="F89" s="298"/>
      <c r="G89" s="298"/>
      <c r="H89" s="298"/>
      <c r="I89" s="448">
        <f>SUM(I88)</f>
        <v>0</v>
      </c>
      <c r="L89" s="1"/>
      <c r="M89" s="1"/>
    </row>
    <row r="90" spans="1:13" ht="16.5" customHeight="1">
      <c r="A90" s="299" t="s">
        <v>256</v>
      </c>
      <c r="B90" s="300"/>
      <c r="C90" s="300"/>
      <c r="D90" s="300"/>
      <c r="E90" s="300"/>
      <c r="F90" s="300"/>
      <c r="G90" s="300"/>
      <c r="H90" s="300"/>
      <c r="I90" s="301"/>
      <c r="L90" s="1"/>
      <c r="M90" s="1"/>
    </row>
    <row r="91" spans="1:13" ht="16.5" customHeight="1">
      <c r="A91" s="284">
        <v>13</v>
      </c>
      <c r="B91" s="51" t="s">
        <v>17</v>
      </c>
      <c r="C91" s="151">
        <v>200000</v>
      </c>
      <c r="D91" s="152" t="s">
        <v>258</v>
      </c>
      <c r="E91" s="244" t="s">
        <v>4</v>
      </c>
      <c r="F91" s="148" t="s">
        <v>5</v>
      </c>
      <c r="G91" s="12" t="s">
        <v>6</v>
      </c>
      <c r="H91" s="12" t="s">
        <v>7</v>
      </c>
      <c r="I91" s="279" t="s">
        <v>8</v>
      </c>
      <c r="L91" s="1"/>
      <c r="M91" s="1"/>
    </row>
    <row r="92" spans="1:13" ht="16.5" customHeight="1">
      <c r="A92" s="283" t="s">
        <v>560</v>
      </c>
      <c r="B92" s="3" t="s">
        <v>17</v>
      </c>
      <c r="C92" s="3">
        <v>200101</v>
      </c>
      <c r="D92" s="160" t="s">
        <v>896</v>
      </c>
      <c r="E92" s="64">
        <f>'MEMÓRIA DE CÁLCULO'!F757</f>
        <v>20.750000000000004</v>
      </c>
      <c r="F92" s="235" t="s">
        <v>13</v>
      </c>
      <c r="G92" s="443">
        <v>0</v>
      </c>
      <c r="H92" s="443">
        <v>0</v>
      </c>
      <c r="I92" s="444">
        <f>(G92+H92)*E92</f>
        <v>0</v>
      </c>
      <c r="L92" s="1"/>
      <c r="M92" s="1"/>
    </row>
    <row r="93" spans="1:13" ht="28.5">
      <c r="A93" s="283" t="s">
        <v>866</v>
      </c>
      <c r="B93" s="3" t="s">
        <v>17</v>
      </c>
      <c r="C93" s="3">
        <v>200200</v>
      </c>
      <c r="D93" s="160" t="s">
        <v>898</v>
      </c>
      <c r="E93" s="64">
        <f>'MEMÓRIA DE CÁLCULO'!F762</f>
        <v>20.750000000000004</v>
      </c>
      <c r="F93" s="235" t="s">
        <v>13</v>
      </c>
      <c r="G93" s="443">
        <v>0</v>
      </c>
      <c r="H93" s="443">
        <v>0</v>
      </c>
      <c r="I93" s="444">
        <f t="shared" ref="I93:I96" si="3">(G93+H93)*E93</f>
        <v>0</v>
      </c>
      <c r="L93" s="1"/>
      <c r="M93" s="1"/>
    </row>
    <row r="94" spans="1:13" ht="16.5" customHeight="1">
      <c r="A94" s="283" t="s">
        <v>878</v>
      </c>
      <c r="B94" s="3" t="s">
        <v>17</v>
      </c>
      <c r="C94" s="3">
        <v>200201</v>
      </c>
      <c r="D94" s="160" t="s">
        <v>1035</v>
      </c>
      <c r="E94" s="64">
        <f>'MEMÓRIA DE CÁLCULO'!F787</f>
        <v>90.67</v>
      </c>
      <c r="F94" s="235" t="s">
        <v>13</v>
      </c>
      <c r="G94" s="443">
        <v>0</v>
      </c>
      <c r="H94" s="443">
        <v>0</v>
      </c>
      <c r="I94" s="444">
        <f t="shared" si="3"/>
        <v>0</v>
      </c>
      <c r="L94" s="1"/>
      <c r="M94" s="1"/>
    </row>
    <row r="95" spans="1:13" ht="16.5" customHeight="1">
      <c r="A95" s="283" t="s">
        <v>997</v>
      </c>
      <c r="B95" s="3" t="s">
        <v>17</v>
      </c>
      <c r="C95" s="3">
        <v>201302</v>
      </c>
      <c r="D95" s="160" t="s">
        <v>257</v>
      </c>
      <c r="E95" s="64">
        <f>'MEMÓRIA DE CÁLCULO'!F812</f>
        <v>90.67</v>
      </c>
      <c r="F95" s="235" t="s">
        <v>25</v>
      </c>
      <c r="G95" s="443">
        <v>0</v>
      </c>
      <c r="H95" s="443">
        <v>0</v>
      </c>
      <c r="I95" s="444">
        <f t="shared" si="3"/>
        <v>0</v>
      </c>
      <c r="L95" s="1"/>
      <c r="M95" s="1"/>
    </row>
    <row r="96" spans="1:13" ht="16.5" customHeight="1">
      <c r="A96" s="283" t="s">
        <v>1034</v>
      </c>
      <c r="B96" s="3" t="s">
        <v>17</v>
      </c>
      <c r="C96" s="3">
        <v>200504</v>
      </c>
      <c r="D96" s="160" t="s">
        <v>899</v>
      </c>
      <c r="E96" s="64">
        <f>'MEMÓRIA DE CÁLCULO'!F816</f>
        <v>20.750000000000004</v>
      </c>
      <c r="F96" s="235" t="s">
        <v>25</v>
      </c>
      <c r="G96" s="443">
        <v>0</v>
      </c>
      <c r="H96" s="443">
        <v>0</v>
      </c>
      <c r="I96" s="444">
        <f t="shared" si="3"/>
        <v>0</v>
      </c>
      <c r="L96" s="1"/>
      <c r="M96" s="1"/>
    </row>
    <row r="97" spans="1:13" ht="15.75" customHeight="1">
      <c r="A97" s="297" t="s">
        <v>9</v>
      </c>
      <c r="B97" s="298"/>
      <c r="C97" s="298"/>
      <c r="D97" s="298"/>
      <c r="E97" s="298"/>
      <c r="F97" s="298"/>
      <c r="G97" s="298"/>
      <c r="H97" s="298"/>
      <c r="I97" s="448">
        <f>SUM(I92:I96)</f>
        <v>0</v>
      </c>
      <c r="L97" s="1"/>
      <c r="M97" s="1"/>
    </row>
    <row r="98" spans="1:13" ht="16.5" customHeight="1">
      <c r="A98" s="299" t="s">
        <v>153</v>
      </c>
      <c r="B98" s="300"/>
      <c r="C98" s="300"/>
      <c r="D98" s="300"/>
      <c r="E98" s="300"/>
      <c r="F98" s="300"/>
      <c r="G98" s="300"/>
      <c r="H98" s="300"/>
      <c r="I98" s="301"/>
      <c r="L98" s="1"/>
      <c r="M98" s="1"/>
    </row>
    <row r="99" spans="1:13" ht="16.5" customHeight="1">
      <c r="A99" s="284">
        <v>14</v>
      </c>
      <c r="B99" s="51" t="s">
        <v>17</v>
      </c>
      <c r="C99" s="151">
        <v>230000</v>
      </c>
      <c r="D99" s="152" t="s">
        <v>126</v>
      </c>
      <c r="E99" s="244" t="s">
        <v>4</v>
      </c>
      <c r="F99" s="148" t="s">
        <v>5</v>
      </c>
      <c r="G99" s="12" t="s">
        <v>6</v>
      </c>
      <c r="H99" s="12" t="s">
        <v>7</v>
      </c>
      <c r="I99" s="279" t="s">
        <v>8</v>
      </c>
      <c r="L99" s="1"/>
      <c r="M99" s="1"/>
    </row>
    <row r="100" spans="1:13" ht="16.5" customHeight="1">
      <c r="A100" s="287" t="s">
        <v>998</v>
      </c>
      <c r="B100" s="3" t="s">
        <v>17</v>
      </c>
      <c r="C100" s="3">
        <v>230102</v>
      </c>
      <c r="D100" s="69" t="s">
        <v>129</v>
      </c>
      <c r="E100" s="48">
        <f>'MEMÓRIA DE CÁLCULO'!F861</f>
        <v>40</v>
      </c>
      <c r="F100" s="25" t="s">
        <v>108</v>
      </c>
      <c r="G100" s="443">
        <v>0</v>
      </c>
      <c r="H100" s="443">
        <v>0</v>
      </c>
      <c r="I100" s="444">
        <f t="shared" ref="I100" si="4">(G100+H100)*E100</f>
        <v>0</v>
      </c>
      <c r="L100" s="1"/>
      <c r="M100" s="1"/>
    </row>
    <row r="101" spans="1:13" ht="21" customHeight="1">
      <c r="A101" s="297" t="s">
        <v>9</v>
      </c>
      <c r="B101" s="298"/>
      <c r="C101" s="298"/>
      <c r="D101" s="298"/>
      <c r="E101" s="298"/>
      <c r="F101" s="298"/>
      <c r="G101" s="298"/>
      <c r="H101" s="298"/>
      <c r="I101" s="448">
        <f>SUM(I100)</f>
        <v>0</v>
      </c>
    </row>
    <row r="102" spans="1:13">
      <c r="A102" s="299" t="s">
        <v>975</v>
      </c>
      <c r="B102" s="300"/>
      <c r="C102" s="300"/>
      <c r="D102" s="300"/>
      <c r="E102" s="300"/>
      <c r="F102" s="300"/>
      <c r="G102" s="300"/>
      <c r="H102" s="300"/>
      <c r="I102" s="301"/>
    </row>
    <row r="103" spans="1:13" ht="21" customHeight="1">
      <c r="A103" s="284">
        <v>15</v>
      </c>
      <c r="B103" s="51" t="s">
        <v>17</v>
      </c>
      <c r="C103" s="151">
        <v>250000</v>
      </c>
      <c r="D103" s="152" t="s">
        <v>976</v>
      </c>
      <c r="E103" s="244" t="s">
        <v>4</v>
      </c>
      <c r="F103" s="148" t="s">
        <v>5</v>
      </c>
      <c r="G103" s="12" t="s">
        <v>6</v>
      </c>
      <c r="H103" s="12" t="s">
        <v>7</v>
      </c>
      <c r="I103" s="279" t="s">
        <v>8</v>
      </c>
    </row>
    <row r="104" spans="1:13" ht="15">
      <c r="A104" s="287" t="s">
        <v>999</v>
      </c>
      <c r="B104" s="3" t="s">
        <v>17</v>
      </c>
      <c r="C104" s="3">
        <v>250103</v>
      </c>
      <c r="D104" s="69" t="s">
        <v>995</v>
      </c>
      <c r="E104" s="48">
        <f>'MEMÓRIA DE CÁLCULO'!F865</f>
        <v>528</v>
      </c>
      <c r="F104" s="25" t="s">
        <v>996</v>
      </c>
      <c r="G104" s="443">
        <v>0</v>
      </c>
      <c r="H104" s="443">
        <v>0</v>
      </c>
      <c r="I104" s="444">
        <f t="shared" ref="I104" si="5">(G104+H104)*E104</f>
        <v>0</v>
      </c>
    </row>
    <row r="105" spans="1:13" ht="21" customHeight="1">
      <c r="A105" s="297" t="s">
        <v>9</v>
      </c>
      <c r="B105" s="298"/>
      <c r="C105" s="298"/>
      <c r="D105" s="298"/>
      <c r="E105" s="298"/>
      <c r="F105" s="298"/>
      <c r="G105" s="298"/>
      <c r="H105" s="298"/>
      <c r="I105" s="448">
        <f>SUM(I104)</f>
        <v>0</v>
      </c>
    </row>
    <row r="106" spans="1:13">
      <c r="A106" s="299" t="s">
        <v>23</v>
      </c>
      <c r="B106" s="300"/>
      <c r="C106" s="300"/>
      <c r="D106" s="300"/>
      <c r="E106" s="300"/>
      <c r="F106" s="300"/>
      <c r="G106" s="300"/>
      <c r="H106" s="300"/>
      <c r="I106" s="301"/>
    </row>
    <row r="107" spans="1:13" ht="15">
      <c r="A107" s="284">
        <v>16</v>
      </c>
      <c r="B107" s="51" t="s">
        <v>17</v>
      </c>
      <c r="C107" s="151">
        <v>260000</v>
      </c>
      <c r="D107" s="152" t="s">
        <v>12</v>
      </c>
      <c r="E107" s="244" t="s">
        <v>4</v>
      </c>
      <c r="F107" s="148" t="s">
        <v>5</v>
      </c>
      <c r="G107" s="12" t="s">
        <v>6</v>
      </c>
      <c r="H107" s="12" t="s">
        <v>7</v>
      </c>
      <c r="I107" s="279" t="s">
        <v>8</v>
      </c>
    </row>
    <row r="108" spans="1:13" ht="21" customHeight="1">
      <c r="A108" s="288" t="s">
        <v>1000</v>
      </c>
      <c r="B108" s="2" t="s">
        <v>17</v>
      </c>
      <c r="C108" s="2">
        <v>261502</v>
      </c>
      <c r="D108" s="161" t="s">
        <v>166</v>
      </c>
      <c r="E108" s="54">
        <f>'MEMÓRIA DE CÁLCULO'!F1245</f>
        <v>1805.23</v>
      </c>
      <c r="F108" s="31" t="s">
        <v>13</v>
      </c>
      <c r="G108" s="443">
        <v>0</v>
      </c>
      <c r="H108" s="443">
        <v>0</v>
      </c>
      <c r="I108" s="444">
        <f t="shared" ref="I108:I115" si="6">(G108+H108)*E108</f>
        <v>0</v>
      </c>
    </row>
    <row r="109" spans="1:13" ht="23.25" customHeight="1">
      <c r="A109" s="288" t="s">
        <v>1001</v>
      </c>
      <c r="B109" s="2" t="s">
        <v>17</v>
      </c>
      <c r="C109" s="2">
        <v>261307</v>
      </c>
      <c r="D109" s="161" t="s">
        <v>167</v>
      </c>
      <c r="E109" s="54">
        <f>'MEMÓRIA DE CÁLCULO'!F1870</f>
        <v>5619.24</v>
      </c>
      <c r="F109" s="33" t="s">
        <v>25</v>
      </c>
      <c r="G109" s="443">
        <v>0</v>
      </c>
      <c r="H109" s="443">
        <v>0</v>
      </c>
      <c r="I109" s="444">
        <f t="shared" si="6"/>
        <v>0</v>
      </c>
    </row>
    <row r="110" spans="1:13" ht="21" customHeight="1">
      <c r="A110" s="288" t="s">
        <v>1002</v>
      </c>
      <c r="B110" s="2" t="s">
        <v>17</v>
      </c>
      <c r="C110" s="2">
        <v>261001</v>
      </c>
      <c r="D110" s="162" t="s">
        <v>568</v>
      </c>
      <c r="E110" s="4">
        <f>'MEMÓRIA DE CÁLCULO'!F1915</f>
        <v>2303.6799999999998</v>
      </c>
      <c r="F110" s="48" t="s">
        <v>16</v>
      </c>
      <c r="G110" s="443">
        <v>0</v>
      </c>
      <c r="H110" s="443">
        <v>0</v>
      </c>
      <c r="I110" s="444">
        <f t="shared" si="6"/>
        <v>0</v>
      </c>
    </row>
    <row r="111" spans="1:13" ht="18.75" customHeight="1">
      <c r="A111" s="288" t="s">
        <v>1003</v>
      </c>
      <c r="B111" s="2" t="s">
        <v>17</v>
      </c>
      <c r="C111" s="2">
        <v>261008</v>
      </c>
      <c r="D111" s="161" t="s">
        <v>24</v>
      </c>
      <c r="E111" s="54">
        <f>'MEMÓRIA DE CÁLCULO'!F1930</f>
        <v>718.41</v>
      </c>
      <c r="F111" s="31" t="s">
        <v>13</v>
      </c>
      <c r="G111" s="443">
        <v>0</v>
      </c>
      <c r="H111" s="443">
        <v>0</v>
      </c>
      <c r="I111" s="444">
        <f t="shared" si="6"/>
        <v>0</v>
      </c>
    </row>
    <row r="112" spans="1:13" s="5" customFormat="1" ht="28.5">
      <c r="A112" s="288" t="s">
        <v>1004</v>
      </c>
      <c r="B112" s="3" t="s">
        <v>17</v>
      </c>
      <c r="C112" s="61">
        <v>261503</v>
      </c>
      <c r="D112" s="147" t="s">
        <v>174</v>
      </c>
      <c r="E112" s="33">
        <f>'MEMÓRIA DE CÁLCULO'!F2266</f>
        <v>4890.7299999999996</v>
      </c>
      <c r="F112" s="31" t="s">
        <v>13</v>
      </c>
      <c r="G112" s="443">
        <v>0</v>
      </c>
      <c r="H112" s="443">
        <v>0</v>
      </c>
      <c r="I112" s="444">
        <f t="shared" si="6"/>
        <v>0</v>
      </c>
    </row>
    <row r="113" spans="1:9" s="5" customFormat="1" ht="18.75" customHeight="1">
      <c r="A113" s="288" t="s">
        <v>1005</v>
      </c>
      <c r="B113" s="3" t="s">
        <v>17</v>
      </c>
      <c r="C113" s="61">
        <v>261550</v>
      </c>
      <c r="D113" s="147" t="s">
        <v>1021</v>
      </c>
      <c r="E113" s="33">
        <f>'MEMÓRIA DE CÁLCULO'!F2269</f>
        <v>205.94</v>
      </c>
      <c r="F113" s="31" t="s">
        <v>13</v>
      </c>
      <c r="G113" s="443">
        <v>0</v>
      </c>
      <c r="H113" s="443">
        <v>0</v>
      </c>
      <c r="I113" s="444">
        <f t="shared" si="6"/>
        <v>0</v>
      </c>
    </row>
    <row r="114" spans="1:9" s="5" customFormat="1" ht="18.75" customHeight="1">
      <c r="A114" s="288" t="s">
        <v>1006</v>
      </c>
      <c r="B114" s="3" t="s">
        <v>17</v>
      </c>
      <c r="C114" s="61">
        <v>261602</v>
      </c>
      <c r="D114" s="147" t="s">
        <v>900</v>
      </c>
      <c r="E114" s="33">
        <f>'MEMÓRIA DE CÁLCULO'!F2273</f>
        <v>35</v>
      </c>
      <c r="F114" s="31" t="s">
        <v>25</v>
      </c>
      <c r="G114" s="443">
        <v>0</v>
      </c>
      <c r="H114" s="443">
        <v>0</v>
      </c>
      <c r="I114" s="444">
        <f t="shared" si="6"/>
        <v>0</v>
      </c>
    </row>
    <row r="115" spans="1:9" s="5" customFormat="1" ht="18.75" customHeight="1">
      <c r="A115" s="288" t="s">
        <v>1020</v>
      </c>
      <c r="B115" s="3" t="s">
        <v>17</v>
      </c>
      <c r="C115" s="61">
        <v>261703</v>
      </c>
      <c r="D115" s="147" t="s">
        <v>912</v>
      </c>
      <c r="E115" s="33">
        <f>'MEMÓRIA DE CÁLCULO'!F2280</f>
        <v>206.25</v>
      </c>
      <c r="F115" s="31" t="s">
        <v>25</v>
      </c>
      <c r="G115" s="443">
        <v>0</v>
      </c>
      <c r="H115" s="443">
        <v>0</v>
      </c>
      <c r="I115" s="444">
        <f t="shared" si="6"/>
        <v>0</v>
      </c>
    </row>
    <row r="116" spans="1:9" s="5" customFormat="1" ht="18.75" customHeight="1">
      <c r="A116" s="297" t="s">
        <v>9</v>
      </c>
      <c r="B116" s="298"/>
      <c r="C116" s="298"/>
      <c r="D116" s="298"/>
      <c r="E116" s="298"/>
      <c r="F116" s="298"/>
      <c r="G116" s="298"/>
      <c r="H116" s="298"/>
      <c r="I116" s="448">
        <f>SUM(I108:I115)</f>
        <v>0</v>
      </c>
    </row>
    <row r="117" spans="1:9" s="5" customFormat="1" ht="18.75" customHeight="1">
      <c r="A117" s="299" t="s">
        <v>558</v>
      </c>
      <c r="B117" s="300"/>
      <c r="C117" s="300"/>
      <c r="D117" s="300"/>
      <c r="E117" s="300"/>
      <c r="F117" s="300"/>
      <c r="G117" s="300"/>
      <c r="H117" s="300"/>
      <c r="I117" s="301"/>
    </row>
    <row r="118" spans="1:9" s="5" customFormat="1" ht="18.75" customHeight="1">
      <c r="A118" s="284">
        <v>17</v>
      </c>
      <c r="B118" s="51" t="s">
        <v>17</v>
      </c>
      <c r="C118" s="151">
        <v>270000</v>
      </c>
      <c r="D118" s="152" t="s">
        <v>559</v>
      </c>
      <c r="E118" s="244" t="s">
        <v>4</v>
      </c>
      <c r="F118" s="148" t="s">
        <v>5</v>
      </c>
      <c r="G118" s="12" t="s">
        <v>6</v>
      </c>
      <c r="H118" s="12" t="s">
        <v>7</v>
      </c>
      <c r="I118" s="279" t="s">
        <v>8</v>
      </c>
    </row>
    <row r="119" spans="1:9" s="5" customFormat="1" ht="43.5">
      <c r="A119" s="288" t="s">
        <v>1007</v>
      </c>
      <c r="B119" s="2" t="s">
        <v>17</v>
      </c>
      <c r="C119" s="2">
        <v>270210</v>
      </c>
      <c r="D119" s="140" t="s">
        <v>879</v>
      </c>
      <c r="E119" s="33">
        <f>'MEMÓRIA DE CÁLCULO'!F2284</f>
        <v>80</v>
      </c>
      <c r="F119" s="13" t="s">
        <v>16</v>
      </c>
      <c r="G119" s="443">
        <v>0</v>
      </c>
      <c r="H119" s="443">
        <v>0</v>
      </c>
      <c r="I119" s="444">
        <f t="shared" ref="I119:I122" si="7">(G119+H119)*E119</f>
        <v>0</v>
      </c>
    </row>
    <row r="120" spans="1:9" s="5" customFormat="1" ht="29.25">
      <c r="A120" s="288" t="s">
        <v>1043</v>
      </c>
      <c r="B120" s="2" t="s">
        <v>17</v>
      </c>
      <c r="C120" s="2">
        <v>270502</v>
      </c>
      <c r="D120" s="163" t="s">
        <v>867</v>
      </c>
      <c r="E120" s="33">
        <f>'MEMÓRIA DE CÁLCULO'!F2293</f>
        <v>3282.01</v>
      </c>
      <c r="F120" s="13" t="s">
        <v>13</v>
      </c>
      <c r="G120" s="443">
        <v>0</v>
      </c>
      <c r="H120" s="443">
        <v>0</v>
      </c>
      <c r="I120" s="444">
        <f t="shared" si="7"/>
        <v>0</v>
      </c>
    </row>
    <row r="121" spans="1:9" s="5" customFormat="1" ht="15">
      <c r="A121" s="288" t="s">
        <v>1008</v>
      </c>
      <c r="B121" s="2" t="s">
        <v>17</v>
      </c>
      <c r="C121" s="2">
        <v>270810</v>
      </c>
      <c r="D121" s="163" t="s">
        <v>1038</v>
      </c>
      <c r="E121" s="33">
        <f>'MEMÓRIA DE CÁLCULO'!F2296</f>
        <v>1</v>
      </c>
      <c r="F121" s="13" t="s">
        <v>1039</v>
      </c>
      <c r="G121" s="443">
        <v>0</v>
      </c>
      <c r="H121" s="443">
        <v>0</v>
      </c>
      <c r="I121" s="444">
        <f t="shared" si="7"/>
        <v>0</v>
      </c>
    </row>
    <row r="122" spans="1:9" s="5" customFormat="1" ht="18.75" customHeight="1">
      <c r="A122" s="288" t="s">
        <v>1037</v>
      </c>
      <c r="B122" s="2" t="s">
        <v>17</v>
      </c>
      <c r="C122" s="2">
        <v>271701</v>
      </c>
      <c r="D122" s="140" t="s">
        <v>561</v>
      </c>
      <c r="E122" s="54">
        <f>'MEMÓRIA DE CÁLCULO'!F2299</f>
        <v>0.9</v>
      </c>
      <c r="F122" s="13" t="s">
        <v>13</v>
      </c>
      <c r="G122" s="443">
        <v>0</v>
      </c>
      <c r="H122" s="443">
        <v>0</v>
      </c>
      <c r="I122" s="444">
        <f t="shared" si="7"/>
        <v>0</v>
      </c>
    </row>
    <row r="123" spans="1:9" s="5" customFormat="1" ht="18.75" customHeight="1" thickBot="1">
      <c r="A123" s="295" t="s">
        <v>9</v>
      </c>
      <c r="B123" s="296"/>
      <c r="C123" s="296"/>
      <c r="D123" s="296"/>
      <c r="E123" s="296"/>
      <c r="F123" s="296"/>
      <c r="G123" s="296"/>
      <c r="H123" s="296"/>
      <c r="I123" s="450">
        <f>SUM(I119:I122)</f>
        <v>0</v>
      </c>
    </row>
    <row r="124" spans="1:9" ht="17.25">
      <c r="A124" s="317" t="s">
        <v>20</v>
      </c>
      <c r="B124" s="318"/>
      <c r="C124" s="318"/>
      <c r="D124" s="318"/>
      <c r="E124" s="318"/>
      <c r="F124" s="318"/>
      <c r="G124" s="318"/>
      <c r="H124" s="318"/>
      <c r="I124" s="319"/>
    </row>
    <row r="125" spans="1:9" ht="15">
      <c r="A125" s="267"/>
      <c r="B125" s="265"/>
      <c r="C125" s="265"/>
      <c r="D125" s="265"/>
      <c r="E125" s="253"/>
      <c r="F125" s="254"/>
      <c r="G125" s="254"/>
      <c r="H125" s="255" t="s">
        <v>10</v>
      </c>
      <c r="I125" s="452">
        <f>I116+I101+I89+I62+I58++I44+I19+I67+I27+I85+I80+I123+I97+I76+I71+I23+I105</f>
        <v>0</v>
      </c>
    </row>
    <row r="126" spans="1:9" ht="15.75" customHeight="1">
      <c r="A126" s="268"/>
      <c r="B126" s="266"/>
      <c r="C126" s="266"/>
      <c r="D126" s="266"/>
      <c r="E126" s="256"/>
      <c r="F126" s="257"/>
      <c r="G126" s="257"/>
      <c r="H126" s="257" t="s">
        <v>355</v>
      </c>
      <c r="I126" s="453">
        <f>ROUNDUP((I125*0.2665),2)</f>
        <v>0</v>
      </c>
    </row>
    <row r="127" spans="1:9" ht="16.5" customHeight="1" thickBot="1">
      <c r="A127" s="269"/>
      <c r="B127" s="270"/>
      <c r="C127" s="270"/>
      <c r="D127" s="270"/>
      <c r="E127" s="271"/>
      <c r="F127" s="272"/>
      <c r="G127" s="272"/>
      <c r="H127" s="273" t="s">
        <v>11</v>
      </c>
      <c r="I127" s="454">
        <f>I126+I125</f>
        <v>0</v>
      </c>
    </row>
    <row r="128" spans="1:9" ht="20.25" customHeight="1">
      <c r="A128" s="268"/>
      <c r="B128" s="266"/>
      <c r="C128" s="266"/>
      <c r="D128" s="266"/>
      <c r="E128" s="256"/>
      <c r="F128" s="258"/>
      <c r="G128" s="258"/>
      <c r="H128" s="258"/>
      <c r="I128" s="289"/>
    </row>
    <row r="129" spans="1:9" ht="16.5" customHeight="1">
      <c r="A129" s="290"/>
      <c r="B129" s="274"/>
      <c r="C129" s="274"/>
      <c r="D129" s="275" t="s">
        <v>1046</v>
      </c>
      <c r="E129" s="256"/>
      <c r="F129" s="258"/>
      <c r="G129" s="322" t="s">
        <v>1049</v>
      </c>
      <c r="H129" s="322"/>
      <c r="I129" s="289"/>
    </row>
    <row r="130" spans="1:9" ht="16.5" customHeight="1">
      <c r="A130" s="290"/>
      <c r="B130" s="274"/>
      <c r="C130" s="274"/>
      <c r="D130" s="277" t="s">
        <v>1045</v>
      </c>
      <c r="E130" s="256"/>
      <c r="F130" s="259"/>
      <c r="G130" s="320" t="s">
        <v>1047</v>
      </c>
      <c r="H130" s="320"/>
      <c r="I130" s="291"/>
    </row>
    <row r="131" spans="1:9">
      <c r="A131" s="292"/>
      <c r="B131" s="259"/>
      <c r="C131" s="261"/>
      <c r="D131" s="276" t="s">
        <v>15</v>
      </c>
      <c r="E131" s="263"/>
      <c r="F131" s="259"/>
      <c r="G131" s="321" t="s">
        <v>1048</v>
      </c>
      <c r="H131" s="321"/>
      <c r="I131" s="291"/>
    </row>
    <row r="132" spans="1:9" ht="16.5" thickBot="1">
      <c r="A132" s="77"/>
      <c r="B132" s="8"/>
      <c r="C132" s="10"/>
      <c r="D132" s="164"/>
      <c r="E132" s="246"/>
      <c r="F132" s="8"/>
      <c r="G132" s="293"/>
      <c r="H132" s="293"/>
      <c r="I132" s="294"/>
    </row>
    <row r="133" spans="1:9">
      <c r="A133" s="264"/>
      <c r="B133" s="259"/>
      <c r="C133" s="261"/>
      <c r="D133" s="262"/>
      <c r="E133" s="263"/>
      <c r="F133" s="259"/>
      <c r="G133" s="260"/>
      <c r="H133" s="260"/>
      <c r="I133" s="260"/>
    </row>
    <row r="136" spans="1:9">
      <c r="D136" s="165"/>
    </row>
  </sheetData>
  <sheetProtection algorithmName="SHA-512" hashValue="4ZmwEveaC+oZXuEoalf9onnjUCDTOObV2IoS4rLed6MROH0oigmfxSkwF6cEbD6FbKoTlLs+MhGvNWDuFK9ytg==" saltValue="wZmPXoJY4jK3UsslLCgcQA==" spinCount="100000" sheet="1" objects="1" scenarios="1" selectLockedCells="1"/>
  <mergeCells count="47">
    <mergeCell ref="A124:I124"/>
    <mergeCell ref="G130:H130"/>
    <mergeCell ref="G131:H131"/>
    <mergeCell ref="G129:H129"/>
    <mergeCell ref="B9:C9"/>
    <mergeCell ref="A28:I28"/>
    <mergeCell ref="A10:I10"/>
    <mergeCell ref="A90:I90"/>
    <mergeCell ref="A86:I86"/>
    <mergeCell ref="A81:I81"/>
    <mergeCell ref="A77:I77"/>
    <mergeCell ref="A59:I59"/>
    <mergeCell ref="A63:I63"/>
    <mergeCell ref="A68:I68"/>
    <mergeCell ref="A72:I72"/>
    <mergeCell ref="G18:H18"/>
    <mergeCell ref="A102:I102"/>
    <mergeCell ref="A19:H19"/>
    <mergeCell ref="A105:H105"/>
    <mergeCell ref="A24:I24"/>
    <mergeCell ref="A71:H71"/>
    <mergeCell ref="A27:H27"/>
    <mergeCell ref="A76:H76"/>
    <mergeCell ref="A44:H44"/>
    <mergeCell ref="A58:H58"/>
    <mergeCell ref="A20:I20"/>
    <mergeCell ref="A23:H23"/>
    <mergeCell ref="J3:J7"/>
    <mergeCell ref="A4:I4"/>
    <mergeCell ref="A5:I5"/>
    <mergeCell ref="A6:I6"/>
    <mergeCell ref="A7:I7"/>
    <mergeCell ref="A3:I3"/>
    <mergeCell ref="A123:H123"/>
    <mergeCell ref="A97:H97"/>
    <mergeCell ref="A45:I45"/>
    <mergeCell ref="A98:I98"/>
    <mergeCell ref="A8:I8"/>
    <mergeCell ref="A62:H62"/>
    <mergeCell ref="A67:H67"/>
    <mergeCell ref="A80:H80"/>
    <mergeCell ref="A116:H116"/>
    <mergeCell ref="A89:H89"/>
    <mergeCell ref="A85:H85"/>
    <mergeCell ref="A101:H101"/>
    <mergeCell ref="A117:I117"/>
    <mergeCell ref="A106:I106"/>
  </mergeCells>
  <printOptions horizontalCentered="1"/>
  <pageMargins left="0.23622047244094491" right="0.23622047244094491" top="0.74803149606299213" bottom="0.74803149606299213" header="0.31496062992125984" footer="0.31496062992125984"/>
  <pageSetup paperSize="9" scale="86" fitToHeight="0" orientation="landscape" horizontalDpi="4294967293" r:id="rId1"/>
  <headerFooter>
    <oddFooter>Página &amp;P de &amp;N</oddFooter>
  </headerFooter>
  <rowBreaks count="6" manualBreakCount="6">
    <brk id="27" max="8" man="1"/>
    <brk id="44" max="8" man="1"/>
    <brk id="65" max="8" man="1"/>
    <brk id="80" max="8" man="1"/>
    <brk id="101" max="8" man="1"/>
    <brk id="120"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99"/>
  <sheetViews>
    <sheetView showGridLines="0" zoomScale="87" zoomScaleNormal="87" zoomScaleSheetLayoutView="100" workbookViewId="0">
      <selection activeCell="F2299" sqref="A2:F2299"/>
    </sheetView>
  </sheetViews>
  <sheetFormatPr defaultRowHeight="15"/>
  <cols>
    <col min="1" max="1" width="10" style="6" customWidth="1"/>
    <col min="2" max="2" width="86" style="36" bestFit="1" customWidth="1"/>
    <col min="3" max="3" width="11.140625" style="6" customWidth="1"/>
    <col min="4" max="4" width="17.28515625" style="6" customWidth="1"/>
    <col min="5" max="5" width="14.140625" style="6" customWidth="1"/>
    <col min="6" max="6" width="13" style="7" customWidth="1"/>
  </cols>
  <sheetData>
    <row r="1" spans="1:6" ht="15.75" thickBot="1"/>
    <row r="2" spans="1:6">
      <c r="A2" s="338" t="s">
        <v>0</v>
      </c>
      <c r="B2" s="339"/>
      <c r="C2" s="339"/>
      <c r="D2" s="339"/>
      <c r="E2" s="339"/>
      <c r="F2" s="340"/>
    </row>
    <row r="3" spans="1:6">
      <c r="A3" s="341" t="s">
        <v>22</v>
      </c>
      <c r="B3" s="342"/>
      <c r="C3" s="342"/>
      <c r="D3" s="342"/>
      <c r="E3" s="342"/>
      <c r="F3" s="343"/>
    </row>
    <row r="4" spans="1:6">
      <c r="A4" s="341" t="s">
        <v>1052</v>
      </c>
      <c r="B4" s="342"/>
      <c r="C4" s="342"/>
      <c r="D4" s="342"/>
      <c r="E4" s="342"/>
      <c r="F4" s="343"/>
    </row>
    <row r="5" spans="1:6">
      <c r="A5" s="341" t="s">
        <v>921</v>
      </c>
      <c r="B5" s="342"/>
      <c r="C5" s="342"/>
      <c r="D5" s="342"/>
      <c r="E5" s="342"/>
      <c r="F5" s="343"/>
    </row>
    <row r="6" spans="1:6">
      <c r="A6" s="341" t="s">
        <v>1051</v>
      </c>
      <c r="B6" s="342"/>
      <c r="C6" s="342"/>
      <c r="D6" s="342"/>
      <c r="E6" s="342"/>
      <c r="F6" s="343"/>
    </row>
    <row r="7" spans="1:6">
      <c r="A7" s="344" t="s">
        <v>1041</v>
      </c>
      <c r="B7" s="345"/>
      <c r="C7" s="345"/>
      <c r="D7" s="345"/>
      <c r="E7" s="345"/>
      <c r="F7" s="346"/>
    </row>
    <row r="8" spans="1:6">
      <c r="A8" s="190">
        <v>1</v>
      </c>
      <c r="B8" s="347" t="s">
        <v>284</v>
      </c>
      <c r="C8" s="347"/>
      <c r="D8" s="347"/>
      <c r="E8" s="347"/>
      <c r="F8" s="348"/>
    </row>
    <row r="9" spans="1:6">
      <c r="A9" s="232" t="str">
        <f>ORÇAMENTO!A12</f>
        <v>1.1</v>
      </c>
      <c r="B9" s="97" t="str">
        <f>ORÇAMENTO!D12</f>
        <v>DEMOLICAO-COBERTURA TELHA FIBROCIMENTO/FIBRA DE VIDRO/SIMILARES C/ TRANSP.</v>
      </c>
      <c r="C9" s="189" t="s">
        <v>13</v>
      </c>
      <c r="D9" s="90" t="s">
        <v>248</v>
      </c>
      <c r="E9" s="91" t="s">
        <v>198</v>
      </c>
      <c r="F9" s="247" t="s">
        <v>8</v>
      </c>
    </row>
    <row r="10" spans="1:6">
      <c r="A10" s="191"/>
      <c r="B10" s="362" t="s">
        <v>563</v>
      </c>
      <c r="C10" s="362"/>
      <c r="D10" s="362"/>
      <c r="E10" s="362"/>
      <c r="F10" s="363"/>
    </row>
    <row r="11" spans="1:6">
      <c r="A11" s="192"/>
      <c r="B11" s="15" t="s">
        <v>874</v>
      </c>
      <c r="C11" s="139"/>
      <c r="D11" s="187">
        <v>5</v>
      </c>
      <c r="E11" s="187">
        <v>2.2000000000000002</v>
      </c>
      <c r="F11" s="240">
        <f>E11*D11</f>
        <v>11</v>
      </c>
    </row>
    <row r="12" spans="1:6">
      <c r="A12" s="192"/>
      <c r="B12" s="362" t="s">
        <v>1010</v>
      </c>
      <c r="C12" s="362" t="s">
        <v>13</v>
      </c>
      <c r="D12" s="362" t="s">
        <v>96</v>
      </c>
      <c r="E12" s="362" t="s">
        <v>95</v>
      </c>
      <c r="F12" s="363" t="s">
        <v>8</v>
      </c>
    </row>
    <row r="13" spans="1:6">
      <c r="A13" s="192"/>
      <c r="B13" s="15" t="s">
        <v>888</v>
      </c>
      <c r="C13" s="169"/>
      <c r="D13" s="187">
        <f>1.2*0.5</f>
        <v>0.6</v>
      </c>
      <c r="E13" s="187">
        <v>2</v>
      </c>
      <c r="F13" s="240">
        <f>D13*E13</f>
        <v>1.2</v>
      </c>
    </row>
    <row r="14" spans="1:6">
      <c r="A14" s="192"/>
      <c r="B14" s="153" t="s">
        <v>1009</v>
      </c>
      <c r="C14" s="169"/>
      <c r="D14" s="169"/>
      <c r="E14" s="169"/>
      <c r="F14" s="193"/>
    </row>
    <row r="15" spans="1:6">
      <c r="A15" s="192"/>
      <c r="B15" s="15" t="s">
        <v>1011</v>
      </c>
      <c r="C15" s="169"/>
      <c r="D15" s="187">
        <v>0.5</v>
      </c>
      <c r="E15" s="187">
        <v>0.35</v>
      </c>
      <c r="F15" s="240">
        <f>(D15*E15)*2</f>
        <v>0.35</v>
      </c>
    </row>
    <row r="16" spans="1:6">
      <c r="A16" s="192"/>
      <c r="B16" s="364" t="s">
        <v>8</v>
      </c>
      <c r="C16" s="364"/>
      <c r="D16" s="364"/>
      <c r="E16" s="364"/>
      <c r="F16" s="193">
        <v>12.55</v>
      </c>
    </row>
    <row r="17" spans="1:6">
      <c r="A17" s="232" t="str">
        <f>ORÇAMENTO!A13</f>
        <v>1.2</v>
      </c>
      <c r="B17" s="97" t="s">
        <v>280</v>
      </c>
      <c r="C17" s="189" t="s">
        <v>13</v>
      </c>
      <c r="D17" s="90" t="s">
        <v>96</v>
      </c>
      <c r="E17" s="91" t="s">
        <v>95</v>
      </c>
      <c r="F17" s="247" t="s">
        <v>8</v>
      </c>
    </row>
    <row r="18" spans="1:6">
      <c r="A18" s="194"/>
      <c r="B18" s="362" t="s">
        <v>565</v>
      </c>
      <c r="C18" s="362"/>
      <c r="D18" s="362"/>
      <c r="E18" s="362"/>
      <c r="F18" s="363"/>
    </row>
    <row r="19" spans="1:6">
      <c r="A19" s="194"/>
      <c r="B19" s="15" t="s">
        <v>540</v>
      </c>
      <c r="C19" s="72"/>
      <c r="D19" s="187">
        <f>2.24*2.5</f>
        <v>5.6000000000000005</v>
      </c>
      <c r="E19" s="187">
        <v>4</v>
      </c>
      <c r="F19" s="240">
        <f>E19*D19</f>
        <v>22.400000000000002</v>
      </c>
    </row>
    <row r="20" spans="1:6">
      <c r="A20" s="194"/>
      <c r="B20" s="364" t="s">
        <v>14</v>
      </c>
      <c r="C20" s="364"/>
      <c r="D20" s="364"/>
      <c r="E20" s="364"/>
      <c r="F20" s="193">
        <v>47.5</v>
      </c>
    </row>
    <row r="21" spans="1:6">
      <c r="A21" s="194"/>
      <c r="B21" s="362" t="s">
        <v>550</v>
      </c>
      <c r="C21" s="362"/>
      <c r="D21" s="362"/>
      <c r="E21" s="362"/>
      <c r="F21" s="363"/>
    </row>
    <row r="22" spans="1:6">
      <c r="A22" s="194"/>
      <c r="B22" s="15" t="s">
        <v>564</v>
      </c>
      <c r="C22" s="72"/>
      <c r="D22" s="187"/>
      <c r="E22" s="187"/>
      <c r="F22" s="240"/>
    </row>
    <row r="23" spans="1:6">
      <c r="A23" s="194"/>
      <c r="B23" s="103" t="s">
        <v>661</v>
      </c>
      <c r="C23" s="72"/>
      <c r="D23" s="187">
        <f>(2.24*2)</f>
        <v>4.4800000000000004</v>
      </c>
      <c r="E23" s="187">
        <v>1</v>
      </c>
      <c r="F23" s="240">
        <f>E23*D23</f>
        <v>4.4800000000000004</v>
      </c>
    </row>
    <row r="24" spans="1:6">
      <c r="A24" s="194"/>
      <c r="B24" s="105" t="s">
        <v>502</v>
      </c>
      <c r="C24" s="72"/>
      <c r="D24" s="187">
        <f>2.25*2.5</f>
        <v>5.625</v>
      </c>
      <c r="E24" s="187">
        <v>1</v>
      </c>
      <c r="F24" s="240">
        <f>E24*D24</f>
        <v>5.625</v>
      </c>
    </row>
    <row r="25" spans="1:6">
      <c r="A25" s="194"/>
      <c r="B25" s="105" t="s">
        <v>501</v>
      </c>
      <c r="C25" s="72"/>
      <c r="D25" s="187">
        <f>2.25*2.5</f>
        <v>5.625</v>
      </c>
      <c r="E25" s="187">
        <v>1</v>
      </c>
      <c r="F25" s="240">
        <f>E25*D25</f>
        <v>5.625</v>
      </c>
    </row>
    <row r="26" spans="1:6">
      <c r="A26" s="194"/>
      <c r="B26" s="15" t="s">
        <v>500</v>
      </c>
      <c r="C26" s="72"/>
      <c r="D26" s="187">
        <f>0.7*2.5</f>
        <v>1.75</v>
      </c>
      <c r="E26" s="187">
        <v>2</v>
      </c>
      <c r="F26" s="240">
        <f t="shared" ref="F26" si="0">E26*D26</f>
        <v>3.5</v>
      </c>
    </row>
    <row r="27" spans="1:6">
      <c r="A27" s="194"/>
      <c r="B27" s="364" t="s">
        <v>14</v>
      </c>
      <c r="C27" s="364"/>
      <c r="D27" s="364"/>
      <c r="E27" s="364"/>
      <c r="F27" s="195">
        <v>19.23</v>
      </c>
    </row>
    <row r="28" spans="1:6">
      <c r="A28" s="194"/>
      <c r="B28" s="362" t="s">
        <v>563</v>
      </c>
      <c r="C28" s="362"/>
      <c r="D28" s="362"/>
      <c r="E28" s="362"/>
      <c r="F28" s="363"/>
    </row>
    <row r="29" spans="1:6">
      <c r="A29" s="194"/>
      <c r="B29" s="103" t="s">
        <v>282</v>
      </c>
      <c r="C29" s="72"/>
      <c r="D29" s="187">
        <f>(2.24*1.6)</f>
        <v>3.5840000000000005</v>
      </c>
      <c r="E29" s="187">
        <v>21</v>
      </c>
      <c r="F29" s="240">
        <f>E29*D29</f>
        <v>75.26400000000001</v>
      </c>
    </row>
    <row r="30" spans="1:6">
      <c r="A30" s="194"/>
      <c r="B30" s="105" t="s">
        <v>283</v>
      </c>
      <c r="C30" s="72"/>
      <c r="D30" s="187">
        <f>1.9*1</f>
        <v>1.9</v>
      </c>
      <c r="E30" s="187">
        <v>6</v>
      </c>
      <c r="F30" s="240">
        <f>E30*D30</f>
        <v>11.399999999999999</v>
      </c>
    </row>
    <row r="31" spans="1:6">
      <c r="A31" s="194"/>
      <c r="B31" s="105" t="s">
        <v>283</v>
      </c>
      <c r="C31" s="72"/>
      <c r="D31" s="187">
        <f>1.9*1</f>
        <v>1.9</v>
      </c>
      <c r="E31" s="187">
        <v>7</v>
      </c>
      <c r="F31" s="240">
        <f>E31*D31</f>
        <v>13.299999999999999</v>
      </c>
    </row>
    <row r="32" spans="1:6">
      <c r="A32" s="194"/>
      <c r="B32" s="103" t="s">
        <v>556</v>
      </c>
      <c r="C32" s="72"/>
      <c r="D32" s="187">
        <f>0.9*2.5</f>
        <v>2.25</v>
      </c>
      <c r="E32" s="187">
        <v>1</v>
      </c>
      <c r="F32" s="240">
        <f>E32*D32</f>
        <v>2.25</v>
      </c>
    </row>
    <row r="33" spans="1:6">
      <c r="A33" s="194"/>
      <c r="B33" s="103" t="s">
        <v>557</v>
      </c>
      <c r="C33" s="72"/>
      <c r="D33" s="187">
        <f>0.9*2.5</f>
        <v>2.25</v>
      </c>
      <c r="E33" s="187">
        <v>1</v>
      </c>
      <c r="F33" s="240">
        <f>E33*D33</f>
        <v>2.25</v>
      </c>
    </row>
    <row r="34" spans="1:6">
      <c r="A34" s="194"/>
      <c r="B34" s="103" t="s">
        <v>566</v>
      </c>
      <c r="C34" s="72"/>
      <c r="D34" s="187">
        <f>0.9*2.5</f>
        <v>2.25</v>
      </c>
      <c r="E34" s="187">
        <v>1</v>
      </c>
      <c r="F34" s="240">
        <f t="shared" ref="F34:F37" si="1">E34*D34</f>
        <v>2.25</v>
      </c>
    </row>
    <row r="35" spans="1:6">
      <c r="A35" s="194"/>
      <c r="B35" s="103" t="s">
        <v>567</v>
      </c>
      <c r="C35" s="72"/>
      <c r="D35" s="187">
        <f>0.9*2.5</f>
        <v>2.25</v>
      </c>
      <c r="E35" s="187">
        <v>1</v>
      </c>
      <c r="F35" s="240">
        <f t="shared" si="1"/>
        <v>2.25</v>
      </c>
    </row>
    <row r="36" spans="1:6">
      <c r="A36" s="194"/>
      <c r="B36" s="103" t="s">
        <v>503</v>
      </c>
      <c r="C36" s="72"/>
      <c r="D36" s="187">
        <f>0.9*2.5</f>
        <v>2.25</v>
      </c>
      <c r="E36" s="187">
        <v>1</v>
      </c>
      <c r="F36" s="240">
        <f t="shared" si="1"/>
        <v>2.25</v>
      </c>
    </row>
    <row r="37" spans="1:6">
      <c r="A37" s="194"/>
      <c r="B37" s="103" t="s">
        <v>410</v>
      </c>
      <c r="C37" s="72"/>
      <c r="D37" s="187">
        <v>0.9</v>
      </c>
      <c r="E37" s="187">
        <v>1</v>
      </c>
      <c r="F37" s="240">
        <f t="shared" si="1"/>
        <v>0.9</v>
      </c>
    </row>
    <row r="38" spans="1:6">
      <c r="A38" s="194"/>
      <c r="B38" s="364" t="s">
        <v>14</v>
      </c>
      <c r="C38" s="364"/>
      <c r="D38" s="364"/>
      <c r="E38" s="364"/>
      <c r="F38" s="195">
        <f>SUM(F29:F37)</f>
        <v>112.11400000000002</v>
      </c>
    </row>
    <row r="39" spans="1:6">
      <c r="A39" s="194"/>
      <c r="B39" s="364" t="s">
        <v>8</v>
      </c>
      <c r="C39" s="364"/>
      <c r="D39" s="364"/>
      <c r="E39" s="364"/>
      <c r="F39" s="195">
        <v>178.84</v>
      </c>
    </row>
    <row r="40" spans="1:6">
      <c r="A40" s="232" t="str">
        <f>ORÇAMENTO!A14</f>
        <v>1.3</v>
      </c>
      <c r="B40" s="97" t="str">
        <f>ORÇAMENTO!D14</f>
        <v xml:space="preserve">DEM.PISO CIMENT.SOBRE LASTRO CONC.C/TR.ATE CB. E CARGA </v>
      </c>
      <c r="C40" s="189" t="s">
        <v>13</v>
      </c>
      <c r="D40" s="186" t="s">
        <v>96</v>
      </c>
      <c r="E40" s="97" t="s">
        <v>95</v>
      </c>
      <c r="F40" s="248" t="s">
        <v>8</v>
      </c>
    </row>
    <row r="41" spans="1:6">
      <c r="A41" s="194"/>
      <c r="B41" s="103" t="s">
        <v>877</v>
      </c>
      <c r="C41" s="103"/>
      <c r="D41" s="187">
        <f>2*2</f>
        <v>4</v>
      </c>
      <c r="E41" s="187">
        <v>20</v>
      </c>
      <c r="F41" s="240">
        <f>D41*E41</f>
        <v>80</v>
      </c>
    </row>
    <row r="42" spans="1:6">
      <c r="A42" s="194"/>
      <c r="B42" s="364" t="s">
        <v>8</v>
      </c>
      <c r="C42" s="364"/>
      <c r="D42" s="364"/>
      <c r="E42" s="364"/>
      <c r="F42" s="195">
        <f>F41</f>
        <v>80</v>
      </c>
    </row>
    <row r="43" spans="1:6">
      <c r="A43" s="232" t="str">
        <f>ORÇAMENTO!A15</f>
        <v>1.4</v>
      </c>
      <c r="B43" s="97" t="s">
        <v>211</v>
      </c>
      <c r="C43" s="186" t="s">
        <v>112</v>
      </c>
      <c r="D43" s="334" t="s">
        <v>95</v>
      </c>
      <c r="E43" s="334"/>
      <c r="F43" s="335"/>
    </row>
    <row r="44" spans="1:6">
      <c r="A44" s="196"/>
      <c r="B44" s="362" t="s">
        <v>550</v>
      </c>
      <c r="C44" s="362"/>
      <c r="D44" s="362"/>
      <c r="E44" s="362"/>
      <c r="F44" s="363"/>
    </row>
    <row r="45" spans="1:6">
      <c r="A45" s="196"/>
      <c r="B45" s="15" t="s">
        <v>518</v>
      </c>
      <c r="C45" s="104"/>
      <c r="D45" s="330">
        <v>1</v>
      </c>
      <c r="E45" s="330"/>
      <c r="F45" s="331"/>
    </row>
    <row r="46" spans="1:6">
      <c r="A46" s="196"/>
      <c r="B46" s="15" t="s">
        <v>519</v>
      </c>
      <c r="C46" s="104"/>
      <c r="D46" s="330">
        <v>1</v>
      </c>
      <c r="E46" s="330"/>
      <c r="F46" s="331"/>
    </row>
    <row r="47" spans="1:6">
      <c r="A47" s="196"/>
      <c r="B47" s="49" t="s">
        <v>517</v>
      </c>
      <c r="C47" s="104"/>
      <c r="D47" s="330">
        <v>1</v>
      </c>
      <c r="E47" s="330"/>
      <c r="F47" s="331"/>
    </row>
    <row r="48" spans="1:6">
      <c r="A48" s="196"/>
      <c r="B48" s="364" t="s">
        <v>14</v>
      </c>
      <c r="C48" s="364"/>
      <c r="D48" s="364"/>
      <c r="E48" s="364"/>
      <c r="F48" s="195">
        <f>D45+D46+D47</f>
        <v>3</v>
      </c>
    </row>
    <row r="49" spans="1:6">
      <c r="A49" s="196"/>
      <c r="B49" s="362" t="s">
        <v>563</v>
      </c>
      <c r="C49" s="362"/>
      <c r="D49" s="362"/>
      <c r="E49" s="362"/>
      <c r="F49" s="363"/>
    </row>
    <row r="50" spans="1:6">
      <c r="A50" s="197"/>
      <c r="B50" s="49" t="s">
        <v>151</v>
      </c>
      <c r="C50" s="104"/>
      <c r="D50" s="330">
        <v>1</v>
      </c>
      <c r="E50" s="330"/>
      <c r="F50" s="331"/>
    </row>
    <row r="51" spans="1:6">
      <c r="A51" s="197"/>
      <c r="B51" s="49" t="s">
        <v>207</v>
      </c>
      <c r="C51" s="104"/>
      <c r="D51" s="330">
        <v>2</v>
      </c>
      <c r="E51" s="330"/>
      <c r="F51" s="331"/>
    </row>
    <row r="52" spans="1:6">
      <c r="A52" s="197"/>
      <c r="B52" s="49" t="s">
        <v>149</v>
      </c>
      <c r="C52" s="104"/>
      <c r="D52" s="330">
        <v>1</v>
      </c>
      <c r="E52" s="330"/>
      <c r="F52" s="331"/>
    </row>
    <row r="53" spans="1:6">
      <c r="A53" s="197"/>
      <c r="B53" s="364" t="s">
        <v>14</v>
      </c>
      <c r="C53" s="364"/>
      <c r="D53" s="364"/>
      <c r="E53" s="364"/>
      <c r="F53" s="195">
        <f>D50+D51+D52</f>
        <v>4</v>
      </c>
    </row>
    <row r="54" spans="1:6">
      <c r="A54" s="197"/>
      <c r="B54" s="364" t="s">
        <v>8</v>
      </c>
      <c r="C54" s="364"/>
      <c r="D54" s="364"/>
      <c r="E54" s="364"/>
      <c r="F54" s="195">
        <f>F53+F48</f>
        <v>7</v>
      </c>
    </row>
    <row r="55" spans="1:6">
      <c r="A55" s="232" t="str">
        <f>ORÇAMENTO!A16</f>
        <v>1.5</v>
      </c>
      <c r="B55" s="102" t="s">
        <v>250</v>
      </c>
      <c r="C55" s="186" t="s">
        <v>213</v>
      </c>
      <c r="D55" s="393" t="s">
        <v>95</v>
      </c>
      <c r="E55" s="393"/>
      <c r="F55" s="394"/>
    </row>
    <row r="56" spans="1:6">
      <c r="A56" s="197"/>
      <c r="B56" s="362" t="s">
        <v>550</v>
      </c>
      <c r="C56" s="362"/>
      <c r="D56" s="362"/>
      <c r="E56" s="362"/>
      <c r="F56" s="363"/>
    </row>
    <row r="57" spans="1:6">
      <c r="A57" s="197"/>
      <c r="B57" s="15" t="s">
        <v>1028</v>
      </c>
      <c r="C57" s="29"/>
      <c r="D57" s="395">
        <f>0.017</f>
        <v>1.7000000000000001E-2</v>
      </c>
      <c r="E57" s="395"/>
      <c r="F57" s="396"/>
    </row>
    <row r="58" spans="1:6">
      <c r="A58" s="197"/>
      <c r="B58" s="15" t="s">
        <v>1029</v>
      </c>
      <c r="C58" s="29"/>
      <c r="D58" s="395">
        <f>0.017</f>
        <v>1.7000000000000001E-2</v>
      </c>
      <c r="E58" s="395"/>
      <c r="F58" s="396"/>
    </row>
    <row r="59" spans="1:6">
      <c r="A59" s="197"/>
      <c r="B59" s="49" t="s">
        <v>1030</v>
      </c>
      <c r="C59" s="78"/>
      <c r="D59" s="395">
        <f>0.017</f>
        <v>1.7000000000000001E-2</v>
      </c>
      <c r="E59" s="395"/>
      <c r="F59" s="396"/>
    </row>
    <row r="60" spans="1:6">
      <c r="A60" s="197"/>
      <c r="B60" s="364" t="s">
        <v>14</v>
      </c>
      <c r="C60" s="364"/>
      <c r="D60" s="364"/>
      <c r="E60" s="364"/>
      <c r="F60" s="195">
        <f>D57+D58+D59</f>
        <v>5.1000000000000004E-2</v>
      </c>
    </row>
    <row r="61" spans="1:6">
      <c r="A61" s="197"/>
      <c r="B61" s="362" t="s">
        <v>563</v>
      </c>
      <c r="C61" s="362"/>
      <c r="D61" s="362"/>
      <c r="E61" s="362"/>
      <c r="F61" s="363"/>
    </row>
    <row r="62" spans="1:6">
      <c r="A62" s="197"/>
      <c r="B62" s="53" t="s">
        <v>1031</v>
      </c>
      <c r="C62" s="29"/>
      <c r="D62" s="395">
        <f>0.017</f>
        <v>1.7000000000000001E-2</v>
      </c>
      <c r="E62" s="395"/>
      <c r="F62" s="396"/>
    </row>
    <row r="63" spans="1:6">
      <c r="A63" s="197"/>
      <c r="B63" s="53" t="s">
        <v>1032</v>
      </c>
      <c r="C63" s="29"/>
      <c r="D63" s="395">
        <f>2*D62</f>
        <v>3.4000000000000002E-2</v>
      </c>
      <c r="E63" s="395"/>
      <c r="F63" s="396"/>
    </row>
    <row r="64" spans="1:6">
      <c r="A64" s="197"/>
      <c r="B64" s="53" t="s">
        <v>1033</v>
      </c>
      <c r="C64" s="78"/>
      <c r="D64" s="395">
        <v>1.7000000000000001E-2</v>
      </c>
      <c r="E64" s="395"/>
      <c r="F64" s="396"/>
    </row>
    <row r="65" spans="1:6">
      <c r="A65" s="197"/>
      <c r="B65" s="364" t="s">
        <v>14</v>
      </c>
      <c r="C65" s="364"/>
      <c r="D65" s="364"/>
      <c r="E65" s="364"/>
      <c r="F65" s="195">
        <f>D62+D63+D64</f>
        <v>6.8000000000000005E-2</v>
      </c>
    </row>
    <row r="66" spans="1:6">
      <c r="A66" s="197"/>
      <c r="B66" s="364" t="s">
        <v>8</v>
      </c>
      <c r="C66" s="364"/>
      <c r="D66" s="364"/>
      <c r="E66" s="364"/>
      <c r="F66" s="195">
        <v>0.11899999999999999</v>
      </c>
    </row>
    <row r="67" spans="1:6">
      <c r="A67" s="232" t="str">
        <f>ORÇAMENTO!A17</f>
        <v>1.6</v>
      </c>
      <c r="B67" s="97" t="s">
        <v>1026</v>
      </c>
      <c r="C67" s="189" t="s">
        <v>13</v>
      </c>
      <c r="D67" s="186" t="s">
        <v>248</v>
      </c>
      <c r="E67" s="186" t="s">
        <v>18</v>
      </c>
      <c r="F67" s="249" t="s">
        <v>8</v>
      </c>
    </row>
    <row r="68" spans="1:6">
      <c r="A68" s="197"/>
      <c r="B68" s="15" t="s">
        <v>1027</v>
      </c>
      <c r="C68" s="169"/>
      <c r="D68" s="187">
        <v>1.5</v>
      </c>
      <c r="E68" s="187">
        <v>2.5</v>
      </c>
      <c r="F68" s="240">
        <f>E68*D68</f>
        <v>3.75</v>
      </c>
    </row>
    <row r="69" spans="1:6">
      <c r="A69" s="197"/>
      <c r="B69" s="364" t="s">
        <v>8</v>
      </c>
      <c r="C69" s="364"/>
      <c r="D69" s="364"/>
      <c r="E69" s="364"/>
      <c r="F69" s="195">
        <v>3.75</v>
      </c>
    </row>
    <row r="70" spans="1:6">
      <c r="A70" s="232" t="str">
        <f>ORÇAMENTO!A18</f>
        <v>1.7</v>
      </c>
      <c r="B70" s="97" t="str">
        <f>ORÇAMENTO!D18</f>
        <v>REMOÇÃO DE TAPUME/ CHAPAS METÁLICAS E DE MADEIRA, DE FORMA MANUAL, SEM REAPROVEITAMENTO</v>
      </c>
      <c r="C70" s="189" t="s">
        <v>13</v>
      </c>
      <c r="D70" s="186" t="s">
        <v>248</v>
      </c>
      <c r="E70" s="186" t="s">
        <v>18</v>
      </c>
      <c r="F70" s="249" t="s">
        <v>8</v>
      </c>
    </row>
    <row r="71" spans="1:6">
      <c r="A71" s="191"/>
      <c r="B71" s="362" t="s">
        <v>563</v>
      </c>
      <c r="C71" s="362"/>
      <c r="D71" s="362"/>
      <c r="E71" s="362"/>
      <c r="F71" s="363"/>
    </row>
    <row r="72" spans="1:6">
      <c r="A72" s="197"/>
      <c r="B72" s="180" t="s">
        <v>207</v>
      </c>
      <c r="C72" s="169"/>
      <c r="D72" s="187">
        <v>7.35</v>
      </c>
      <c r="E72" s="187">
        <v>1.9</v>
      </c>
      <c r="F72" s="240">
        <f>E72*D72</f>
        <v>13.964999999999998</v>
      </c>
    </row>
    <row r="73" spans="1:6">
      <c r="A73" s="197"/>
      <c r="B73" s="180" t="s">
        <v>151</v>
      </c>
      <c r="C73" s="169"/>
      <c r="D73" s="187">
        <v>6.1</v>
      </c>
      <c r="E73" s="187">
        <v>1.9</v>
      </c>
      <c r="F73" s="240">
        <f>E73*D73</f>
        <v>11.589999999999998</v>
      </c>
    </row>
    <row r="74" spans="1:6">
      <c r="A74" s="197"/>
      <c r="B74" s="364" t="s">
        <v>8</v>
      </c>
      <c r="C74" s="364"/>
      <c r="D74" s="364"/>
      <c r="E74" s="364"/>
      <c r="F74" s="195">
        <v>25.56</v>
      </c>
    </row>
    <row r="75" spans="1:6">
      <c r="A75" s="190">
        <v>2</v>
      </c>
      <c r="B75" s="347" t="s">
        <v>973</v>
      </c>
      <c r="C75" s="347"/>
      <c r="D75" s="347"/>
      <c r="E75" s="347"/>
      <c r="F75" s="348"/>
    </row>
    <row r="76" spans="1:6">
      <c r="A76" s="232" t="str">
        <f>ORÇAMENTO!A22</f>
        <v>2.1</v>
      </c>
      <c r="B76" s="102" t="str">
        <f>ORÇAMENTO!D22</f>
        <v xml:space="preserve"> TRANSPORTE DE ENTULHO EM CAÇAMBA ESTACIONÁRIA INCLUSO A CARGA MANUAL</v>
      </c>
      <c r="C76" s="92" t="s">
        <v>971</v>
      </c>
      <c r="D76" s="90" t="s">
        <v>972</v>
      </c>
      <c r="E76" s="91" t="s">
        <v>95</v>
      </c>
      <c r="F76" s="250" t="s">
        <v>8</v>
      </c>
    </row>
    <row r="77" spans="1:6">
      <c r="A77" s="197"/>
      <c r="B77" s="180" t="s">
        <v>974</v>
      </c>
      <c r="C77" s="169"/>
      <c r="D77" s="187">
        <v>31.27</v>
      </c>
      <c r="E77" s="187">
        <v>1</v>
      </c>
      <c r="F77" s="240">
        <f>E77*D77</f>
        <v>31.27</v>
      </c>
    </row>
    <row r="78" spans="1:6">
      <c r="A78" s="197"/>
      <c r="B78" s="364" t="s">
        <v>8</v>
      </c>
      <c r="C78" s="364"/>
      <c r="D78" s="364"/>
      <c r="E78" s="364"/>
      <c r="F78" s="195">
        <v>31.27</v>
      </c>
    </row>
    <row r="79" spans="1:6">
      <c r="A79" s="190">
        <v>3</v>
      </c>
      <c r="B79" s="347" t="s">
        <v>277</v>
      </c>
      <c r="C79" s="347"/>
      <c r="D79" s="347"/>
      <c r="E79" s="347"/>
      <c r="F79" s="348"/>
    </row>
    <row r="80" spans="1:6" ht="15.75" customHeight="1">
      <c r="A80" s="232" t="str">
        <f>ORÇAMENTO!A26</f>
        <v>3.1</v>
      </c>
      <c r="B80" s="102" t="s">
        <v>301</v>
      </c>
      <c r="C80" s="92" t="s">
        <v>279</v>
      </c>
      <c r="D80" s="90" t="s">
        <v>299</v>
      </c>
      <c r="E80" s="91" t="s">
        <v>300</v>
      </c>
      <c r="F80" s="250" t="s">
        <v>8</v>
      </c>
    </row>
    <row r="81" spans="1:6">
      <c r="A81" s="197"/>
      <c r="B81" s="362" t="s">
        <v>570</v>
      </c>
      <c r="C81" s="362"/>
      <c r="D81" s="362"/>
      <c r="E81" s="362"/>
      <c r="F81" s="363"/>
    </row>
    <row r="82" spans="1:6">
      <c r="A82" s="197"/>
      <c r="B82" s="180" t="s">
        <v>504</v>
      </c>
      <c r="C82" s="169"/>
      <c r="D82" s="68">
        <f>21.15*3.5</f>
        <v>74.024999999999991</v>
      </c>
      <c r="E82" s="179">
        <v>0.5</v>
      </c>
      <c r="F82" s="239">
        <f>E82*D82</f>
        <v>37.012499999999996</v>
      </c>
    </row>
    <row r="83" spans="1:6">
      <c r="A83" s="197"/>
      <c r="B83" s="180" t="s">
        <v>505</v>
      </c>
      <c r="C83" s="169"/>
      <c r="D83" s="179">
        <f>55.25*3.5</f>
        <v>193.375</v>
      </c>
      <c r="E83" s="179">
        <v>0.5</v>
      </c>
      <c r="F83" s="239">
        <f t="shared" ref="F83:F85" si="2">E83*D83</f>
        <v>96.6875</v>
      </c>
    </row>
    <row r="84" spans="1:6">
      <c r="A84" s="197"/>
      <c r="B84" s="180" t="s">
        <v>506</v>
      </c>
      <c r="C84" s="169"/>
      <c r="D84" s="179">
        <f>55.25*3.5</f>
        <v>193.375</v>
      </c>
      <c r="E84" s="179">
        <v>0.5</v>
      </c>
      <c r="F84" s="239">
        <f t="shared" si="2"/>
        <v>96.6875</v>
      </c>
    </row>
    <row r="85" spans="1:6">
      <c r="A85" s="197"/>
      <c r="B85" s="180" t="s">
        <v>507</v>
      </c>
      <c r="C85" s="169"/>
      <c r="D85" s="179">
        <f>19.1*3.5</f>
        <v>66.850000000000009</v>
      </c>
      <c r="E85" s="179">
        <v>0.5</v>
      </c>
      <c r="F85" s="239">
        <f t="shared" si="2"/>
        <v>33.425000000000004</v>
      </c>
    </row>
    <row r="86" spans="1:6">
      <c r="A86" s="197"/>
      <c r="B86" s="364" t="s">
        <v>14</v>
      </c>
      <c r="C86" s="364"/>
      <c r="D86" s="364"/>
      <c r="E86" s="364"/>
      <c r="F86" s="199">
        <f>SUM(F82:F85)</f>
        <v>263.8125</v>
      </c>
    </row>
    <row r="87" spans="1:6">
      <c r="A87" s="197"/>
      <c r="B87" s="362" t="s">
        <v>563</v>
      </c>
      <c r="C87" s="362"/>
      <c r="D87" s="362"/>
      <c r="E87" s="362"/>
      <c r="F87" s="363"/>
    </row>
    <row r="88" spans="1:6">
      <c r="A88" s="197"/>
      <c r="B88" s="367" t="s">
        <v>291</v>
      </c>
      <c r="C88" s="367"/>
      <c r="D88" s="367"/>
      <c r="E88" s="367"/>
      <c r="F88" s="368"/>
    </row>
    <row r="89" spans="1:6">
      <c r="A89" s="197"/>
      <c r="B89" s="180" t="s">
        <v>302</v>
      </c>
      <c r="C89" s="169"/>
      <c r="D89" s="68">
        <f>21.5*3.5</f>
        <v>75.25</v>
      </c>
      <c r="E89" s="179">
        <v>0.5</v>
      </c>
      <c r="F89" s="239">
        <f>E89*D89</f>
        <v>37.625</v>
      </c>
    </row>
    <row r="90" spans="1:6">
      <c r="A90" s="197"/>
      <c r="B90" s="180" t="s">
        <v>303</v>
      </c>
      <c r="C90" s="169"/>
      <c r="D90" s="179">
        <f>58.79*3.5</f>
        <v>205.76499999999999</v>
      </c>
      <c r="E90" s="179">
        <v>0.5</v>
      </c>
      <c r="F90" s="239">
        <f t="shared" ref="F90:F92" si="3">E90*D90</f>
        <v>102.88249999999999</v>
      </c>
    </row>
    <row r="91" spans="1:6">
      <c r="A91" s="197"/>
      <c r="B91" s="180" t="s">
        <v>304</v>
      </c>
      <c r="C91" s="169"/>
      <c r="D91" s="179">
        <f>58.79*3.5</f>
        <v>205.76499999999999</v>
      </c>
      <c r="E91" s="179">
        <v>0.5</v>
      </c>
      <c r="F91" s="239">
        <f t="shared" si="3"/>
        <v>102.88249999999999</v>
      </c>
    </row>
    <row r="92" spans="1:6">
      <c r="A92" s="197"/>
      <c r="B92" s="180" t="s">
        <v>305</v>
      </c>
      <c r="C92" s="169"/>
      <c r="D92" s="179">
        <f>21.55*3.5</f>
        <v>75.424999999999997</v>
      </c>
      <c r="E92" s="179">
        <v>0.5</v>
      </c>
      <c r="F92" s="239">
        <f t="shared" si="3"/>
        <v>37.712499999999999</v>
      </c>
    </row>
    <row r="93" spans="1:6">
      <c r="A93" s="197"/>
      <c r="B93" s="364" t="s">
        <v>14</v>
      </c>
      <c r="C93" s="364"/>
      <c r="D93" s="364"/>
      <c r="E93" s="364"/>
      <c r="F93" s="199">
        <f>SUM(F89:F92)</f>
        <v>281.10249999999996</v>
      </c>
    </row>
    <row r="94" spans="1:6">
      <c r="A94" s="197"/>
      <c r="B94" s="180" t="s">
        <v>306</v>
      </c>
      <c r="C94" s="67" t="s">
        <v>279</v>
      </c>
      <c r="D94" s="59" t="s">
        <v>299</v>
      </c>
      <c r="E94" s="60" t="s">
        <v>300</v>
      </c>
      <c r="F94" s="207" t="s">
        <v>8</v>
      </c>
    </row>
    <row r="95" spans="1:6">
      <c r="A95" s="197"/>
      <c r="B95" s="180" t="s">
        <v>307</v>
      </c>
      <c r="C95" s="169"/>
      <c r="D95" s="179">
        <f>15.35*3.5</f>
        <v>53.725000000000001</v>
      </c>
      <c r="E95" s="179">
        <v>0.5</v>
      </c>
      <c r="F95" s="239">
        <f>E95*D95</f>
        <v>26.862500000000001</v>
      </c>
    </row>
    <row r="96" spans="1:6">
      <c r="A96" s="197"/>
      <c r="B96" s="180" t="s">
        <v>308</v>
      </c>
      <c r="C96" s="169"/>
      <c r="D96" s="179">
        <f>52.74*3.5</f>
        <v>184.59</v>
      </c>
      <c r="E96" s="179">
        <v>0.5</v>
      </c>
      <c r="F96" s="239">
        <f t="shared" ref="F96:F98" si="4">E96*D96</f>
        <v>92.295000000000002</v>
      </c>
    </row>
    <row r="97" spans="1:6">
      <c r="A97" s="197"/>
      <c r="B97" s="180" t="s">
        <v>309</v>
      </c>
      <c r="C97" s="169"/>
      <c r="D97" s="179">
        <f>52.74*3.5</f>
        <v>184.59</v>
      </c>
      <c r="E97" s="179">
        <v>0.5</v>
      </c>
      <c r="F97" s="239">
        <f t="shared" si="4"/>
        <v>92.295000000000002</v>
      </c>
    </row>
    <row r="98" spans="1:6">
      <c r="A98" s="197"/>
      <c r="B98" s="180" t="s">
        <v>310</v>
      </c>
      <c r="C98" s="169"/>
      <c r="D98" s="179">
        <f>15.35*3.5</f>
        <v>53.725000000000001</v>
      </c>
      <c r="E98" s="179">
        <v>0.5</v>
      </c>
      <c r="F98" s="239">
        <f t="shared" si="4"/>
        <v>26.862500000000001</v>
      </c>
    </row>
    <row r="99" spans="1:6">
      <c r="A99" s="197"/>
      <c r="B99" s="364" t="s">
        <v>14</v>
      </c>
      <c r="C99" s="364"/>
      <c r="D99" s="364"/>
      <c r="E99" s="364"/>
      <c r="F99" s="199">
        <f>SUM(F95:F98)</f>
        <v>238.315</v>
      </c>
    </row>
    <row r="100" spans="1:6">
      <c r="A100" s="197"/>
      <c r="B100" s="364" t="s">
        <v>8</v>
      </c>
      <c r="C100" s="364"/>
      <c r="D100" s="364"/>
      <c r="E100" s="364"/>
      <c r="F100" s="199">
        <v>783.23</v>
      </c>
    </row>
    <row r="101" spans="1:6">
      <c r="A101" s="190">
        <v>4</v>
      </c>
      <c r="B101" s="347" t="s">
        <v>106</v>
      </c>
      <c r="C101" s="347"/>
      <c r="D101" s="347"/>
      <c r="E101" s="347"/>
      <c r="F101" s="348"/>
    </row>
    <row r="102" spans="1:6">
      <c r="A102" s="232" t="str">
        <f>ORÇAMENTO!A30</f>
        <v>4.1</v>
      </c>
      <c r="B102" s="97" t="s">
        <v>200</v>
      </c>
      <c r="C102" s="186" t="s">
        <v>112</v>
      </c>
      <c r="D102" s="334" t="s">
        <v>95</v>
      </c>
      <c r="E102" s="334"/>
      <c r="F102" s="335"/>
    </row>
    <row r="103" spans="1:6">
      <c r="A103" s="198"/>
      <c r="B103" s="327" t="s">
        <v>288</v>
      </c>
      <c r="C103" s="327"/>
      <c r="D103" s="327"/>
      <c r="E103" s="327"/>
      <c r="F103" s="328"/>
    </row>
    <row r="104" spans="1:6">
      <c r="A104" s="198"/>
      <c r="B104" s="32" t="s">
        <v>527</v>
      </c>
      <c r="C104" s="29"/>
      <c r="D104" s="330">
        <v>1</v>
      </c>
      <c r="E104" s="330"/>
      <c r="F104" s="331"/>
    </row>
    <row r="105" spans="1:6">
      <c r="A105" s="198"/>
      <c r="B105" s="32" t="s">
        <v>526</v>
      </c>
      <c r="C105" s="29"/>
      <c r="D105" s="330">
        <v>2</v>
      </c>
      <c r="E105" s="330"/>
      <c r="F105" s="331"/>
    </row>
    <row r="106" spans="1:6">
      <c r="A106" s="198"/>
      <c r="B106" s="32" t="s">
        <v>520</v>
      </c>
      <c r="C106" s="29"/>
      <c r="D106" s="330">
        <v>1</v>
      </c>
      <c r="E106" s="330"/>
      <c r="F106" s="331"/>
    </row>
    <row r="107" spans="1:6">
      <c r="A107" s="198"/>
      <c r="B107" s="19" t="s">
        <v>528</v>
      </c>
      <c r="C107" s="29"/>
      <c r="D107" s="330">
        <v>1</v>
      </c>
      <c r="E107" s="330"/>
      <c r="F107" s="331"/>
    </row>
    <row r="108" spans="1:6">
      <c r="A108" s="198"/>
      <c r="B108" s="49" t="s">
        <v>546</v>
      </c>
      <c r="C108" s="29"/>
      <c r="D108" s="330">
        <v>1</v>
      </c>
      <c r="E108" s="330"/>
      <c r="F108" s="331"/>
    </row>
    <row r="109" spans="1:6">
      <c r="A109" s="198"/>
      <c r="B109" s="49" t="s">
        <v>526</v>
      </c>
      <c r="C109" s="29"/>
      <c r="D109" s="330">
        <v>2</v>
      </c>
      <c r="E109" s="330"/>
      <c r="F109" s="331"/>
    </row>
    <row r="110" spans="1:6">
      <c r="A110" s="198"/>
      <c r="B110" s="364" t="s">
        <v>14</v>
      </c>
      <c r="C110" s="364"/>
      <c r="D110" s="364"/>
      <c r="E110" s="364"/>
      <c r="F110" s="199">
        <v>8</v>
      </c>
    </row>
    <row r="111" spans="1:6">
      <c r="A111" s="198"/>
      <c r="B111" s="327" t="s">
        <v>550</v>
      </c>
      <c r="C111" s="327"/>
      <c r="D111" s="327"/>
      <c r="E111" s="327"/>
      <c r="F111" s="328"/>
    </row>
    <row r="112" spans="1:6">
      <c r="A112" s="98"/>
      <c r="B112" s="19" t="s">
        <v>571</v>
      </c>
      <c r="C112" s="73"/>
      <c r="D112" s="330">
        <v>8</v>
      </c>
      <c r="E112" s="330"/>
      <c r="F112" s="331"/>
    </row>
    <row r="113" spans="1:6">
      <c r="A113" s="98"/>
      <c r="B113" s="15" t="s">
        <v>516</v>
      </c>
      <c r="C113" s="101"/>
      <c r="D113" s="351">
        <v>4</v>
      </c>
      <c r="E113" s="351"/>
      <c r="F113" s="352"/>
    </row>
    <row r="114" spans="1:6">
      <c r="A114" s="98"/>
      <c r="B114" s="100" t="s">
        <v>515</v>
      </c>
      <c r="C114" s="101"/>
      <c r="D114" s="351">
        <v>1</v>
      </c>
      <c r="E114" s="351"/>
      <c r="F114" s="352"/>
    </row>
    <row r="115" spans="1:6">
      <c r="A115" s="98"/>
      <c r="B115" s="100" t="s">
        <v>514</v>
      </c>
      <c r="C115" s="99"/>
      <c r="D115" s="351">
        <v>1</v>
      </c>
      <c r="E115" s="351"/>
      <c r="F115" s="352"/>
    </row>
    <row r="116" spans="1:6">
      <c r="A116" s="98"/>
      <c r="B116" s="15" t="s">
        <v>513</v>
      </c>
      <c r="C116" s="29"/>
      <c r="D116" s="330">
        <v>4</v>
      </c>
      <c r="E116" s="330"/>
      <c r="F116" s="331"/>
    </row>
    <row r="117" spans="1:6">
      <c r="A117" s="98"/>
      <c r="B117" s="15" t="s">
        <v>512</v>
      </c>
      <c r="C117" s="29"/>
      <c r="D117" s="330">
        <v>3</v>
      </c>
      <c r="E117" s="330"/>
      <c r="F117" s="331"/>
    </row>
    <row r="118" spans="1:6">
      <c r="A118" s="98"/>
      <c r="B118" s="15" t="s">
        <v>511</v>
      </c>
      <c r="C118" s="29"/>
      <c r="D118" s="330">
        <v>8</v>
      </c>
      <c r="E118" s="330"/>
      <c r="F118" s="331"/>
    </row>
    <row r="119" spans="1:6">
      <c r="A119" s="98"/>
      <c r="B119" s="32" t="s">
        <v>348</v>
      </c>
      <c r="C119" s="29"/>
      <c r="D119" s="330">
        <v>13</v>
      </c>
      <c r="E119" s="330"/>
      <c r="F119" s="331"/>
    </row>
    <row r="120" spans="1:6">
      <c r="A120" s="98"/>
      <c r="B120" s="32" t="s">
        <v>510</v>
      </c>
      <c r="C120" s="29"/>
      <c r="D120" s="330">
        <v>8</v>
      </c>
      <c r="E120" s="330"/>
      <c r="F120" s="331"/>
    </row>
    <row r="121" spans="1:6">
      <c r="A121" s="98"/>
      <c r="B121" s="15" t="s">
        <v>509</v>
      </c>
      <c r="C121" s="29"/>
      <c r="D121" s="330">
        <v>8</v>
      </c>
      <c r="E121" s="330"/>
      <c r="F121" s="331"/>
    </row>
    <row r="122" spans="1:6">
      <c r="A122" s="98"/>
      <c r="B122" s="364" t="s">
        <v>14</v>
      </c>
      <c r="C122" s="364"/>
      <c r="D122" s="364"/>
      <c r="E122" s="364"/>
      <c r="F122" s="199">
        <v>58</v>
      </c>
    </row>
    <row r="123" spans="1:6">
      <c r="A123" s="98"/>
      <c r="B123" s="327" t="s">
        <v>563</v>
      </c>
      <c r="C123" s="327"/>
      <c r="D123" s="327"/>
      <c r="E123" s="327"/>
      <c r="F123" s="328"/>
    </row>
    <row r="124" spans="1:6">
      <c r="A124" s="98"/>
      <c r="B124" s="19" t="s">
        <v>150</v>
      </c>
      <c r="C124" s="73"/>
      <c r="D124" s="330">
        <v>15</v>
      </c>
      <c r="E124" s="330"/>
      <c r="F124" s="331"/>
    </row>
    <row r="125" spans="1:6">
      <c r="A125" s="98"/>
      <c r="B125" s="49" t="s">
        <v>149</v>
      </c>
      <c r="C125" s="73"/>
      <c r="D125" s="330">
        <v>1</v>
      </c>
      <c r="E125" s="330"/>
      <c r="F125" s="331"/>
    </row>
    <row r="126" spans="1:6">
      <c r="A126" s="98"/>
      <c r="B126" s="49" t="s">
        <v>140</v>
      </c>
      <c r="C126" s="106"/>
      <c r="D126" s="378">
        <v>5</v>
      </c>
      <c r="E126" s="378"/>
      <c r="F126" s="379"/>
    </row>
    <row r="127" spans="1:6">
      <c r="A127" s="98"/>
      <c r="B127" s="19" t="s">
        <v>147</v>
      </c>
      <c r="C127" s="73"/>
      <c r="D127" s="330">
        <v>1</v>
      </c>
      <c r="E127" s="330"/>
      <c r="F127" s="331"/>
    </row>
    <row r="128" spans="1:6">
      <c r="A128" s="98"/>
      <c r="B128" s="19" t="s">
        <v>207</v>
      </c>
      <c r="C128" s="73"/>
      <c r="D128" s="330">
        <v>2</v>
      </c>
      <c r="E128" s="330"/>
      <c r="F128" s="331"/>
    </row>
    <row r="129" spans="1:6">
      <c r="A129" s="98"/>
      <c r="B129" s="19" t="s">
        <v>148</v>
      </c>
      <c r="C129" s="73"/>
      <c r="D129" s="330">
        <v>11</v>
      </c>
      <c r="E129" s="330"/>
      <c r="F129" s="331"/>
    </row>
    <row r="130" spans="1:6">
      <c r="A130" s="98"/>
      <c r="B130" s="19" t="s">
        <v>142</v>
      </c>
      <c r="C130" s="73"/>
      <c r="D130" s="330">
        <v>24</v>
      </c>
      <c r="E130" s="330"/>
      <c r="F130" s="331"/>
    </row>
    <row r="131" spans="1:6">
      <c r="A131" s="98"/>
      <c r="B131" s="19" t="s">
        <v>191</v>
      </c>
      <c r="C131" s="73"/>
      <c r="D131" s="330">
        <v>9</v>
      </c>
      <c r="E131" s="330"/>
      <c r="F131" s="331"/>
    </row>
    <row r="132" spans="1:6">
      <c r="A132" s="98"/>
      <c r="B132" s="19" t="s">
        <v>199</v>
      </c>
      <c r="C132" s="73"/>
      <c r="D132" s="330">
        <v>8</v>
      </c>
      <c r="E132" s="330"/>
      <c r="F132" s="331"/>
    </row>
    <row r="133" spans="1:6" ht="15.75" customHeight="1">
      <c r="A133" s="98"/>
      <c r="B133" s="19" t="s">
        <v>508</v>
      </c>
      <c r="C133" s="73"/>
      <c r="D133" s="330">
        <v>4</v>
      </c>
      <c r="E133" s="330"/>
      <c r="F133" s="331"/>
    </row>
    <row r="134" spans="1:6" ht="15" customHeight="1">
      <c r="A134" s="98"/>
      <c r="B134" s="364" t="s">
        <v>14</v>
      </c>
      <c r="C134" s="364"/>
      <c r="D134" s="364"/>
      <c r="E134" s="364"/>
      <c r="F134" s="199">
        <v>80</v>
      </c>
    </row>
    <row r="135" spans="1:6">
      <c r="A135" s="98"/>
      <c r="B135" s="364" t="s">
        <v>8</v>
      </c>
      <c r="C135" s="364"/>
      <c r="D135" s="364"/>
      <c r="E135" s="364"/>
      <c r="F135" s="199">
        <v>146</v>
      </c>
    </row>
    <row r="136" spans="1:6">
      <c r="A136" s="232" t="str">
        <f>ORÇAMENTO!A31</f>
        <v>4.2</v>
      </c>
      <c r="B136" s="97" t="s">
        <v>201</v>
      </c>
      <c r="C136" s="186" t="s">
        <v>112</v>
      </c>
      <c r="D136" s="334" t="s">
        <v>95</v>
      </c>
      <c r="E136" s="334"/>
      <c r="F136" s="335"/>
    </row>
    <row r="137" spans="1:6" s="30" customFormat="1">
      <c r="A137" s="198"/>
      <c r="B137" s="380" t="s">
        <v>663</v>
      </c>
      <c r="C137" s="381"/>
      <c r="D137" s="381"/>
      <c r="E137" s="381"/>
      <c r="F137" s="382"/>
    </row>
    <row r="138" spans="1:6">
      <c r="A138" s="197"/>
      <c r="B138" s="110" t="s">
        <v>516</v>
      </c>
      <c r="C138" s="169"/>
      <c r="D138" s="375">
        <v>4</v>
      </c>
      <c r="E138" s="376"/>
      <c r="F138" s="377"/>
    </row>
    <row r="139" spans="1:6">
      <c r="A139" s="197"/>
      <c r="B139" s="110" t="s">
        <v>98</v>
      </c>
      <c r="C139" s="169"/>
      <c r="D139" s="386">
        <v>2</v>
      </c>
      <c r="E139" s="387"/>
      <c r="F139" s="388"/>
    </row>
    <row r="140" spans="1:6">
      <c r="A140" s="197"/>
      <c r="B140" s="110" t="s">
        <v>97</v>
      </c>
      <c r="C140" s="169"/>
      <c r="D140" s="386">
        <v>4</v>
      </c>
      <c r="E140" s="387"/>
      <c r="F140" s="388"/>
    </row>
    <row r="141" spans="1:6">
      <c r="A141" s="197"/>
      <c r="B141" s="110" t="s">
        <v>118</v>
      </c>
      <c r="C141" s="169"/>
      <c r="D141" s="386">
        <v>2</v>
      </c>
      <c r="E141" s="387"/>
      <c r="F141" s="388"/>
    </row>
    <row r="142" spans="1:6">
      <c r="A142" s="197"/>
      <c r="B142" s="110" t="s">
        <v>119</v>
      </c>
      <c r="C142" s="169"/>
      <c r="D142" s="386">
        <v>4</v>
      </c>
      <c r="E142" s="387"/>
      <c r="F142" s="388"/>
    </row>
    <row r="143" spans="1:6">
      <c r="A143" s="197"/>
      <c r="B143" s="110" t="s">
        <v>120</v>
      </c>
      <c r="C143" s="169"/>
      <c r="D143" s="386">
        <v>6</v>
      </c>
      <c r="E143" s="387"/>
      <c r="F143" s="388"/>
    </row>
    <row r="144" spans="1:6">
      <c r="A144" s="197"/>
      <c r="B144" s="110" t="s">
        <v>662</v>
      </c>
      <c r="C144" s="169"/>
      <c r="D144" s="386">
        <v>4</v>
      </c>
      <c r="E144" s="387"/>
      <c r="F144" s="388"/>
    </row>
    <row r="145" spans="1:6" ht="15.75" customHeight="1">
      <c r="A145" s="197"/>
      <c r="B145" s="110" t="s">
        <v>553</v>
      </c>
      <c r="C145" s="169"/>
      <c r="D145" s="386">
        <v>26</v>
      </c>
      <c r="E145" s="387"/>
      <c r="F145" s="388"/>
    </row>
    <row r="146" spans="1:6">
      <c r="A146" s="197"/>
      <c r="B146" s="110" t="s">
        <v>554</v>
      </c>
      <c r="C146" s="169"/>
      <c r="D146" s="386">
        <v>25</v>
      </c>
      <c r="E146" s="387"/>
      <c r="F146" s="388"/>
    </row>
    <row r="147" spans="1:6">
      <c r="A147" s="197"/>
      <c r="B147" s="110" t="s">
        <v>121</v>
      </c>
      <c r="C147" s="169"/>
      <c r="D147" s="386">
        <v>5</v>
      </c>
      <c r="E147" s="387"/>
      <c r="F147" s="388"/>
    </row>
    <row r="148" spans="1:6" ht="15" customHeight="1">
      <c r="A148" s="98"/>
      <c r="B148" s="364" t="s">
        <v>14</v>
      </c>
      <c r="C148" s="364"/>
      <c r="D148" s="364"/>
      <c r="E148" s="364"/>
      <c r="F148" s="195">
        <v>82</v>
      </c>
    </row>
    <row r="149" spans="1:6">
      <c r="A149" s="98"/>
      <c r="B149" s="327" t="s">
        <v>563</v>
      </c>
      <c r="C149" s="327"/>
      <c r="D149" s="327"/>
      <c r="E149" s="327"/>
      <c r="F149" s="328"/>
    </row>
    <row r="150" spans="1:6">
      <c r="A150" s="98"/>
      <c r="B150" s="103" t="s">
        <v>291</v>
      </c>
      <c r="C150" s="99"/>
      <c r="D150" s="389"/>
      <c r="E150" s="389"/>
      <c r="F150" s="390"/>
    </row>
    <row r="151" spans="1:6">
      <c r="A151" s="98"/>
      <c r="B151" s="19" t="s">
        <v>202</v>
      </c>
      <c r="C151" s="29"/>
      <c r="D151" s="330">
        <v>1</v>
      </c>
      <c r="E151" s="330"/>
      <c r="F151" s="331"/>
    </row>
    <row r="152" spans="1:6">
      <c r="A152" s="98"/>
      <c r="B152" s="19" t="s">
        <v>48</v>
      </c>
      <c r="C152" s="29"/>
      <c r="D152" s="330">
        <v>1</v>
      </c>
      <c r="E152" s="330"/>
      <c r="F152" s="331"/>
    </row>
    <row r="153" spans="1:6">
      <c r="A153" s="98"/>
      <c r="B153" s="19" t="s">
        <v>113</v>
      </c>
      <c r="C153" s="29"/>
      <c r="D153" s="330">
        <v>4</v>
      </c>
      <c r="E153" s="330"/>
      <c r="F153" s="331"/>
    </row>
    <row r="154" spans="1:6">
      <c r="A154" s="98"/>
      <c r="B154" s="19" t="s">
        <v>114</v>
      </c>
      <c r="C154" s="29"/>
      <c r="D154" s="330">
        <v>4</v>
      </c>
      <c r="E154" s="330"/>
      <c r="F154" s="331"/>
    </row>
    <row r="155" spans="1:6">
      <c r="A155" s="98"/>
      <c r="B155" s="19" t="s">
        <v>217</v>
      </c>
      <c r="C155" s="29"/>
      <c r="D155" s="330">
        <v>3</v>
      </c>
      <c r="E155" s="330"/>
      <c r="F155" s="331"/>
    </row>
    <row r="156" spans="1:6">
      <c r="A156" s="98"/>
      <c r="B156" s="19" t="s">
        <v>117</v>
      </c>
      <c r="C156" s="24"/>
      <c r="D156" s="330">
        <v>7</v>
      </c>
      <c r="E156" s="330"/>
      <c r="F156" s="331"/>
    </row>
    <row r="157" spans="1:6">
      <c r="A157" s="98"/>
      <c r="B157" s="19" t="s">
        <v>199</v>
      </c>
      <c r="C157" s="24"/>
      <c r="D157" s="330">
        <v>15</v>
      </c>
      <c r="E157" s="330"/>
      <c r="F157" s="331"/>
    </row>
    <row r="158" spans="1:6">
      <c r="A158" s="98"/>
      <c r="B158" s="49" t="s">
        <v>151</v>
      </c>
      <c r="C158" s="50"/>
      <c r="D158" s="378">
        <v>1</v>
      </c>
      <c r="E158" s="378"/>
      <c r="F158" s="379"/>
    </row>
    <row r="159" spans="1:6">
      <c r="A159" s="98"/>
      <c r="B159" s="49" t="s">
        <v>207</v>
      </c>
      <c r="C159" s="50"/>
      <c r="D159" s="378">
        <v>10</v>
      </c>
      <c r="E159" s="378"/>
      <c r="F159" s="379"/>
    </row>
    <row r="160" spans="1:6">
      <c r="A160" s="98"/>
      <c r="B160" s="19" t="s">
        <v>207</v>
      </c>
      <c r="C160" s="29"/>
      <c r="D160" s="330">
        <v>5</v>
      </c>
      <c r="E160" s="330"/>
      <c r="F160" s="331"/>
    </row>
    <row r="161" spans="1:6">
      <c r="A161" s="98"/>
      <c r="B161" s="19" t="s">
        <v>115</v>
      </c>
      <c r="C161" s="29"/>
      <c r="D161" s="330">
        <v>3</v>
      </c>
      <c r="E161" s="330"/>
      <c r="F161" s="331"/>
    </row>
    <row r="162" spans="1:6">
      <c r="A162" s="98"/>
      <c r="B162" s="19" t="s">
        <v>116</v>
      </c>
      <c r="C162" s="29"/>
      <c r="D162" s="330">
        <v>8</v>
      </c>
      <c r="E162" s="330"/>
      <c r="F162" s="331"/>
    </row>
    <row r="163" spans="1:6" ht="15.75" customHeight="1">
      <c r="A163" s="98"/>
      <c r="B163" s="19" t="s">
        <v>196</v>
      </c>
      <c r="C163" s="29"/>
      <c r="D163" s="330">
        <v>6</v>
      </c>
      <c r="E163" s="330"/>
      <c r="F163" s="331"/>
    </row>
    <row r="164" spans="1:6">
      <c r="A164" s="98"/>
      <c r="B164" s="103" t="s">
        <v>306</v>
      </c>
      <c r="C164" s="29"/>
      <c r="D164" s="330"/>
      <c r="E164" s="330"/>
      <c r="F164" s="331"/>
    </row>
    <row r="165" spans="1:6">
      <c r="A165" s="98"/>
      <c r="B165" s="19" t="s">
        <v>97</v>
      </c>
      <c r="C165" s="29"/>
      <c r="D165" s="330">
        <v>2</v>
      </c>
      <c r="E165" s="330"/>
      <c r="F165" s="331"/>
    </row>
    <row r="166" spans="1:6">
      <c r="A166" s="98"/>
      <c r="B166" s="19" t="s">
        <v>118</v>
      </c>
      <c r="C166" s="29"/>
      <c r="D166" s="330">
        <v>4</v>
      </c>
      <c r="E166" s="330"/>
      <c r="F166" s="331"/>
    </row>
    <row r="167" spans="1:6">
      <c r="A167" s="98"/>
      <c r="B167" s="19" t="s">
        <v>119</v>
      </c>
      <c r="C167" s="29"/>
      <c r="D167" s="330">
        <v>3</v>
      </c>
      <c r="E167" s="330"/>
      <c r="F167" s="331"/>
    </row>
    <row r="168" spans="1:6">
      <c r="A168" s="98"/>
      <c r="B168" s="19" t="s">
        <v>120</v>
      </c>
      <c r="C168" s="29"/>
      <c r="D168" s="330">
        <v>3</v>
      </c>
      <c r="E168" s="330"/>
      <c r="F168" s="331"/>
    </row>
    <row r="169" spans="1:6">
      <c r="A169" s="98"/>
      <c r="B169" s="19" t="s">
        <v>121</v>
      </c>
      <c r="C169" s="29"/>
      <c r="D169" s="330">
        <v>6</v>
      </c>
      <c r="E169" s="330"/>
      <c r="F169" s="331"/>
    </row>
    <row r="170" spans="1:6">
      <c r="A170" s="98"/>
      <c r="B170" s="19" t="s">
        <v>122</v>
      </c>
      <c r="C170" s="29"/>
      <c r="D170" s="330">
        <v>4</v>
      </c>
      <c r="E170" s="330"/>
      <c r="F170" s="331"/>
    </row>
    <row r="171" spans="1:6">
      <c r="A171" s="98"/>
      <c r="B171" s="19" t="s">
        <v>134</v>
      </c>
      <c r="C171" s="29"/>
      <c r="D171" s="330">
        <v>3</v>
      </c>
      <c r="E171" s="330"/>
      <c r="F171" s="331"/>
    </row>
    <row r="172" spans="1:6">
      <c r="A172" s="98"/>
      <c r="B172" s="19" t="s">
        <v>135</v>
      </c>
      <c r="C172" s="29"/>
      <c r="D172" s="330">
        <v>7</v>
      </c>
      <c r="E172" s="330"/>
      <c r="F172" s="331"/>
    </row>
    <row r="173" spans="1:6">
      <c r="A173" s="98"/>
      <c r="B173" s="19" t="s">
        <v>136</v>
      </c>
      <c r="C173" s="29"/>
      <c r="D173" s="330">
        <v>4</v>
      </c>
      <c r="E173" s="330"/>
      <c r="F173" s="331"/>
    </row>
    <row r="174" spans="1:6">
      <c r="A174" s="98"/>
      <c r="B174" s="19" t="s">
        <v>137</v>
      </c>
      <c r="C174" s="29"/>
      <c r="D174" s="330">
        <v>3</v>
      </c>
      <c r="E174" s="330"/>
      <c r="F174" s="331"/>
    </row>
    <row r="175" spans="1:6">
      <c r="A175" s="98"/>
      <c r="B175" s="19" t="s">
        <v>138</v>
      </c>
      <c r="C175" s="29"/>
      <c r="D175" s="330">
        <v>3</v>
      </c>
      <c r="E175" s="330"/>
      <c r="F175" s="331"/>
    </row>
    <row r="176" spans="1:6">
      <c r="A176" s="98"/>
      <c r="B176" s="19" t="s">
        <v>139</v>
      </c>
      <c r="C176" s="29"/>
      <c r="D176" s="330">
        <v>3</v>
      </c>
      <c r="E176" s="330"/>
      <c r="F176" s="331"/>
    </row>
    <row r="177" spans="1:6">
      <c r="A177" s="98"/>
      <c r="B177" s="19" t="s">
        <v>497</v>
      </c>
      <c r="C177" s="29"/>
      <c r="D177" s="330">
        <v>4</v>
      </c>
      <c r="E177" s="330"/>
      <c r="F177" s="331"/>
    </row>
    <row r="178" spans="1:6">
      <c r="A178" s="98"/>
      <c r="B178" s="364" t="s">
        <v>14</v>
      </c>
      <c r="C178" s="364"/>
      <c r="D178" s="364"/>
      <c r="E178" s="364"/>
      <c r="F178" s="195">
        <f>SUM(D151:F177)</f>
        <v>117</v>
      </c>
    </row>
    <row r="179" spans="1:6">
      <c r="A179" s="200"/>
      <c r="B179" s="364" t="s">
        <v>8</v>
      </c>
      <c r="C179" s="364"/>
      <c r="D179" s="364"/>
      <c r="E179" s="364"/>
      <c r="F179" s="195">
        <v>199</v>
      </c>
    </row>
    <row r="180" spans="1:6">
      <c r="A180" s="232" t="str">
        <f>ORÇAMENTO!A32</f>
        <v>4.3</v>
      </c>
      <c r="B180" s="97" t="s">
        <v>415</v>
      </c>
      <c r="C180" s="186" t="s">
        <v>265</v>
      </c>
      <c r="D180" s="334" t="s">
        <v>19</v>
      </c>
      <c r="E180" s="334"/>
      <c r="F180" s="335"/>
    </row>
    <row r="181" spans="1:6">
      <c r="A181" s="98"/>
      <c r="B181" s="327" t="s">
        <v>550</v>
      </c>
      <c r="C181" s="327"/>
      <c r="D181" s="327"/>
      <c r="E181" s="327"/>
      <c r="F181" s="328"/>
    </row>
    <row r="182" spans="1:6">
      <c r="A182" s="98"/>
      <c r="B182" s="180" t="s">
        <v>551</v>
      </c>
      <c r="C182" s="75"/>
      <c r="D182" s="330">
        <v>40</v>
      </c>
      <c r="E182" s="330"/>
      <c r="F182" s="331"/>
    </row>
    <row r="183" spans="1:6">
      <c r="A183" s="98"/>
      <c r="B183" s="180" t="s">
        <v>552</v>
      </c>
      <c r="C183" s="75"/>
      <c r="D183" s="330">
        <v>10</v>
      </c>
      <c r="E183" s="330"/>
      <c r="F183" s="331"/>
    </row>
    <row r="184" spans="1:6">
      <c r="A184" s="98"/>
      <c r="B184" s="364" t="s">
        <v>14</v>
      </c>
      <c r="C184" s="364"/>
      <c r="D184" s="364"/>
      <c r="E184" s="364"/>
      <c r="F184" s="195">
        <f>D182+D183</f>
        <v>50</v>
      </c>
    </row>
    <row r="185" spans="1:6">
      <c r="A185" s="98"/>
      <c r="B185" s="327" t="s">
        <v>563</v>
      </c>
      <c r="C185" s="327"/>
      <c r="D185" s="327"/>
      <c r="E185" s="327"/>
      <c r="F185" s="328"/>
    </row>
    <row r="186" spans="1:6">
      <c r="A186" s="98"/>
      <c r="B186" s="180" t="s">
        <v>416</v>
      </c>
      <c r="C186" s="75"/>
      <c r="D186" s="330">
        <v>30</v>
      </c>
      <c r="E186" s="330"/>
      <c r="F186" s="331"/>
    </row>
    <row r="187" spans="1:6">
      <c r="A187" s="98"/>
      <c r="B187" s="180" t="s">
        <v>417</v>
      </c>
      <c r="C187" s="75"/>
      <c r="D187" s="330">
        <v>35</v>
      </c>
      <c r="E187" s="330"/>
      <c r="F187" s="331"/>
    </row>
    <row r="188" spans="1:6">
      <c r="A188" s="98"/>
      <c r="B188" s="364" t="s">
        <v>14</v>
      </c>
      <c r="C188" s="364"/>
      <c r="D188" s="364"/>
      <c r="E188" s="364"/>
      <c r="F188" s="195">
        <f>D186+D187</f>
        <v>65</v>
      </c>
    </row>
    <row r="189" spans="1:6">
      <c r="A189" s="200"/>
      <c r="B189" s="364" t="s">
        <v>8</v>
      </c>
      <c r="C189" s="364"/>
      <c r="D189" s="364"/>
      <c r="E189" s="364"/>
      <c r="F189" s="195">
        <v>115</v>
      </c>
    </row>
    <row r="190" spans="1:6">
      <c r="A190" s="232" t="str">
        <f>ORÇAMENTO!A33</f>
        <v>4.4</v>
      </c>
      <c r="B190" s="97" t="s">
        <v>538</v>
      </c>
      <c r="C190" s="186" t="s">
        <v>112</v>
      </c>
      <c r="D190" s="334" t="s">
        <v>95</v>
      </c>
      <c r="E190" s="334"/>
      <c r="F190" s="335"/>
    </row>
    <row r="191" spans="1:6">
      <c r="A191" s="200"/>
      <c r="B191" s="409" t="s">
        <v>288</v>
      </c>
      <c r="C191" s="409"/>
      <c r="D191" s="409"/>
      <c r="E191" s="409"/>
      <c r="F191" s="410"/>
    </row>
    <row r="192" spans="1:6">
      <c r="A192" s="200"/>
      <c r="B192" s="37" t="s">
        <v>521</v>
      </c>
      <c r="C192" s="183"/>
      <c r="D192" s="325">
        <v>2</v>
      </c>
      <c r="E192" s="325"/>
      <c r="F192" s="326"/>
    </row>
    <row r="193" spans="1:6">
      <c r="A193" s="200"/>
      <c r="B193" s="409" t="s">
        <v>550</v>
      </c>
      <c r="C193" s="409"/>
      <c r="D193" s="409"/>
      <c r="E193" s="409"/>
      <c r="F193" s="410"/>
    </row>
    <row r="194" spans="1:6">
      <c r="A194" s="200"/>
      <c r="B194" s="37" t="s">
        <v>348</v>
      </c>
      <c r="C194" s="99"/>
      <c r="D194" s="325">
        <v>1</v>
      </c>
      <c r="E194" s="325"/>
      <c r="F194" s="326"/>
    </row>
    <row r="195" spans="1:6">
      <c r="A195" s="200"/>
      <c r="B195" s="329" t="s">
        <v>8</v>
      </c>
      <c r="C195" s="329"/>
      <c r="D195" s="329"/>
      <c r="E195" s="329"/>
      <c r="F195" s="143">
        <v>3</v>
      </c>
    </row>
    <row r="196" spans="1:6">
      <c r="A196" s="232" t="str">
        <f>ORÇAMENTO!A34</f>
        <v>4.5</v>
      </c>
      <c r="B196" s="107" t="s">
        <v>290</v>
      </c>
      <c r="C196" s="92" t="s">
        <v>112</v>
      </c>
      <c r="D196" s="334" t="s">
        <v>95</v>
      </c>
      <c r="E196" s="334"/>
      <c r="F196" s="335"/>
    </row>
    <row r="197" spans="1:6">
      <c r="A197" s="98"/>
      <c r="B197" s="327" t="s">
        <v>288</v>
      </c>
      <c r="C197" s="327"/>
      <c r="D197" s="327"/>
      <c r="E197" s="327"/>
      <c r="F197" s="328"/>
    </row>
    <row r="198" spans="1:6">
      <c r="A198" s="98"/>
      <c r="B198" s="15" t="s">
        <v>522</v>
      </c>
      <c r="C198" s="169"/>
      <c r="D198" s="400">
        <v>1</v>
      </c>
      <c r="E198" s="400"/>
      <c r="F198" s="401"/>
    </row>
    <row r="199" spans="1:6">
      <c r="A199" s="98"/>
      <c r="B199" s="15" t="s">
        <v>523</v>
      </c>
      <c r="C199" s="169"/>
      <c r="D199" s="400">
        <v>1</v>
      </c>
      <c r="E199" s="400"/>
      <c r="F199" s="401"/>
    </row>
    <row r="200" spans="1:6">
      <c r="A200" s="98"/>
      <c r="B200" s="15" t="s">
        <v>524</v>
      </c>
      <c r="C200" s="169"/>
      <c r="D200" s="400">
        <v>1</v>
      </c>
      <c r="E200" s="400"/>
      <c r="F200" s="401"/>
    </row>
    <row r="201" spans="1:6">
      <c r="A201" s="98"/>
      <c r="B201" s="49" t="s">
        <v>546</v>
      </c>
      <c r="C201" s="169"/>
      <c r="D201" s="400">
        <v>1</v>
      </c>
      <c r="E201" s="400"/>
      <c r="F201" s="401"/>
    </row>
    <row r="202" spans="1:6">
      <c r="A202" s="98"/>
      <c r="B202" s="49" t="s">
        <v>545</v>
      </c>
      <c r="C202" s="169"/>
      <c r="D202" s="400">
        <v>1</v>
      </c>
      <c r="E202" s="400"/>
      <c r="F202" s="401"/>
    </row>
    <row r="203" spans="1:6">
      <c r="A203" s="98"/>
      <c r="B203" s="49" t="s">
        <v>525</v>
      </c>
      <c r="C203" s="169"/>
      <c r="D203" s="400">
        <v>1</v>
      </c>
      <c r="E203" s="400"/>
      <c r="F203" s="401"/>
    </row>
    <row r="204" spans="1:6">
      <c r="A204" s="98"/>
      <c r="B204" s="364" t="s">
        <v>14</v>
      </c>
      <c r="C204" s="364"/>
      <c r="D204" s="364"/>
      <c r="E204" s="364"/>
      <c r="F204" s="195">
        <v>6</v>
      </c>
    </row>
    <row r="205" spans="1:6">
      <c r="A205" s="98"/>
      <c r="B205" s="380" t="s">
        <v>550</v>
      </c>
      <c r="C205" s="381"/>
      <c r="D205" s="381"/>
      <c r="E205" s="381"/>
      <c r="F205" s="382"/>
    </row>
    <row r="206" spans="1:6">
      <c r="A206" s="201"/>
      <c r="B206" s="15" t="s">
        <v>516</v>
      </c>
      <c r="C206" s="169"/>
      <c r="D206" s="383">
        <v>1</v>
      </c>
      <c r="E206" s="384"/>
      <c r="F206" s="385"/>
    </row>
    <row r="207" spans="1:6">
      <c r="A207" s="201"/>
      <c r="B207" s="15" t="s">
        <v>98</v>
      </c>
      <c r="C207" s="169"/>
      <c r="D207" s="383">
        <v>2</v>
      </c>
      <c r="E207" s="384"/>
      <c r="F207" s="385"/>
    </row>
    <row r="208" spans="1:6">
      <c r="A208" s="201"/>
      <c r="B208" s="110" t="s">
        <v>518</v>
      </c>
      <c r="C208" s="169"/>
      <c r="D208" s="383">
        <v>1</v>
      </c>
      <c r="E208" s="384"/>
      <c r="F208" s="385"/>
    </row>
    <row r="209" spans="1:6">
      <c r="A209" s="201"/>
      <c r="B209" s="110" t="s">
        <v>519</v>
      </c>
      <c r="C209" s="169"/>
      <c r="D209" s="383">
        <v>1</v>
      </c>
      <c r="E209" s="384"/>
      <c r="F209" s="385"/>
    </row>
    <row r="210" spans="1:6">
      <c r="A210" s="201"/>
      <c r="B210" s="110" t="s">
        <v>97</v>
      </c>
      <c r="C210" s="169"/>
      <c r="D210" s="383">
        <v>1</v>
      </c>
      <c r="E210" s="384"/>
      <c r="F210" s="385"/>
    </row>
    <row r="211" spans="1:6">
      <c r="A211" s="201"/>
      <c r="B211" s="15" t="s">
        <v>202</v>
      </c>
      <c r="C211" s="169"/>
      <c r="D211" s="383">
        <v>1</v>
      </c>
      <c r="E211" s="384"/>
      <c r="F211" s="385"/>
    </row>
    <row r="212" spans="1:6">
      <c r="A212" s="201"/>
      <c r="B212" s="110" t="s">
        <v>118</v>
      </c>
      <c r="C212" s="169"/>
      <c r="D212" s="383">
        <v>1</v>
      </c>
      <c r="E212" s="384"/>
      <c r="F212" s="385"/>
    </row>
    <row r="213" spans="1:6">
      <c r="A213" s="201"/>
      <c r="B213" s="110" t="s">
        <v>119</v>
      </c>
      <c r="C213" s="169"/>
      <c r="D213" s="383">
        <v>1</v>
      </c>
      <c r="E213" s="384"/>
      <c r="F213" s="385"/>
    </row>
    <row r="214" spans="1:6">
      <c r="A214" s="201"/>
      <c r="B214" s="110" t="s">
        <v>120</v>
      </c>
      <c r="C214" s="169"/>
      <c r="D214" s="383">
        <v>1</v>
      </c>
      <c r="E214" s="384"/>
      <c r="F214" s="385"/>
    </row>
    <row r="215" spans="1:6">
      <c r="A215" s="201"/>
      <c r="B215" s="110" t="s">
        <v>662</v>
      </c>
      <c r="C215" s="169"/>
      <c r="D215" s="383">
        <v>1</v>
      </c>
      <c r="E215" s="384"/>
      <c r="F215" s="385"/>
    </row>
    <row r="216" spans="1:6">
      <c r="A216" s="201"/>
      <c r="B216" s="100" t="s">
        <v>514</v>
      </c>
      <c r="C216" s="169"/>
      <c r="D216" s="383">
        <v>1</v>
      </c>
      <c r="E216" s="384"/>
      <c r="F216" s="385"/>
    </row>
    <row r="217" spans="1:6">
      <c r="A217" s="201"/>
      <c r="B217" s="120" t="s">
        <v>664</v>
      </c>
      <c r="C217" s="169"/>
      <c r="D217" s="383">
        <v>1</v>
      </c>
      <c r="E217" s="384"/>
      <c r="F217" s="385"/>
    </row>
    <row r="218" spans="1:6">
      <c r="A218" s="201"/>
      <c r="B218" s="110" t="s">
        <v>665</v>
      </c>
      <c r="C218" s="169"/>
      <c r="D218" s="383">
        <v>1</v>
      </c>
      <c r="E218" s="384"/>
      <c r="F218" s="385"/>
    </row>
    <row r="219" spans="1:6">
      <c r="A219" s="201"/>
      <c r="B219" s="110" t="s">
        <v>666</v>
      </c>
      <c r="C219" s="169"/>
      <c r="D219" s="383">
        <v>1</v>
      </c>
      <c r="E219" s="384"/>
      <c r="F219" s="385"/>
    </row>
    <row r="220" spans="1:6">
      <c r="A220" s="201"/>
      <c r="B220" s="110" t="s">
        <v>513</v>
      </c>
      <c r="C220" s="169"/>
      <c r="D220" s="383">
        <v>1</v>
      </c>
      <c r="E220" s="384"/>
      <c r="F220" s="385"/>
    </row>
    <row r="221" spans="1:6">
      <c r="A221" s="201"/>
      <c r="B221" s="110" t="s">
        <v>512</v>
      </c>
      <c r="C221" s="169"/>
      <c r="D221" s="383">
        <v>1</v>
      </c>
      <c r="E221" s="384"/>
      <c r="F221" s="385"/>
    </row>
    <row r="222" spans="1:6">
      <c r="A222" s="201"/>
      <c r="B222" s="110" t="s">
        <v>511</v>
      </c>
      <c r="C222" s="169"/>
      <c r="D222" s="383">
        <v>1</v>
      </c>
      <c r="E222" s="384"/>
      <c r="F222" s="385"/>
    </row>
    <row r="223" spans="1:6">
      <c r="A223" s="98"/>
      <c r="B223" s="364" t="s">
        <v>14</v>
      </c>
      <c r="C223" s="364"/>
      <c r="D223" s="364"/>
      <c r="E223" s="364"/>
      <c r="F223" s="195">
        <v>18</v>
      </c>
    </row>
    <row r="224" spans="1:6">
      <c r="A224" s="98"/>
      <c r="B224" s="380" t="s">
        <v>563</v>
      </c>
      <c r="C224" s="381"/>
      <c r="D224" s="381"/>
      <c r="E224" s="381"/>
      <c r="F224" s="382"/>
    </row>
    <row r="225" spans="1:6">
      <c r="A225" s="98"/>
      <c r="B225" s="406" t="s">
        <v>291</v>
      </c>
      <c r="C225" s="407"/>
      <c r="D225" s="407"/>
      <c r="E225" s="407"/>
      <c r="F225" s="408"/>
    </row>
    <row r="226" spans="1:6">
      <c r="A226" s="98"/>
      <c r="B226" s="32" t="s">
        <v>199</v>
      </c>
      <c r="C226" s="74"/>
      <c r="D226" s="397">
        <v>1</v>
      </c>
      <c r="E226" s="398"/>
      <c r="F226" s="399"/>
    </row>
    <row r="227" spans="1:6">
      <c r="A227" s="98"/>
      <c r="B227" s="32" t="s">
        <v>98</v>
      </c>
      <c r="C227" s="74"/>
      <c r="D227" s="397">
        <v>1</v>
      </c>
      <c r="E227" s="398"/>
      <c r="F227" s="399"/>
    </row>
    <row r="228" spans="1:6">
      <c r="A228" s="98"/>
      <c r="B228" s="32" t="s">
        <v>202</v>
      </c>
      <c r="C228" s="74"/>
      <c r="D228" s="397">
        <v>1</v>
      </c>
      <c r="E228" s="398"/>
      <c r="F228" s="399"/>
    </row>
    <row r="229" spans="1:6">
      <c r="A229" s="98"/>
      <c r="B229" s="32" t="s">
        <v>411</v>
      </c>
      <c r="C229" s="74"/>
      <c r="D229" s="397">
        <v>1</v>
      </c>
      <c r="E229" s="398"/>
      <c r="F229" s="399"/>
    </row>
    <row r="230" spans="1:6">
      <c r="A230" s="98"/>
      <c r="B230" s="32" t="s">
        <v>207</v>
      </c>
      <c r="C230" s="74"/>
      <c r="D230" s="397">
        <v>1</v>
      </c>
      <c r="E230" s="398"/>
      <c r="F230" s="399"/>
    </row>
    <row r="231" spans="1:6">
      <c r="A231" s="98"/>
      <c r="B231" s="32" t="s">
        <v>412</v>
      </c>
      <c r="C231" s="74"/>
      <c r="D231" s="397">
        <v>1</v>
      </c>
      <c r="E231" s="398"/>
      <c r="F231" s="399"/>
    </row>
    <row r="232" spans="1:6">
      <c r="A232" s="98"/>
      <c r="B232" s="32" t="s">
        <v>151</v>
      </c>
      <c r="C232" s="74"/>
      <c r="D232" s="397">
        <v>1</v>
      </c>
      <c r="E232" s="398"/>
      <c r="F232" s="399"/>
    </row>
    <row r="233" spans="1:6">
      <c r="A233" s="98"/>
      <c r="B233" s="15" t="s">
        <v>114</v>
      </c>
      <c r="C233" s="169"/>
      <c r="D233" s="397">
        <v>1</v>
      </c>
      <c r="E233" s="398"/>
      <c r="F233" s="399"/>
    </row>
    <row r="234" spans="1:6">
      <c r="A234" s="98"/>
      <c r="B234" s="15" t="s">
        <v>48</v>
      </c>
      <c r="C234" s="169"/>
      <c r="D234" s="397">
        <v>1</v>
      </c>
      <c r="E234" s="398"/>
      <c r="F234" s="399"/>
    </row>
    <row r="235" spans="1:6">
      <c r="A235" s="98"/>
      <c r="B235" s="15" t="s">
        <v>217</v>
      </c>
      <c r="C235" s="169"/>
      <c r="D235" s="397">
        <v>1</v>
      </c>
      <c r="E235" s="398"/>
      <c r="F235" s="399"/>
    </row>
    <row r="236" spans="1:6">
      <c r="A236" s="98"/>
      <c r="B236" s="15" t="s">
        <v>117</v>
      </c>
      <c r="C236" s="169"/>
      <c r="D236" s="397">
        <v>1</v>
      </c>
      <c r="E236" s="398"/>
      <c r="F236" s="399"/>
    </row>
    <row r="237" spans="1:6">
      <c r="A237" s="98"/>
      <c r="B237" s="15" t="s">
        <v>292</v>
      </c>
      <c r="C237" s="169"/>
      <c r="D237" s="397">
        <v>2</v>
      </c>
      <c r="E237" s="398"/>
      <c r="F237" s="399"/>
    </row>
    <row r="238" spans="1:6">
      <c r="A238" s="98"/>
      <c r="B238" s="15" t="s">
        <v>116</v>
      </c>
      <c r="C238" s="169"/>
      <c r="D238" s="397">
        <v>1</v>
      </c>
      <c r="E238" s="398"/>
      <c r="F238" s="399"/>
    </row>
    <row r="239" spans="1:6">
      <c r="A239" s="98"/>
      <c r="B239" s="15" t="s">
        <v>413</v>
      </c>
      <c r="C239" s="169"/>
      <c r="D239" s="402">
        <v>1</v>
      </c>
      <c r="E239" s="402"/>
      <c r="F239" s="403"/>
    </row>
    <row r="240" spans="1:6">
      <c r="A240" s="98"/>
      <c r="B240" s="427" t="s">
        <v>239</v>
      </c>
      <c r="C240" s="427"/>
      <c r="D240" s="427"/>
      <c r="E240" s="427"/>
      <c r="F240" s="428"/>
    </row>
    <row r="241" spans="1:6">
      <c r="A241" s="98"/>
      <c r="B241" s="180" t="s">
        <v>97</v>
      </c>
      <c r="C241" s="169"/>
      <c r="D241" s="400">
        <v>1</v>
      </c>
      <c r="E241" s="400"/>
      <c r="F241" s="401"/>
    </row>
    <row r="242" spans="1:6">
      <c r="A242" s="98"/>
      <c r="B242" s="180" t="s">
        <v>118</v>
      </c>
      <c r="C242" s="169"/>
      <c r="D242" s="400">
        <v>1</v>
      </c>
      <c r="E242" s="400"/>
      <c r="F242" s="401"/>
    </row>
    <row r="243" spans="1:6">
      <c r="A243" s="98"/>
      <c r="B243" s="180" t="s">
        <v>119</v>
      </c>
      <c r="C243" s="169"/>
      <c r="D243" s="400">
        <v>1</v>
      </c>
      <c r="E243" s="400"/>
      <c r="F243" s="401"/>
    </row>
    <row r="244" spans="1:6">
      <c r="A244" s="98"/>
      <c r="B244" s="180" t="s">
        <v>120</v>
      </c>
      <c r="C244" s="169"/>
      <c r="D244" s="400">
        <v>1</v>
      </c>
      <c r="E244" s="400"/>
      <c r="F244" s="401"/>
    </row>
    <row r="245" spans="1:6">
      <c r="A245" s="98"/>
      <c r="B245" s="180" t="s">
        <v>121</v>
      </c>
      <c r="C245" s="169"/>
      <c r="D245" s="400">
        <v>1</v>
      </c>
      <c r="E245" s="400"/>
      <c r="F245" s="401"/>
    </row>
    <row r="246" spans="1:6">
      <c r="A246" s="98"/>
      <c r="B246" s="180" t="s">
        <v>122</v>
      </c>
      <c r="C246" s="169"/>
      <c r="D246" s="400">
        <v>1</v>
      </c>
      <c r="E246" s="400"/>
      <c r="F246" s="401"/>
    </row>
    <row r="247" spans="1:6">
      <c r="A247" s="98"/>
      <c r="B247" s="180" t="s">
        <v>134</v>
      </c>
      <c r="C247" s="169"/>
      <c r="D247" s="400">
        <v>1</v>
      </c>
      <c r="E247" s="400"/>
      <c r="F247" s="401"/>
    </row>
    <row r="248" spans="1:6">
      <c r="A248" s="98"/>
      <c r="B248" s="180" t="s">
        <v>135</v>
      </c>
      <c r="C248" s="169"/>
      <c r="D248" s="400">
        <v>1</v>
      </c>
      <c r="E248" s="400"/>
      <c r="F248" s="401"/>
    </row>
    <row r="249" spans="1:6">
      <c r="A249" s="98"/>
      <c r="B249" s="180" t="s">
        <v>136</v>
      </c>
      <c r="C249" s="169"/>
      <c r="D249" s="400">
        <v>1</v>
      </c>
      <c r="E249" s="400"/>
      <c r="F249" s="401"/>
    </row>
    <row r="250" spans="1:6">
      <c r="A250" s="98"/>
      <c r="B250" s="180" t="s">
        <v>137</v>
      </c>
      <c r="C250" s="169"/>
      <c r="D250" s="400">
        <v>1</v>
      </c>
      <c r="E250" s="400"/>
      <c r="F250" s="401"/>
    </row>
    <row r="251" spans="1:6">
      <c r="A251" s="98"/>
      <c r="B251" s="180" t="s">
        <v>139</v>
      </c>
      <c r="C251" s="169"/>
      <c r="D251" s="400">
        <v>1</v>
      </c>
      <c r="E251" s="400"/>
      <c r="F251" s="401"/>
    </row>
    <row r="252" spans="1:6">
      <c r="A252" s="98"/>
      <c r="B252" s="15" t="s">
        <v>98</v>
      </c>
      <c r="C252" s="169"/>
      <c r="D252" s="400">
        <v>1</v>
      </c>
      <c r="E252" s="400"/>
      <c r="F252" s="401"/>
    </row>
    <row r="253" spans="1:6">
      <c r="A253" s="98"/>
      <c r="B253" s="15" t="s">
        <v>414</v>
      </c>
      <c r="C253" s="169"/>
      <c r="D253" s="400">
        <v>1</v>
      </c>
      <c r="E253" s="400"/>
      <c r="F253" s="401"/>
    </row>
    <row r="254" spans="1:6">
      <c r="A254" s="98"/>
      <c r="B254" s="32" t="s">
        <v>123</v>
      </c>
      <c r="C254" s="74"/>
      <c r="D254" s="404">
        <v>1</v>
      </c>
      <c r="E254" s="404"/>
      <c r="F254" s="405"/>
    </row>
    <row r="255" spans="1:6">
      <c r="A255" s="98"/>
      <c r="B255" s="32" t="s">
        <v>412</v>
      </c>
      <c r="C255" s="74"/>
      <c r="D255" s="404">
        <v>1</v>
      </c>
      <c r="E255" s="404"/>
      <c r="F255" s="405"/>
    </row>
    <row r="256" spans="1:6">
      <c r="A256" s="98"/>
      <c r="B256" s="15" t="s">
        <v>202</v>
      </c>
      <c r="C256" s="169"/>
      <c r="D256" s="400">
        <v>1</v>
      </c>
      <c r="E256" s="400"/>
      <c r="F256" s="401"/>
    </row>
    <row r="257" spans="1:6">
      <c r="A257" s="98"/>
      <c r="B257" s="364" t="s">
        <v>14</v>
      </c>
      <c r="C257" s="364"/>
      <c r="D257" s="364"/>
      <c r="E257" s="364"/>
      <c r="F257" s="195">
        <f>D254+D255+D256+D253+D252+D251+D250+D249+D248+D247+D246+D245+D244+D243+D242+D241+D239+D238+D237+D236+D235+D234+D233+D232+D231+D230+D229+D228+D226+D227</f>
        <v>31</v>
      </c>
    </row>
    <row r="258" spans="1:6">
      <c r="A258" s="98"/>
      <c r="B258" s="364" t="s">
        <v>8</v>
      </c>
      <c r="C258" s="364"/>
      <c r="D258" s="364"/>
      <c r="E258" s="364"/>
      <c r="F258" s="195">
        <v>55</v>
      </c>
    </row>
    <row r="259" spans="1:6">
      <c r="A259" s="232" t="str">
        <f>ORÇAMENTO!A35</f>
        <v>4.6</v>
      </c>
      <c r="B259" s="107" t="s">
        <v>293</v>
      </c>
      <c r="C259" s="92" t="s">
        <v>112</v>
      </c>
      <c r="D259" s="334" t="s">
        <v>95</v>
      </c>
      <c r="E259" s="334"/>
      <c r="F259" s="335"/>
    </row>
    <row r="260" spans="1:6">
      <c r="A260" s="98"/>
      <c r="B260" s="327" t="s">
        <v>288</v>
      </c>
      <c r="C260" s="327"/>
      <c r="D260" s="327"/>
      <c r="E260" s="327"/>
      <c r="F260" s="328"/>
    </row>
    <row r="261" spans="1:6">
      <c r="A261" s="98"/>
      <c r="B261" s="180" t="s">
        <v>527</v>
      </c>
      <c r="C261" s="169"/>
      <c r="D261" s="400">
        <v>1</v>
      </c>
      <c r="E261" s="400"/>
      <c r="F261" s="401"/>
    </row>
    <row r="262" spans="1:6">
      <c r="A262" s="98"/>
      <c r="B262" s="327" t="s">
        <v>550</v>
      </c>
      <c r="C262" s="327"/>
      <c r="D262" s="327"/>
      <c r="E262" s="327"/>
      <c r="F262" s="328"/>
    </row>
    <row r="263" spans="1:6">
      <c r="A263" s="98"/>
      <c r="B263" s="15" t="s">
        <v>553</v>
      </c>
      <c r="C263" s="169"/>
      <c r="D263" s="330">
        <v>1</v>
      </c>
      <c r="E263" s="330"/>
      <c r="F263" s="331"/>
    </row>
    <row r="264" spans="1:6">
      <c r="A264" s="98"/>
      <c r="B264" s="15" t="s">
        <v>554</v>
      </c>
      <c r="C264" s="169"/>
      <c r="D264" s="330">
        <v>1</v>
      </c>
      <c r="E264" s="330"/>
      <c r="F264" s="331"/>
    </row>
    <row r="265" spans="1:6">
      <c r="A265" s="98"/>
      <c r="B265" s="327" t="s">
        <v>563</v>
      </c>
      <c r="C265" s="327"/>
      <c r="D265" s="327"/>
      <c r="E265" s="327"/>
      <c r="F265" s="328"/>
    </row>
    <row r="266" spans="1:6">
      <c r="A266" s="98"/>
      <c r="B266" s="180" t="s">
        <v>196</v>
      </c>
      <c r="C266" s="169"/>
      <c r="D266" s="400">
        <v>1</v>
      </c>
      <c r="E266" s="400"/>
      <c r="F266" s="401"/>
    </row>
    <row r="267" spans="1:6">
      <c r="A267" s="98"/>
      <c r="B267" s="180" t="s">
        <v>113</v>
      </c>
      <c r="C267" s="169"/>
      <c r="D267" s="400">
        <v>1</v>
      </c>
      <c r="E267" s="400"/>
      <c r="F267" s="401"/>
    </row>
    <row r="268" spans="1:6">
      <c r="A268" s="98"/>
      <c r="B268" s="180" t="s">
        <v>348</v>
      </c>
      <c r="C268" s="169"/>
      <c r="D268" s="400">
        <v>1</v>
      </c>
      <c r="E268" s="400"/>
      <c r="F268" s="401"/>
    </row>
    <row r="269" spans="1:6">
      <c r="A269" s="98"/>
      <c r="B269" s="364" t="s">
        <v>8</v>
      </c>
      <c r="C269" s="364"/>
      <c r="D269" s="364"/>
      <c r="E269" s="364"/>
      <c r="F269" s="195">
        <v>6</v>
      </c>
    </row>
    <row r="270" spans="1:6" ht="17.25" customHeight="1">
      <c r="A270" s="232" t="str">
        <f>ORÇAMENTO!A36</f>
        <v>4.7</v>
      </c>
      <c r="B270" s="107" t="s">
        <v>529</v>
      </c>
      <c r="C270" s="92" t="s">
        <v>112</v>
      </c>
      <c r="D270" s="334" t="s">
        <v>95</v>
      </c>
      <c r="E270" s="334"/>
      <c r="F270" s="335"/>
    </row>
    <row r="271" spans="1:6" ht="17.25" customHeight="1">
      <c r="A271" s="98"/>
      <c r="B271" s="327" t="s">
        <v>550</v>
      </c>
      <c r="C271" s="327"/>
      <c r="D271" s="327"/>
      <c r="E271" s="327"/>
      <c r="F271" s="328"/>
    </row>
    <row r="272" spans="1:6" ht="17.25" customHeight="1">
      <c r="A272" s="98"/>
      <c r="B272" s="15" t="s">
        <v>121</v>
      </c>
      <c r="C272" s="169"/>
      <c r="D272" s="330">
        <v>1</v>
      </c>
      <c r="E272" s="330"/>
      <c r="F272" s="331"/>
    </row>
    <row r="273" spans="1:6" ht="17.25" customHeight="1">
      <c r="A273" s="98"/>
      <c r="B273" s="327" t="s">
        <v>288</v>
      </c>
      <c r="C273" s="327"/>
      <c r="D273" s="327"/>
      <c r="E273" s="327"/>
      <c r="F273" s="328"/>
    </row>
    <row r="274" spans="1:6">
      <c r="A274" s="98"/>
      <c r="B274" s="180" t="s">
        <v>530</v>
      </c>
      <c r="C274" s="169"/>
      <c r="D274" s="400">
        <v>1</v>
      </c>
      <c r="E274" s="400"/>
      <c r="F274" s="401"/>
    </row>
    <row r="275" spans="1:6">
      <c r="A275" s="98"/>
      <c r="B275" s="49" t="s">
        <v>521</v>
      </c>
      <c r="C275" s="169"/>
      <c r="D275" s="400">
        <v>1</v>
      </c>
      <c r="E275" s="400"/>
      <c r="F275" s="401"/>
    </row>
    <row r="276" spans="1:6">
      <c r="A276" s="98"/>
      <c r="B276" s="180" t="s">
        <v>543</v>
      </c>
      <c r="C276" s="169"/>
      <c r="D276" s="400">
        <v>1</v>
      </c>
      <c r="E276" s="400"/>
      <c r="F276" s="401"/>
    </row>
    <row r="277" spans="1:6">
      <c r="A277" s="98"/>
      <c r="B277" s="364" t="s">
        <v>8</v>
      </c>
      <c r="C277" s="364"/>
      <c r="D277" s="364"/>
      <c r="E277" s="364"/>
      <c r="F277" s="195">
        <v>4</v>
      </c>
    </row>
    <row r="278" spans="1:6">
      <c r="A278" s="232" t="str">
        <f>ORÇAMENTO!A37</f>
        <v>4.8</v>
      </c>
      <c r="B278" s="97" t="s">
        <v>133</v>
      </c>
      <c r="C278" s="186" t="s">
        <v>112</v>
      </c>
      <c r="D278" s="334" t="s">
        <v>95</v>
      </c>
      <c r="E278" s="334"/>
      <c r="F278" s="335"/>
    </row>
    <row r="279" spans="1:6">
      <c r="A279" s="98"/>
      <c r="B279" s="327" t="s">
        <v>288</v>
      </c>
      <c r="C279" s="327"/>
      <c r="D279" s="327"/>
      <c r="E279" s="327"/>
      <c r="F279" s="328"/>
    </row>
    <row r="280" spans="1:6">
      <c r="A280" s="98"/>
      <c r="B280" s="49" t="s">
        <v>546</v>
      </c>
      <c r="C280" s="24"/>
      <c r="D280" s="378">
        <v>2</v>
      </c>
      <c r="E280" s="378"/>
      <c r="F280" s="379"/>
    </row>
    <row r="281" spans="1:6">
      <c r="A281" s="98"/>
      <c r="B281" s="49" t="s">
        <v>527</v>
      </c>
      <c r="C281" s="24"/>
      <c r="D281" s="378">
        <v>2</v>
      </c>
      <c r="E281" s="378"/>
      <c r="F281" s="379"/>
    </row>
    <row r="282" spans="1:6">
      <c r="A282" s="98"/>
      <c r="B282" s="49" t="s">
        <v>549</v>
      </c>
      <c r="C282" s="24"/>
      <c r="D282" s="378">
        <v>4</v>
      </c>
      <c r="E282" s="378"/>
      <c r="F282" s="379"/>
    </row>
    <row r="283" spans="1:6">
      <c r="A283" s="98"/>
      <c r="B283" s="364" t="s">
        <v>14</v>
      </c>
      <c r="C283" s="364"/>
      <c r="D283" s="364"/>
      <c r="E283" s="364"/>
      <c r="F283" s="195">
        <v>8</v>
      </c>
    </row>
    <row r="284" spans="1:6">
      <c r="A284" s="98"/>
      <c r="B284" s="327" t="s">
        <v>550</v>
      </c>
      <c r="C284" s="327"/>
      <c r="D284" s="327"/>
      <c r="E284" s="327"/>
      <c r="F284" s="328"/>
    </row>
    <row r="285" spans="1:6">
      <c r="A285" s="98"/>
      <c r="B285" s="19" t="s">
        <v>571</v>
      </c>
      <c r="C285" s="24"/>
      <c r="D285" s="330">
        <v>8</v>
      </c>
      <c r="E285" s="330"/>
      <c r="F285" s="331"/>
    </row>
    <row r="286" spans="1:6">
      <c r="A286" s="201"/>
      <c r="B286" s="15" t="s">
        <v>667</v>
      </c>
      <c r="C286" s="101"/>
      <c r="D286" s="351">
        <v>4</v>
      </c>
      <c r="E286" s="351"/>
      <c r="F286" s="352"/>
    </row>
    <row r="287" spans="1:6">
      <c r="A287" s="201"/>
      <c r="B287" s="15" t="s">
        <v>668</v>
      </c>
      <c r="C287" s="101"/>
      <c r="D287" s="351">
        <v>2</v>
      </c>
      <c r="E287" s="351"/>
      <c r="F287" s="352"/>
    </row>
    <row r="288" spans="1:6">
      <c r="A288" s="201"/>
      <c r="B288" s="15" t="s">
        <v>669</v>
      </c>
      <c r="C288" s="101"/>
      <c r="D288" s="351">
        <v>2</v>
      </c>
      <c r="E288" s="351"/>
      <c r="F288" s="352"/>
    </row>
    <row r="289" spans="1:6">
      <c r="A289" s="201"/>
      <c r="B289" s="15" t="s">
        <v>513</v>
      </c>
      <c r="C289" s="101"/>
      <c r="D289" s="351">
        <v>4</v>
      </c>
      <c r="E289" s="351"/>
      <c r="F289" s="352"/>
    </row>
    <row r="290" spans="1:6">
      <c r="A290" s="201"/>
      <c r="B290" s="15" t="s">
        <v>512</v>
      </c>
      <c r="C290" s="101"/>
      <c r="D290" s="351">
        <v>2</v>
      </c>
      <c r="E290" s="351"/>
      <c r="F290" s="352"/>
    </row>
    <row r="291" spans="1:6">
      <c r="A291" s="201"/>
      <c r="B291" s="15" t="s">
        <v>511</v>
      </c>
      <c r="C291" s="101"/>
      <c r="D291" s="351">
        <v>2</v>
      </c>
      <c r="E291" s="351"/>
      <c r="F291" s="352"/>
    </row>
    <row r="292" spans="1:6">
      <c r="A292" s="201"/>
      <c r="B292" s="15" t="s">
        <v>414</v>
      </c>
      <c r="C292" s="101"/>
      <c r="D292" s="375">
        <v>8</v>
      </c>
      <c r="E292" s="376"/>
      <c r="F292" s="377"/>
    </row>
    <row r="293" spans="1:6">
      <c r="A293" s="201"/>
      <c r="B293" s="15" t="s">
        <v>348</v>
      </c>
      <c r="C293" s="101"/>
      <c r="D293" s="351">
        <v>13</v>
      </c>
      <c r="E293" s="351"/>
      <c r="F293" s="352"/>
    </row>
    <row r="294" spans="1:6">
      <c r="A294" s="201"/>
      <c r="B294" s="15" t="s">
        <v>555</v>
      </c>
      <c r="C294" s="101"/>
      <c r="D294" s="351">
        <v>8</v>
      </c>
      <c r="E294" s="351"/>
      <c r="F294" s="352"/>
    </row>
    <row r="295" spans="1:6">
      <c r="A295" s="98"/>
      <c r="B295" s="364" t="s">
        <v>14</v>
      </c>
      <c r="C295" s="364"/>
      <c r="D295" s="364"/>
      <c r="E295" s="364"/>
      <c r="F295" s="195">
        <v>53</v>
      </c>
    </row>
    <row r="296" spans="1:6">
      <c r="A296" s="98"/>
      <c r="B296" s="327" t="s">
        <v>563</v>
      </c>
      <c r="C296" s="327"/>
      <c r="D296" s="327"/>
      <c r="E296" s="327"/>
      <c r="F296" s="328"/>
    </row>
    <row r="297" spans="1:6">
      <c r="A297" s="98"/>
      <c r="B297" s="19" t="s">
        <v>150</v>
      </c>
      <c r="C297" s="24"/>
      <c r="D297" s="330">
        <v>30</v>
      </c>
      <c r="E297" s="330"/>
      <c r="F297" s="331"/>
    </row>
    <row r="298" spans="1:6">
      <c r="A298" s="98"/>
      <c r="B298" s="49" t="s">
        <v>146</v>
      </c>
      <c r="C298" s="50"/>
      <c r="D298" s="378">
        <v>1</v>
      </c>
      <c r="E298" s="378"/>
      <c r="F298" s="379"/>
    </row>
    <row r="299" spans="1:6">
      <c r="A299" s="98"/>
      <c r="B299" s="49" t="s">
        <v>149</v>
      </c>
      <c r="C299" s="50"/>
      <c r="D299" s="378">
        <v>2</v>
      </c>
      <c r="E299" s="378"/>
      <c r="F299" s="379"/>
    </row>
    <row r="300" spans="1:6">
      <c r="A300" s="98"/>
      <c r="B300" s="19" t="s">
        <v>140</v>
      </c>
      <c r="C300" s="24"/>
      <c r="D300" s="330">
        <v>10</v>
      </c>
      <c r="E300" s="330"/>
      <c r="F300" s="331"/>
    </row>
    <row r="301" spans="1:6">
      <c r="A301" s="98"/>
      <c r="B301" s="19" t="s">
        <v>147</v>
      </c>
      <c r="C301" s="24"/>
      <c r="D301" s="330">
        <v>2</v>
      </c>
      <c r="E301" s="330"/>
      <c r="F301" s="331"/>
    </row>
    <row r="302" spans="1:6">
      <c r="A302" s="98"/>
      <c r="B302" s="19" t="s">
        <v>207</v>
      </c>
      <c r="C302" s="24"/>
      <c r="D302" s="330">
        <v>4</v>
      </c>
      <c r="E302" s="330"/>
      <c r="F302" s="331"/>
    </row>
    <row r="303" spans="1:6">
      <c r="A303" s="98"/>
      <c r="B303" s="19" t="s">
        <v>148</v>
      </c>
      <c r="C303" s="24"/>
      <c r="D303" s="330">
        <v>22</v>
      </c>
      <c r="E303" s="330"/>
      <c r="F303" s="331"/>
    </row>
    <row r="304" spans="1:6">
      <c r="A304" s="98"/>
      <c r="B304" s="19" t="s">
        <v>572</v>
      </c>
      <c r="C304" s="24"/>
      <c r="D304" s="330">
        <v>48</v>
      </c>
      <c r="E304" s="330"/>
      <c r="F304" s="331"/>
    </row>
    <row r="305" spans="1:6">
      <c r="A305" s="98"/>
      <c r="B305" s="19" t="s">
        <v>191</v>
      </c>
      <c r="C305" s="24"/>
      <c r="D305" s="378">
        <v>21</v>
      </c>
      <c r="E305" s="378"/>
      <c r="F305" s="379"/>
    </row>
    <row r="306" spans="1:6">
      <c r="A306" s="98"/>
      <c r="B306" s="19" t="s">
        <v>199</v>
      </c>
      <c r="C306" s="24"/>
      <c r="D306" s="378">
        <v>20</v>
      </c>
      <c r="E306" s="378"/>
      <c r="F306" s="379"/>
    </row>
    <row r="307" spans="1:6">
      <c r="A307" s="98"/>
      <c r="B307" s="19" t="s">
        <v>508</v>
      </c>
      <c r="C307" s="24"/>
      <c r="D307" s="378">
        <v>9</v>
      </c>
      <c r="E307" s="378"/>
      <c r="F307" s="379"/>
    </row>
    <row r="308" spans="1:6">
      <c r="A308" s="98"/>
      <c r="B308" s="19" t="s">
        <v>348</v>
      </c>
      <c r="C308" s="24"/>
      <c r="D308" s="378">
        <v>4</v>
      </c>
      <c r="E308" s="378"/>
      <c r="F308" s="379"/>
    </row>
    <row r="309" spans="1:6">
      <c r="A309" s="98"/>
      <c r="B309" s="49" t="s">
        <v>98</v>
      </c>
      <c r="C309" s="24"/>
      <c r="D309" s="378">
        <v>3</v>
      </c>
      <c r="E309" s="378"/>
      <c r="F309" s="379"/>
    </row>
    <row r="310" spans="1:6">
      <c r="A310" s="98"/>
      <c r="B310" s="364" t="s">
        <v>14</v>
      </c>
      <c r="C310" s="364"/>
      <c r="D310" s="364"/>
      <c r="E310" s="364"/>
      <c r="F310" s="195">
        <f>D307+D308+D309+D306+D305+D304+D303+D302+D301+D300+D299+D298+D297</f>
        <v>176</v>
      </c>
    </row>
    <row r="311" spans="1:6">
      <c r="A311" s="98"/>
      <c r="B311" s="364" t="s">
        <v>8</v>
      </c>
      <c r="C311" s="364"/>
      <c r="D311" s="364"/>
      <c r="E311" s="364"/>
      <c r="F311" s="195">
        <v>237</v>
      </c>
    </row>
    <row r="312" spans="1:6">
      <c r="A312" s="232" t="str">
        <f>ORÇAMENTO!A38</f>
        <v>4.9</v>
      </c>
      <c r="B312" s="97" t="s">
        <v>109</v>
      </c>
      <c r="C312" s="186" t="s">
        <v>112</v>
      </c>
      <c r="D312" s="334" t="s">
        <v>95</v>
      </c>
      <c r="E312" s="334"/>
      <c r="F312" s="335"/>
    </row>
    <row r="313" spans="1:6">
      <c r="A313" s="98"/>
      <c r="B313" s="380" t="s">
        <v>288</v>
      </c>
      <c r="C313" s="381"/>
      <c r="D313" s="381"/>
      <c r="E313" s="381"/>
      <c r="F313" s="382"/>
    </row>
    <row r="314" spans="1:6">
      <c r="A314" s="98"/>
      <c r="B314" s="19" t="s">
        <v>530</v>
      </c>
      <c r="C314" s="24"/>
      <c r="D314" s="330">
        <v>1</v>
      </c>
      <c r="E314" s="330"/>
      <c r="F314" s="331"/>
    </row>
    <row r="315" spans="1:6">
      <c r="A315" s="98"/>
      <c r="B315" s="19" t="s">
        <v>524</v>
      </c>
      <c r="C315" s="24"/>
      <c r="D315" s="330">
        <v>2</v>
      </c>
      <c r="E315" s="330"/>
      <c r="F315" s="331"/>
    </row>
    <row r="316" spans="1:6">
      <c r="A316" s="98"/>
      <c r="B316" s="19" t="s">
        <v>543</v>
      </c>
      <c r="C316" s="24"/>
      <c r="D316" s="330">
        <v>1</v>
      </c>
      <c r="E316" s="330"/>
      <c r="F316" s="331"/>
    </row>
    <row r="317" spans="1:6">
      <c r="A317" s="98"/>
      <c r="B317" s="364" t="s">
        <v>14</v>
      </c>
      <c r="C317" s="364"/>
      <c r="D317" s="364"/>
      <c r="E317" s="364"/>
      <c r="F317" s="195">
        <f>D314+D315+D316</f>
        <v>4</v>
      </c>
    </row>
    <row r="318" spans="1:6">
      <c r="A318" s="98"/>
      <c r="B318" s="380" t="s">
        <v>550</v>
      </c>
      <c r="C318" s="381"/>
      <c r="D318" s="381"/>
      <c r="E318" s="381"/>
      <c r="F318" s="382"/>
    </row>
    <row r="319" spans="1:6">
      <c r="A319" s="201"/>
      <c r="B319" s="110" t="s">
        <v>667</v>
      </c>
      <c r="C319" s="101"/>
      <c r="D319" s="375">
        <v>4</v>
      </c>
      <c r="E319" s="376"/>
      <c r="F319" s="377"/>
    </row>
    <row r="320" spans="1:6">
      <c r="A320" s="201"/>
      <c r="B320" s="15" t="s">
        <v>98</v>
      </c>
      <c r="C320" s="101"/>
      <c r="D320" s="375">
        <v>2</v>
      </c>
      <c r="E320" s="376"/>
      <c r="F320" s="377"/>
    </row>
    <row r="321" spans="1:6">
      <c r="A321" s="201"/>
      <c r="B321" s="110" t="s">
        <v>97</v>
      </c>
      <c r="C321" s="101"/>
      <c r="D321" s="375">
        <v>4</v>
      </c>
      <c r="E321" s="376"/>
      <c r="F321" s="377"/>
    </row>
    <row r="322" spans="1:6">
      <c r="A322" s="201"/>
      <c r="B322" s="15" t="s">
        <v>202</v>
      </c>
      <c r="C322" s="101"/>
      <c r="D322" s="375">
        <v>2</v>
      </c>
      <c r="E322" s="376"/>
      <c r="F322" s="377"/>
    </row>
    <row r="323" spans="1:6">
      <c r="A323" s="201"/>
      <c r="B323" s="110" t="s">
        <v>118</v>
      </c>
      <c r="C323" s="101"/>
      <c r="D323" s="375">
        <v>2</v>
      </c>
      <c r="E323" s="376"/>
      <c r="F323" s="377"/>
    </row>
    <row r="324" spans="1:6">
      <c r="A324" s="201"/>
      <c r="B324" s="110" t="s">
        <v>119</v>
      </c>
      <c r="C324" s="101"/>
      <c r="D324" s="375">
        <v>4</v>
      </c>
      <c r="E324" s="376"/>
      <c r="F324" s="377"/>
    </row>
    <row r="325" spans="1:6">
      <c r="A325" s="201"/>
      <c r="B325" s="110" t="s">
        <v>120</v>
      </c>
      <c r="C325" s="101"/>
      <c r="D325" s="375">
        <v>8</v>
      </c>
      <c r="E325" s="376"/>
      <c r="F325" s="377"/>
    </row>
    <row r="326" spans="1:6">
      <c r="A326" s="201"/>
      <c r="B326" s="100" t="s">
        <v>670</v>
      </c>
      <c r="C326" s="101"/>
      <c r="D326" s="375">
        <v>7</v>
      </c>
      <c r="E326" s="376"/>
      <c r="F326" s="377"/>
    </row>
    <row r="327" spans="1:6">
      <c r="A327" s="201"/>
      <c r="B327" s="120" t="s">
        <v>671</v>
      </c>
      <c r="C327" s="101"/>
      <c r="D327" s="375">
        <v>26</v>
      </c>
      <c r="E327" s="376"/>
      <c r="F327" s="377"/>
    </row>
    <row r="328" spans="1:6">
      <c r="A328" s="201"/>
      <c r="B328" s="100" t="s">
        <v>515</v>
      </c>
      <c r="C328" s="101"/>
      <c r="D328" s="375">
        <v>2</v>
      </c>
      <c r="E328" s="376"/>
      <c r="F328" s="377"/>
    </row>
    <row r="329" spans="1:6">
      <c r="A329" s="201"/>
      <c r="B329" s="100" t="s">
        <v>514</v>
      </c>
      <c r="C329" s="101"/>
      <c r="D329" s="375">
        <v>1</v>
      </c>
      <c r="E329" s="376"/>
      <c r="F329" s="377"/>
    </row>
    <row r="330" spans="1:6">
      <c r="A330" s="201"/>
      <c r="B330" s="110" t="s">
        <v>554</v>
      </c>
      <c r="C330" s="101"/>
      <c r="D330" s="375">
        <v>25</v>
      </c>
      <c r="E330" s="376"/>
      <c r="F330" s="377"/>
    </row>
    <row r="331" spans="1:6">
      <c r="A331" s="201"/>
      <c r="B331" s="110" t="s">
        <v>121</v>
      </c>
      <c r="C331" s="101"/>
      <c r="D331" s="375">
        <v>5</v>
      </c>
      <c r="E331" s="376"/>
      <c r="F331" s="377"/>
    </row>
    <row r="332" spans="1:6">
      <c r="A332" s="98"/>
      <c r="B332" s="364" t="s">
        <v>14</v>
      </c>
      <c r="C332" s="364"/>
      <c r="D332" s="364"/>
      <c r="E332" s="364"/>
      <c r="F332" s="195">
        <f>SUM(D319:F331)</f>
        <v>92</v>
      </c>
    </row>
    <row r="333" spans="1:6">
      <c r="A333" s="98"/>
      <c r="B333" s="409" t="s">
        <v>563</v>
      </c>
      <c r="C333" s="409"/>
      <c r="D333" s="409"/>
      <c r="E333" s="409"/>
      <c r="F333" s="410"/>
    </row>
    <row r="334" spans="1:6">
      <c r="A334" s="98"/>
      <c r="B334" s="19" t="s">
        <v>202</v>
      </c>
      <c r="C334" s="24"/>
      <c r="D334" s="330">
        <v>2</v>
      </c>
      <c r="E334" s="330"/>
      <c r="F334" s="331"/>
    </row>
    <row r="335" spans="1:6">
      <c r="A335" s="98"/>
      <c r="B335" s="19" t="s">
        <v>48</v>
      </c>
      <c r="C335" s="24"/>
      <c r="D335" s="330">
        <v>1</v>
      </c>
      <c r="E335" s="330"/>
      <c r="F335" s="331"/>
    </row>
    <row r="336" spans="1:6">
      <c r="A336" s="98"/>
      <c r="B336" s="19" t="s">
        <v>113</v>
      </c>
      <c r="C336" s="24"/>
      <c r="D336" s="330">
        <v>8</v>
      </c>
      <c r="E336" s="330"/>
      <c r="F336" s="331"/>
    </row>
    <row r="337" spans="1:6">
      <c r="A337" s="98"/>
      <c r="B337" s="19" t="s">
        <v>114</v>
      </c>
      <c r="C337" s="24"/>
      <c r="D337" s="330">
        <v>8</v>
      </c>
      <c r="E337" s="330"/>
      <c r="F337" s="331"/>
    </row>
    <row r="338" spans="1:6">
      <c r="A338" s="98"/>
      <c r="B338" s="19" t="s">
        <v>217</v>
      </c>
      <c r="C338" s="24"/>
      <c r="D338" s="330">
        <v>6</v>
      </c>
      <c r="E338" s="330"/>
      <c r="F338" s="331"/>
    </row>
    <row r="339" spans="1:6">
      <c r="A339" s="98"/>
      <c r="B339" s="19" t="s">
        <v>115</v>
      </c>
      <c r="C339" s="24"/>
      <c r="D339" s="330">
        <v>12</v>
      </c>
      <c r="E339" s="330"/>
      <c r="F339" s="331"/>
    </row>
    <row r="340" spans="1:6">
      <c r="A340" s="98"/>
      <c r="B340" s="19" t="s">
        <v>116</v>
      </c>
      <c r="C340" s="24"/>
      <c r="D340" s="330">
        <v>16</v>
      </c>
      <c r="E340" s="330"/>
      <c r="F340" s="331"/>
    </row>
    <row r="341" spans="1:6">
      <c r="A341" s="98"/>
      <c r="B341" s="19" t="s">
        <v>196</v>
      </c>
      <c r="C341" s="24"/>
      <c r="D341" s="330">
        <v>12</v>
      </c>
      <c r="E341" s="330"/>
      <c r="F341" s="331"/>
    </row>
    <row r="342" spans="1:6">
      <c r="A342" s="98"/>
      <c r="B342" s="19" t="s">
        <v>117</v>
      </c>
      <c r="C342" s="24"/>
      <c r="D342" s="330">
        <v>7</v>
      </c>
      <c r="E342" s="330"/>
      <c r="F342" s="331"/>
    </row>
    <row r="343" spans="1:6">
      <c r="A343" s="98"/>
      <c r="B343" s="49" t="s">
        <v>151</v>
      </c>
      <c r="C343" s="50"/>
      <c r="D343" s="378">
        <v>1</v>
      </c>
      <c r="E343" s="378"/>
      <c r="F343" s="379"/>
    </row>
    <row r="344" spans="1:6">
      <c r="A344" s="98"/>
      <c r="B344" s="49" t="s">
        <v>207</v>
      </c>
      <c r="C344" s="50"/>
      <c r="D344" s="378">
        <v>10</v>
      </c>
      <c r="E344" s="378"/>
      <c r="F344" s="379"/>
    </row>
    <row r="345" spans="1:6">
      <c r="A345" s="98"/>
      <c r="B345" s="19" t="s">
        <v>97</v>
      </c>
      <c r="C345" s="24"/>
      <c r="D345" s="330">
        <v>4</v>
      </c>
      <c r="E345" s="330"/>
      <c r="F345" s="331"/>
    </row>
    <row r="346" spans="1:6">
      <c r="A346" s="98"/>
      <c r="B346" s="19" t="s">
        <v>118</v>
      </c>
      <c r="C346" s="24"/>
      <c r="D346" s="330">
        <v>7</v>
      </c>
      <c r="E346" s="330"/>
      <c r="F346" s="331"/>
    </row>
    <row r="347" spans="1:6">
      <c r="A347" s="98"/>
      <c r="B347" s="19" t="s">
        <v>119</v>
      </c>
      <c r="C347" s="24"/>
      <c r="D347" s="330">
        <v>6</v>
      </c>
      <c r="E347" s="330"/>
      <c r="F347" s="331"/>
    </row>
    <row r="348" spans="1:6">
      <c r="A348" s="98"/>
      <c r="B348" s="19" t="s">
        <v>120</v>
      </c>
      <c r="C348" s="24"/>
      <c r="D348" s="330">
        <v>7</v>
      </c>
      <c r="E348" s="330"/>
      <c r="F348" s="331"/>
    </row>
    <row r="349" spans="1:6">
      <c r="A349" s="98"/>
      <c r="B349" s="19" t="s">
        <v>121</v>
      </c>
      <c r="C349" s="24"/>
      <c r="D349" s="330">
        <v>15</v>
      </c>
      <c r="E349" s="330"/>
      <c r="F349" s="331"/>
    </row>
    <row r="350" spans="1:6">
      <c r="A350" s="98"/>
      <c r="B350" s="19" t="s">
        <v>122</v>
      </c>
      <c r="C350" s="24"/>
      <c r="D350" s="330">
        <v>8</v>
      </c>
      <c r="E350" s="330"/>
      <c r="F350" s="331"/>
    </row>
    <row r="351" spans="1:6">
      <c r="A351" s="98"/>
      <c r="B351" s="19" t="s">
        <v>134</v>
      </c>
      <c r="C351" s="24"/>
      <c r="D351" s="330">
        <v>5</v>
      </c>
      <c r="E351" s="330"/>
      <c r="F351" s="331"/>
    </row>
    <row r="352" spans="1:6">
      <c r="A352" s="98"/>
      <c r="B352" s="19" t="s">
        <v>135</v>
      </c>
      <c r="C352" s="24"/>
      <c r="D352" s="330">
        <v>14</v>
      </c>
      <c r="E352" s="330"/>
      <c r="F352" s="331"/>
    </row>
    <row r="353" spans="1:6">
      <c r="A353" s="98"/>
      <c r="B353" s="19" t="s">
        <v>136</v>
      </c>
      <c r="C353" s="24"/>
      <c r="D353" s="330">
        <v>8</v>
      </c>
      <c r="E353" s="330"/>
      <c r="F353" s="331"/>
    </row>
    <row r="354" spans="1:6">
      <c r="A354" s="98"/>
      <c r="B354" s="19" t="s">
        <v>137</v>
      </c>
      <c r="C354" s="24"/>
      <c r="D354" s="330">
        <v>7</v>
      </c>
      <c r="E354" s="330"/>
      <c r="F354" s="331"/>
    </row>
    <row r="355" spans="1:6">
      <c r="A355" s="98"/>
      <c r="B355" s="19" t="s">
        <v>138</v>
      </c>
      <c r="C355" s="24"/>
      <c r="D355" s="330">
        <v>6</v>
      </c>
      <c r="E355" s="330"/>
      <c r="F355" s="331"/>
    </row>
    <row r="356" spans="1:6">
      <c r="A356" s="98"/>
      <c r="B356" s="19" t="s">
        <v>139</v>
      </c>
      <c r="C356" s="24"/>
      <c r="D356" s="330">
        <v>7</v>
      </c>
      <c r="E356" s="330"/>
      <c r="F356" s="331"/>
    </row>
    <row r="357" spans="1:6">
      <c r="A357" s="98"/>
      <c r="B357" s="19" t="s">
        <v>123</v>
      </c>
      <c r="C357" s="24"/>
      <c r="D357" s="330">
        <v>8</v>
      </c>
      <c r="E357" s="330"/>
      <c r="F357" s="331"/>
    </row>
    <row r="358" spans="1:6">
      <c r="A358" s="98"/>
      <c r="B358" s="364" t="s">
        <v>14</v>
      </c>
      <c r="C358" s="364"/>
      <c r="D358" s="364"/>
      <c r="E358" s="364"/>
      <c r="F358" s="195">
        <f>SUM(D334:F357)</f>
        <v>185</v>
      </c>
    </row>
    <row r="359" spans="1:6">
      <c r="A359" s="98"/>
      <c r="B359" s="329" t="s">
        <v>8</v>
      </c>
      <c r="C359" s="329"/>
      <c r="D359" s="329"/>
      <c r="E359" s="329"/>
      <c r="F359" s="143">
        <v>281</v>
      </c>
    </row>
    <row r="360" spans="1:6">
      <c r="A360" s="232" t="str">
        <f>ORÇAMENTO!A39</f>
        <v>4.10</v>
      </c>
      <c r="B360" s="97" t="s">
        <v>143</v>
      </c>
      <c r="C360" s="186" t="s">
        <v>112</v>
      </c>
      <c r="D360" s="334" t="s">
        <v>95</v>
      </c>
      <c r="E360" s="334"/>
      <c r="F360" s="335"/>
    </row>
    <row r="361" spans="1:6">
      <c r="A361" s="98"/>
      <c r="B361" s="409" t="s">
        <v>550</v>
      </c>
      <c r="C361" s="409"/>
      <c r="D361" s="409"/>
      <c r="E361" s="409"/>
      <c r="F361" s="410"/>
    </row>
    <row r="362" spans="1:6">
      <c r="A362" s="201"/>
      <c r="B362" s="19" t="s">
        <v>555</v>
      </c>
      <c r="C362" s="40"/>
      <c r="D362" s="330">
        <v>6</v>
      </c>
      <c r="E362" s="330"/>
      <c r="F362" s="331"/>
    </row>
    <row r="363" spans="1:6">
      <c r="A363" s="98"/>
      <c r="B363" s="409" t="s">
        <v>563</v>
      </c>
      <c r="C363" s="409"/>
      <c r="D363" s="409"/>
      <c r="E363" s="409"/>
      <c r="F363" s="410"/>
    </row>
    <row r="364" spans="1:6">
      <c r="A364" s="98"/>
      <c r="B364" s="19" t="s">
        <v>152</v>
      </c>
      <c r="C364" s="40"/>
      <c r="D364" s="330">
        <v>4</v>
      </c>
      <c r="E364" s="330"/>
      <c r="F364" s="331"/>
    </row>
    <row r="365" spans="1:6">
      <c r="A365" s="98"/>
      <c r="B365" s="19" t="s">
        <v>573</v>
      </c>
      <c r="C365" s="40"/>
      <c r="D365" s="330">
        <f>12+3</f>
        <v>15</v>
      </c>
      <c r="E365" s="330"/>
      <c r="F365" s="331"/>
    </row>
    <row r="366" spans="1:6">
      <c r="A366" s="98"/>
      <c r="B366" s="19" t="s">
        <v>1010</v>
      </c>
      <c r="C366" s="40"/>
      <c r="D366" s="330">
        <v>1</v>
      </c>
      <c r="E366" s="330"/>
      <c r="F366" s="331"/>
    </row>
    <row r="367" spans="1:6">
      <c r="A367" s="98"/>
      <c r="B367" s="329" t="s">
        <v>8</v>
      </c>
      <c r="C367" s="329"/>
      <c r="D367" s="329"/>
      <c r="E367" s="329"/>
      <c r="F367" s="143">
        <v>26</v>
      </c>
    </row>
    <row r="368" spans="1:6">
      <c r="A368" s="232" t="str">
        <f>ORÇAMENTO!A40</f>
        <v>4.11</v>
      </c>
      <c r="B368" s="97" t="s">
        <v>130</v>
      </c>
      <c r="C368" s="186" t="s">
        <v>112</v>
      </c>
      <c r="D368" s="334" t="s">
        <v>95</v>
      </c>
      <c r="E368" s="334"/>
      <c r="F368" s="335"/>
    </row>
    <row r="369" spans="1:6">
      <c r="A369" s="98"/>
      <c r="B369" s="409" t="s">
        <v>288</v>
      </c>
      <c r="C369" s="409"/>
      <c r="D369" s="409"/>
      <c r="E369" s="409"/>
      <c r="F369" s="410"/>
    </row>
    <row r="370" spans="1:6">
      <c r="A370" s="98"/>
      <c r="B370" s="37" t="s">
        <v>196</v>
      </c>
      <c r="C370" s="130"/>
      <c r="D370" s="325">
        <v>4</v>
      </c>
      <c r="E370" s="325"/>
      <c r="F370" s="326"/>
    </row>
    <row r="371" spans="1:6">
      <c r="A371" s="98"/>
      <c r="B371" s="37" t="s">
        <v>116</v>
      </c>
      <c r="C371" s="130"/>
      <c r="D371" s="325">
        <v>2</v>
      </c>
      <c r="E371" s="325"/>
      <c r="F371" s="326"/>
    </row>
    <row r="372" spans="1:6">
      <c r="A372" s="98"/>
      <c r="B372" s="37" t="s">
        <v>521</v>
      </c>
      <c r="C372" s="130"/>
      <c r="D372" s="325">
        <v>2</v>
      </c>
      <c r="E372" s="325"/>
      <c r="F372" s="326"/>
    </row>
    <row r="373" spans="1:6">
      <c r="A373" s="98"/>
      <c r="B373" s="409" t="s">
        <v>550</v>
      </c>
      <c r="C373" s="409"/>
      <c r="D373" s="409"/>
      <c r="E373" s="409"/>
      <c r="F373" s="410"/>
    </row>
    <row r="374" spans="1:6">
      <c r="A374" s="98"/>
      <c r="B374" s="37" t="s">
        <v>120</v>
      </c>
      <c r="C374" s="99"/>
      <c r="D374" s="325">
        <v>3</v>
      </c>
      <c r="E374" s="325"/>
      <c r="F374" s="326"/>
    </row>
    <row r="375" spans="1:6">
      <c r="A375" s="98"/>
      <c r="B375" s="409" t="s">
        <v>563</v>
      </c>
      <c r="C375" s="409"/>
      <c r="D375" s="409"/>
      <c r="E375" s="409"/>
      <c r="F375" s="410"/>
    </row>
    <row r="376" spans="1:6">
      <c r="A376" s="98"/>
      <c r="B376" s="37" t="s">
        <v>118</v>
      </c>
      <c r="C376" s="130"/>
      <c r="D376" s="325">
        <v>2</v>
      </c>
      <c r="E376" s="325"/>
      <c r="F376" s="326"/>
    </row>
    <row r="377" spans="1:6">
      <c r="A377" s="98"/>
      <c r="B377" s="37" t="s">
        <v>119</v>
      </c>
      <c r="C377" s="130"/>
      <c r="D377" s="325">
        <v>2</v>
      </c>
      <c r="E377" s="325"/>
      <c r="F377" s="326"/>
    </row>
    <row r="378" spans="1:6">
      <c r="A378" s="98"/>
      <c r="B378" s="37" t="s">
        <v>120</v>
      </c>
      <c r="C378" s="130"/>
      <c r="D378" s="325">
        <v>1</v>
      </c>
      <c r="E378" s="325"/>
      <c r="F378" s="326"/>
    </row>
    <row r="379" spans="1:6">
      <c r="A379" s="98"/>
      <c r="B379" s="37" t="s">
        <v>121</v>
      </c>
      <c r="C379" s="130"/>
      <c r="D379" s="325">
        <v>2</v>
      </c>
      <c r="E379" s="325"/>
      <c r="F379" s="326"/>
    </row>
    <row r="380" spans="1:6">
      <c r="A380" s="98"/>
      <c r="B380" s="37" t="s">
        <v>135</v>
      </c>
      <c r="C380" s="130"/>
      <c r="D380" s="325">
        <v>3</v>
      </c>
      <c r="E380" s="325"/>
      <c r="F380" s="326"/>
    </row>
    <row r="381" spans="1:6">
      <c r="A381" s="98"/>
      <c r="B381" s="37" t="s">
        <v>136</v>
      </c>
      <c r="C381" s="130"/>
      <c r="D381" s="325">
        <v>5</v>
      </c>
      <c r="E381" s="325"/>
      <c r="F381" s="326"/>
    </row>
    <row r="382" spans="1:6">
      <c r="A382" s="98"/>
      <c r="B382" s="37" t="s">
        <v>138</v>
      </c>
      <c r="C382" s="130"/>
      <c r="D382" s="325">
        <v>2</v>
      </c>
      <c r="E382" s="325"/>
      <c r="F382" s="326"/>
    </row>
    <row r="383" spans="1:6">
      <c r="A383" s="98"/>
      <c r="B383" s="37" t="s">
        <v>139</v>
      </c>
      <c r="C383" s="130"/>
      <c r="D383" s="325">
        <v>4</v>
      </c>
      <c r="E383" s="325"/>
      <c r="F383" s="326"/>
    </row>
    <row r="384" spans="1:6">
      <c r="A384" s="98"/>
      <c r="B384" s="329" t="s">
        <v>8</v>
      </c>
      <c r="C384" s="329"/>
      <c r="D384" s="329"/>
      <c r="E384" s="329"/>
      <c r="F384" s="143">
        <v>32</v>
      </c>
    </row>
    <row r="385" spans="1:6">
      <c r="A385" s="232" t="str">
        <f>ORÇAMENTO!A41</f>
        <v>4.12</v>
      </c>
      <c r="B385" s="97" t="s">
        <v>261</v>
      </c>
      <c r="C385" s="186" t="s">
        <v>265</v>
      </c>
      <c r="D385" s="425" t="s">
        <v>19</v>
      </c>
      <c r="E385" s="425"/>
      <c r="F385" s="426"/>
    </row>
    <row r="386" spans="1:6">
      <c r="A386" s="98"/>
      <c r="B386" s="37" t="s">
        <v>288</v>
      </c>
      <c r="C386" s="16"/>
      <c r="D386" s="325">
        <v>50</v>
      </c>
      <c r="E386" s="325"/>
      <c r="F386" s="326"/>
    </row>
    <row r="387" spans="1:6">
      <c r="A387" s="98"/>
      <c r="B387" s="37" t="s">
        <v>550</v>
      </c>
      <c r="C387" s="16"/>
      <c r="D387" s="325">
        <v>50</v>
      </c>
      <c r="E387" s="325"/>
      <c r="F387" s="326"/>
    </row>
    <row r="388" spans="1:6">
      <c r="A388" s="98"/>
      <c r="B388" s="329" t="s">
        <v>8</v>
      </c>
      <c r="C388" s="329"/>
      <c r="D388" s="329"/>
      <c r="E388" s="329"/>
      <c r="F388" s="143">
        <v>100</v>
      </c>
    </row>
    <row r="389" spans="1:6">
      <c r="A389" s="232" t="str">
        <f>ORÇAMENTO!A42</f>
        <v>4.13</v>
      </c>
      <c r="B389" s="97" t="s">
        <v>1042</v>
      </c>
      <c r="C389" s="186" t="s">
        <v>112</v>
      </c>
      <c r="D389" s="334" t="s">
        <v>95</v>
      </c>
      <c r="E389" s="334"/>
      <c r="F389" s="335"/>
    </row>
    <row r="390" spans="1:6">
      <c r="A390" s="98"/>
      <c r="B390" s="409" t="s">
        <v>288</v>
      </c>
      <c r="C390" s="409"/>
      <c r="D390" s="409"/>
      <c r="E390" s="409"/>
      <c r="F390" s="410"/>
    </row>
    <row r="391" spans="1:6">
      <c r="A391" s="98"/>
      <c r="B391" s="15" t="s">
        <v>530</v>
      </c>
      <c r="C391" s="79"/>
      <c r="D391" s="325">
        <v>3</v>
      </c>
      <c r="E391" s="325"/>
      <c r="F391" s="326"/>
    </row>
    <row r="392" spans="1:6">
      <c r="A392" s="98"/>
      <c r="B392" s="15" t="s">
        <v>522</v>
      </c>
      <c r="C392" s="79"/>
      <c r="D392" s="325">
        <v>3</v>
      </c>
      <c r="E392" s="325"/>
      <c r="F392" s="326"/>
    </row>
    <row r="393" spans="1:6">
      <c r="A393" s="98"/>
      <c r="B393" s="15" t="s">
        <v>523</v>
      </c>
      <c r="C393" s="79"/>
      <c r="D393" s="325">
        <v>2</v>
      </c>
      <c r="E393" s="325"/>
      <c r="F393" s="326"/>
    </row>
    <row r="394" spans="1:6">
      <c r="A394" s="98"/>
      <c r="B394" s="15" t="s">
        <v>524</v>
      </c>
      <c r="C394" s="79"/>
      <c r="D394" s="325">
        <v>2</v>
      </c>
      <c r="E394" s="325"/>
      <c r="F394" s="326"/>
    </row>
    <row r="395" spans="1:6">
      <c r="A395" s="98"/>
      <c r="B395" s="15" t="s">
        <v>521</v>
      </c>
      <c r="C395" s="79"/>
      <c r="D395" s="325">
        <v>1</v>
      </c>
      <c r="E395" s="325"/>
      <c r="F395" s="326"/>
    </row>
    <row r="396" spans="1:6">
      <c r="A396" s="98"/>
      <c r="B396" s="15" t="s">
        <v>543</v>
      </c>
      <c r="C396" s="79"/>
      <c r="D396" s="325">
        <v>1</v>
      </c>
      <c r="E396" s="325"/>
      <c r="F396" s="326"/>
    </row>
    <row r="397" spans="1:6">
      <c r="A397" s="98"/>
      <c r="B397" s="15" t="s">
        <v>525</v>
      </c>
      <c r="C397" s="79"/>
      <c r="D397" s="325">
        <v>1</v>
      </c>
      <c r="E397" s="325"/>
      <c r="F397" s="326"/>
    </row>
    <row r="398" spans="1:6">
      <c r="A398" s="98"/>
      <c r="B398" s="15" t="s">
        <v>549</v>
      </c>
      <c r="C398" s="79"/>
      <c r="D398" s="325">
        <v>2</v>
      </c>
      <c r="E398" s="325"/>
      <c r="F398" s="326"/>
    </row>
    <row r="399" spans="1:6">
      <c r="A399" s="98"/>
      <c r="B399" s="364" t="s">
        <v>14</v>
      </c>
      <c r="C399" s="364"/>
      <c r="D399" s="364"/>
      <c r="E399" s="364"/>
      <c r="F399" s="195">
        <f>SUM(D391:F398)</f>
        <v>15</v>
      </c>
    </row>
    <row r="400" spans="1:6">
      <c r="A400" s="98"/>
      <c r="B400" s="327" t="s">
        <v>550</v>
      </c>
      <c r="C400" s="327"/>
      <c r="D400" s="327"/>
      <c r="E400" s="327"/>
      <c r="F400" s="328"/>
    </row>
    <row r="401" spans="1:6">
      <c r="A401" s="201"/>
      <c r="B401" s="15" t="s">
        <v>667</v>
      </c>
      <c r="C401" s="130"/>
      <c r="D401" s="325">
        <v>11</v>
      </c>
      <c r="E401" s="325"/>
      <c r="F401" s="326"/>
    </row>
    <row r="402" spans="1:6">
      <c r="A402" s="201"/>
      <c r="B402" s="15" t="s">
        <v>97</v>
      </c>
      <c r="C402" s="130"/>
      <c r="D402" s="325">
        <v>3</v>
      </c>
      <c r="E402" s="325"/>
      <c r="F402" s="326"/>
    </row>
    <row r="403" spans="1:6">
      <c r="A403" s="201"/>
      <c r="B403" s="15" t="s">
        <v>118</v>
      </c>
      <c r="C403" s="130"/>
      <c r="D403" s="325">
        <v>3</v>
      </c>
      <c r="E403" s="325"/>
      <c r="F403" s="326"/>
    </row>
    <row r="404" spans="1:6">
      <c r="A404" s="201"/>
      <c r="B404" s="15" t="s">
        <v>119</v>
      </c>
      <c r="C404" s="130"/>
      <c r="D404" s="325">
        <v>3</v>
      </c>
      <c r="E404" s="325"/>
      <c r="F404" s="326"/>
    </row>
    <row r="405" spans="1:6">
      <c r="A405" s="201"/>
      <c r="B405" s="15" t="s">
        <v>120</v>
      </c>
      <c r="C405" s="130"/>
      <c r="D405" s="325">
        <v>3</v>
      </c>
      <c r="E405" s="325"/>
      <c r="F405" s="326"/>
    </row>
    <row r="406" spans="1:6">
      <c r="A406" s="201"/>
      <c r="B406" s="15" t="s">
        <v>662</v>
      </c>
      <c r="C406" s="130"/>
      <c r="D406" s="325">
        <v>3</v>
      </c>
      <c r="E406" s="325"/>
      <c r="F406" s="326"/>
    </row>
    <row r="407" spans="1:6">
      <c r="A407" s="201"/>
      <c r="B407" s="100" t="s">
        <v>553</v>
      </c>
      <c r="C407" s="130"/>
      <c r="D407" s="325">
        <v>4</v>
      </c>
      <c r="E407" s="325"/>
      <c r="F407" s="326"/>
    </row>
    <row r="408" spans="1:6">
      <c r="A408" s="201"/>
      <c r="B408" s="15" t="s">
        <v>121</v>
      </c>
      <c r="C408" s="130"/>
      <c r="D408" s="325">
        <v>3</v>
      </c>
      <c r="E408" s="325"/>
      <c r="F408" s="326"/>
    </row>
    <row r="409" spans="1:6">
      <c r="A409" s="98"/>
      <c r="B409" s="364" t="s">
        <v>14</v>
      </c>
      <c r="C409" s="364"/>
      <c r="D409" s="364"/>
      <c r="E409" s="364"/>
      <c r="F409" s="195">
        <f>SUM(D401:F408)</f>
        <v>33</v>
      </c>
    </row>
    <row r="410" spans="1:6">
      <c r="A410" s="98"/>
      <c r="B410" s="327" t="s">
        <v>563</v>
      </c>
      <c r="C410" s="327"/>
      <c r="D410" s="327"/>
      <c r="E410" s="327"/>
      <c r="F410" s="328"/>
    </row>
    <row r="411" spans="1:6">
      <c r="A411" s="98"/>
      <c r="B411" s="423" t="s">
        <v>291</v>
      </c>
      <c r="C411" s="423"/>
      <c r="D411" s="423"/>
      <c r="E411" s="423"/>
      <c r="F411" s="424"/>
    </row>
    <row r="412" spans="1:6">
      <c r="A412" s="98"/>
      <c r="B412" s="32" t="s">
        <v>199</v>
      </c>
      <c r="C412" s="29"/>
      <c r="D412" s="325">
        <v>8</v>
      </c>
      <c r="E412" s="325"/>
      <c r="F412" s="326"/>
    </row>
    <row r="413" spans="1:6">
      <c r="A413" s="98"/>
      <c r="B413" s="32" t="s">
        <v>202</v>
      </c>
      <c r="C413" s="79"/>
      <c r="D413" s="325">
        <v>1</v>
      </c>
      <c r="E413" s="325"/>
      <c r="F413" s="326"/>
    </row>
    <row r="414" spans="1:6">
      <c r="A414" s="98"/>
      <c r="B414" s="32" t="s">
        <v>411</v>
      </c>
      <c r="C414" s="79"/>
      <c r="D414" s="325">
        <v>1</v>
      </c>
      <c r="E414" s="325"/>
      <c r="F414" s="326"/>
    </row>
    <row r="415" spans="1:6">
      <c r="A415" s="98"/>
      <c r="B415" s="32" t="s">
        <v>207</v>
      </c>
      <c r="C415" s="79"/>
      <c r="D415" s="325">
        <v>1</v>
      </c>
      <c r="E415" s="325"/>
      <c r="F415" s="326"/>
    </row>
    <row r="416" spans="1:6">
      <c r="A416" s="98"/>
      <c r="B416" s="32" t="s">
        <v>151</v>
      </c>
      <c r="C416" s="79"/>
      <c r="D416" s="325">
        <v>1</v>
      </c>
      <c r="E416" s="325"/>
      <c r="F416" s="326"/>
    </row>
    <row r="417" spans="1:6">
      <c r="A417" s="98"/>
      <c r="B417" s="32" t="s">
        <v>348</v>
      </c>
      <c r="C417" s="79"/>
      <c r="D417" s="325">
        <v>2</v>
      </c>
      <c r="E417" s="325"/>
      <c r="F417" s="326"/>
    </row>
    <row r="418" spans="1:6">
      <c r="A418" s="98"/>
      <c r="B418" s="15" t="s">
        <v>114</v>
      </c>
      <c r="C418" s="79"/>
      <c r="D418" s="325">
        <v>2</v>
      </c>
      <c r="E418" s="325"/>
      <c r="F418" s="326"/>
    </row>
    <row r="419" spans="1:6">
      <c r="A419" s="98"/>
      <c r="B419" s="15" t="s">
        <v>48</v>
      </c>
      <c r="C419" s="79"/>
      <c r="D419" s="325">
        <v>2</v>
      </c>
      <c r="E419" s="325"/>
      <c r="F419" s="326"/>
    </row>
    <row r="420" spans="1:6">
      <c r="A420" s="98"/>
      <c r="B420" s="32" t="s">
        <v>217</v>
      </c>
      <c r="C420" s="80"/>
      <c r="D420" s="332">
        <v>3</v>
      </c>
      <c r="E420" s="332"/>
      <c r="F420" s="333"/>
    </row>
    <row r="421" spans="1:6">
      <c r="A421" s="98"/>
      <c r="B421" s="32" t="s">
        <v>117</v>
      </c>
      <c r="C421" s="80"/>
      <c r="D421" s="332">
        <v>2</v>
      </c>
      <c r="E421" s="332"/>
      <c r="F421" s="333"/>
    </row>
    <row r="422" spans="1:6">
      <c r="A422" s="98"/>
      <c r="B422" s="32" t="s">
        <v>116</v>
      </c>
      <c r="C422" s="80"/>
      <c r="D422" s="332">
        <v>29</v>
      </c>
      <c r="E422" s="332"/>
      <c r="F422" s="333"/>
    </row>
    <row r="423" spans="1:6">
      <c r="A423" s="98"/>
      <c r="B423" s="32" t="s">
        <v>115</v>
      </c>
      <c r="C423" s="80"/>
      <c r="D423" s="332">
        <v>6</v>
      </c>
      <c r="E423" s="332"/>
      <c r="F423" s="333"/>
    </row>
    <row r="424" spans="1:6">
      <c r="A424" s="98"/>
      <c r="B424" s="32" t="s">
        <v>413</v>
      </c>
      <c r="C424" s="80"/>
      <c r="D424" s="332">
        <v>1</v>
      </c>
      <c r="E424" s="332"/>
      <c r="F424" s="333"/>
    </row>
    <row r="425" spans="1:6">
      <c r="A425" s="98"/>
      <c r="B425" s="32" t="s">
        <v>196</v>
      </c>
      <c r="C425" s="80"/>
      <c r="D425" s="332">
        <v>20</v>
      </c>
      <c r="E425" s="332"/>
      <c r="F425" s="333"/>
    </row>
    <row r="426" spans="1:6">
      <c r="A426" s="98"/>
      <c r="B426" s="32" t="s">
        <v>113</v>
      </c>
      <c r="C426" s="80"/>
      <c r="D426" s="332">
        <v>4</v>
      </c>
      <c r="E426" s="332"/>
      <c r="F426" s="333"/>
    </row>
    <row r="427" spans="1:6">
      <c r="A427" s="98"/>
      <c r="B427" s="32" t="s">
        <v>152</v>
      </c>
      <c r="C427" s="80"/>
      <c r="D427" s="332">
        <v>5</v>
      </c>
      <c r="E427" s="332"/>
      <c r="F427" s="333"/>
    </row>
    <row r="428" spans="1:6">
      <c r="A428" s="98"/>
      <c r="B428" s="423" t="s">
        <v>239</v>
      </c>
      <c r="C428" s="423"/>
      <c r="D428" s="423"/>
      <c r="E428" s="423"/>
      <c r="F428" s="424"/>
    </row>
    <row r="429" spans="1:6">
      <c r="A429" s="98"/>
      <c r="B429" s="182" t="s">
        <v>97</v>
      </c>
      <c r="C429" s="80"/>
      <c r="D429" s="332">
        <v>2</v>
      </c>
      <c r="E429" s="332"/>
      <c r="F429" s="333"/>
    </row>
    <row r="430" spans="1:6">
      <c r="A430" s="98"/>
      <c r="B430" s="182" t="s">
        <v>118</v>
      </c>
      <c r="C430" s="80"/>
      <c r="D430" s="332">
        <v>3</v>
      </c>
      <c r="E430" s="332"/>
      <c r="F430" s="333"/>
    </row>
    <row r="431" spans="1:6">
      <c r="A431" s="98"/>
      <c r="B431" s="182" t="s">
        <v>119</v>
      </c>
      <c r="C431" s="80"/>
      <c r="D431" s="332">
        <v>3</v>
      </c>
      <c r="E431" s="332"/>
      <c r="F431" s="333"/>
    </row>
    <row r="432" spans="1:6">
      <c r="A432" s="98"/>
      <c r="B432" s="180" t="s">
        <v>120</v>
      </c>
      <c r="C432" s="79"/>
      <c r="D432" s="325">
        <v>3</v>
      </c>
      <c r="E432" s="325"/>
      <c r="F432" s="326"/>
    </row>
    <row r="433" spans="1:6">
      <c r="A433" s="98"/>
      <c r="B433" s="180" t="s">
        <v>121</v>
      </c>
      <c r="C433" s="79"/>
      <c r="D433" s="325">
        <v>3</v>
      </c>
      <c r="E433" s="325"/>
      <c r="F433" s="326"/>
    </row>
    <row r="434" spans="1:6">
      <c r="A434" s="98"/>
      <c r="B434" s="180" t="s">
        <v>122</v>
      </c>
      <c r="C434" s="79"/>
      <c r="D434" s="325">
        <v>3</v>
      </c>
      <c r="E434" s="325"/>
      <c r="F434" s="326"/>
    </row>
    <row r="435" spans="1:6">
      <c r="A435" s="98"/>
      <c r="B435" s="180" t="s">
        <v>134</v>
      </c>
      <c r="C435" s="79"/>
      <c r="D435" s="325">
        <v>3</v>
      </c>
      <c r="E435" s="325"/>
      <c r="F435" s="326"/>
    </row>
    <row r="436" spans="1:6">
      <c r="A436" s="98"/>
      <c r="B436" s="180" t="s">
        <v>135</v>
      </c>
      <c r="C436" s="79"/>
      <c r="D436" s="325">
        <v>3</v>
      </c>
      <c r="E436" s="325"/>
      <c r="F436" s="326"/>
    </row>
    <row r="437" spans="1:6">
      <c r="A437" s="98"/>
      <c r="B437" s="180" t="s">
        <v>136</v>
      </c>
      <c r="C437" s="79"/>
      <c r="D437" s="325">
        <v>2</v>
      </c>
      <c r="E437" s="325"/>
      <c r="F437" s="326"/>
    </row>
    <row r="438" spans="1:6">
      <c r="A438" s="98"/>
      <c r="B438" s="180" t="s">
        <v>137</v>
      </c>
      <c r="C438" s="79"/>
      <c r="D438" s="325">
        <v>3</v>
      </c>
      <c r="E438" s="325"/>
      <c r="F438" s="326"/>
    </row>
    <row r="439" spans="1:6">
      <c r="A439" s="98"/>
      <c r="B439" s="180" t="s">
        <v>138</v>
      </c>
      <c r="C439" s="79"/>
      <c r="D439" s="325">
        <v>3</v>
      </c>
      <c r="E439" s="325"/>
      <c r="F439" s="326"/>
    </row>
    <row r="440" spans="1:6">
      <c r="A440" s="98"/>
      <c r="B440" s="180" t="s">
        <v>139</v>
      </c>
      <c r="C440" s="79"/>
      <c r="D440" s="325">
        <v>3</v>
      </c>
      <c r="E440" s="325"/>
      <c r="F440" s="326"/>
    </row>
    <row r="441" spans="1:6">
      <c r="A441" s="98"/>
      <c r="B441" s="15" t="s">
        <v>98</v>
      </c>
      <c r="C441" s="79"/>
      <c r="D441" s="325">
        <v>3</v>
      </c>
      <c r="E441" s="325"/>
      <c r="F441" s="326"/>
    </row>
    <row r="442" spans="1:6">
      <c r="A442" s="98"/>
      <c r="B442" s="32" t="s">
        <v>123</v>
      </c>
      <c r="C442" s="79"/>
      <c r="D442" s="325">
        <v>4</v>
      </c>
      <c r="E442" s="325"/>
      <c r="F442" s="326"/>
    </row>
    <row r="443" spans="1:6">
      <c r="A443" s="98"/>
      <c r="B443" s="15" t="s">
        <v>202</v>
      </c>
      <c r="C443" s="79"/>
      <c r="D443" s="325">
        <v>1</v>
      </c>
      <c r="E443" s="325"/>
      <c r="F443" s="326"/>
    </row>
    <row r="444" spans="1:6">
      <c r="A444" s="98"/>
      <c r="B444" s="364" t="s">
        <v>14</v>
      </c>
      <c r="C444" s="364"/>
      <c r="D444" s="364"/>
      <c r="E444" s="364"/>
      <c r="F444" s="195">
        <f>D412+D413+D414+D415+D416+D417+D418+D419+D420+D421+D422+D423+D424+D425+D426+D429+D430+D431+D432+D433+D434+D435+D436+D437+D438+D439+D440+D441+D442+D443+D427</f>
        <v>130</v>
      </c>
    </row>
    <row r="445" spans="1:6">
      <c r="A445" s="14"/>
      <c r="B445" s="329" t="s">
        <v>8</v>
      </c>
      <c r="C445" s="329"/>
      <c r="D445" s="329"/>
      <c r="E445" s="329"/>
      <c r="F445" s="143">
        <v>178</v>
      </c>
    </row>
    <row r="446" spans="1:6">
      <c r="A446" s="232" t="str">
        <f>ORÇAMENTO!A43</f>
        <v>4.14</v>
      </c>
      <c r="B446" s="122" t="str">
        <f>ORÇAMENTO!D43</f>
        <v>TOMADA 3P+T 30A/440V SEM PLACA</v>
      </c>
      <c r="C446" s="123" t="s">
        <v>112</v>
      </c>
      <c r="D446" s="429" t="s">
        <v>95</v>
      </c>
      <c r="E446" s="429"/>
      <c r="F446" s="430"/>
    </row>
    <row r="447" spans="1:6">
      <c r="A447" s="202"/>
      <c r="B447" s="380" t="s">
        <v>550</v>
      </c>
      <c r="C447" s="381"/>
      <c r="D447" s="381"/>
      <c r="E447" s="381"/>
      <c r="F447" s="382"/>
    </row>
    <row r="448" spans="1:6">
      <c r="A448" s="202"/>
      <c r="B448" s="103" t="s">
        <v>667</v>
      </c>
      <c r="C448" s="173"/>
      <c r="D448" s="325">
        <v>3</v>
      </c>
      <c r="E448" s="325"/>
      <c r="F448" s="326"/>
    </row>
    <row r="449" spans="1:6">
      <c r="A449" s="202"/>
      <c r="B449" s="103" t="s">
        <v>97</v>
      </c>
      <c r="C449" s="173"/>
      <c r="D449" s="325">
        <v>1</v>
      </c>
      <c r="E449" s="325"/>
      <c r="F449" s="326"/>
    </row>
    <row r="450" spans="1:6">
      <c r="A450" s="202"/>
      <c r="B450" s="103" t="s">
        <v>121</v>
      </c>
      <c r="C450" s="173"/>
      <c r="D450" s="325">
        <v>1</v>
      </c>
      <c r="E450" s="325"/>
      <c r="F450" s="326"/>
    </row>
    <row r="451" spans="1:6">
      <c r="A451" s="202"/>
      <c r="B451" s="329" t="s">
        <v>8</v>
      </c>
      <c r="C451" s="329"/>
      <c r="D451" s="329"/>
      <c r="E451" s="329"/>
      <c r="F451" s="143">
        <v>5</v>
      </c>
    </row>
    <row r="452" spans="1:6">
      <c r="A452" s="190">
        <v>5</v>
      </c>
      <c r="B452" s="336" t="s">
        <v>177</v>
      </c>
      <c r="C452" s="336"/>
      <c r="D452" s="336"/>
      <c r="E452" s="336"/>
      <c r="F452" s="337"/>
    </row>
    <row r="453" spans="1:6">
      <c r="A453" s="232" t="str">
        <f>ORÇAMENTO!A47</f>
        <v>5.1</v>
      </c>
      <c r="B453" s="97" t="s">
        <v>275</v>
      </c>
      <c r="C453" s="186" t="s">
        <v>112</v>
      </c>
      <c r="D453" s="334" t="s">
        <v>95</v>
      </c>
      <c r="E453" s="334"/>
      <c r="F453" s="335"/>
    </row>
    <row r="454" spans="1:6" ht="12.75" customHeight="1">
      <c r="A454" s="203"/>
      <c r="B454" s="380" t="s">
        <v>550</v>
      </c>
      <c r="C454" s="381"/>
      <c r="D454" s="381"/>
      <c r="E454" s="381"/>
      <c r="F454" s="382"/>
    </row>
    <row r="455" spans="1:6" ht="12.75" customHeight="1">
      <c r="A455" s="203"/>
      <c r="B455" s="53" t="s">
        <v>518</v>
      </c>
      <c r="C455" s="177"/>
      <c r="D455" s="349">
        <v>1</v>
      </c>
      <c r="E455" s="349"/>
      <c r="F455" s="350"/>
    </row>
    <row r="456" spans="1:6" ht="12.75" customHeight="1">
      <c r="A456" s="203"/>
      <c r="B456" s="53" t="s">
        <v>519</v>
      </c>
      <c r="C456" s="177"/>
      <c r="D456" s="349">
        <v>1</v>
      </c>
      <c r="E456" s="349"/>
      <c r="F456" s="350"/>
    </row>
    <row r="457" spans="1:6">
      <c r="A457" s="203"/>
      <c r="B457" s="53" t="s">
        <v>512</v>
      </c>
      <c r="C457" s="177"/>
      <c r="D457" s="349">
        <v>1</v>
      </c>
      <c r="E457" s="349"/>
      <c r="F457" s="350"/>
    </row>
    <row r="458" spans="1:6" ht="15" customHeight="1">
      <c r="A458" s="203"/>
      <c r="B458" s="327" t="s">
        <v>563</v>
      </c>
      <c r="C458" s="327"/>
      <c r="D458" s="327"/>
      <c r="E458" s="327"/>
      <c r="F458" s="328"/>
    </row>
    <row r="459" spans="1:6">
      <c r="A459" s="203"/>
      <c r="B459" s="53" t="s">
        <v>151</v>
      </c>
      <c r="C459" s="73"/>
      <c r="D459" s="349">
        <v>1</v>
      </c>
      <c r="E459" s="349"/>
      <c r="F459" s="350"/>
    </row>
    <row r="460" spans="1:6">
      <c r="A460" s="203"/>
      <c r="B460" s="53" t="s">
        <v>207</v>
      </c>
      <c r="C460" s="73"/>
      <c r="D460" s="349">
        <v>2</v>
      </c>
      <c r="E460" s="349"/>
      <c r="F460" s="350"/>
    </row>
    <row r="461" spans="1:6">
      <c r="A461" s="204"/>
      <c r="B461" s="53" t="s">
        <v>149</v>
      </c>
      <c r="C461" s="73"/>
      <c r="D461" s="349">
        <v>1</v>
      </c>
      <c r="E461" s="349"/>
      <c r="F461" s="350"/>
    </row>
    <row r="462" spans="1:6">
      <c r="A462" s="203"/>
      <c r="B462" s="329" t="s">
        <v>8</v>
      </c>
      <c r="C462" s="329"/>
      <c r="D462" s="329"/>
      <c r="E462" s="329"/>
      <c r="F462" s="143">
        <v>7</v>
      </c>
    </row>
    <row r="463" spans="1:6">
      <c r="A463" s="232" t="str">
        <f>ORÇAMENTO!A48</f>
        <v>5.2</v>
      </c>
      <c r="B463" s="97" t="s">
        <v>206</v>
      </c>
      <c r="C463" s="186" t="s">
        <v>112</v>
      </c>
      <c r="D463" s="334" t="s">
        <v>95</v>
      </c>
      <c r="E463" s="334"/>
      <c r="F463" s="335"/>
    </row>
    <row r="464" spans="1:6">
      <c r="A464" s="203"/>
      <c r="B464" s="53" t="s">
        <v>519</v>
      </c>
      <c r="C464" s="73"/>
      <c r="D464" s="431">
        <v>1</v>
      </c>
      <c r="E464" s="432"/>
      <c r="F464" s="433"/>
    </row>
    <row r="465" spans="1:6">
      <c r="A465" s="203"/>
      <c r="B465" s="53" t="s">
        <v>512</v>
      </c>
      <c r="C465" s="73"/>
      <c r="D465" s="325">
        <v>1</v>
      </c>
      <c r="E465" s="325"/>
      <c r="F465" s="326"/>
    </row>
    <row r="466" spans="1:6">
      <c r="A466" s="203"/>
      <c r="B466" s="53" t="s">
        <v>672</v>
      </c>
      <c r="C466" s="170"/>
      <c r="D466" s="325">
        <v>1</v>
      </c>
      <c r="E466" s="325"/>
      <c r="F466" s="326"/>
    </row>
    <row r="467" spans="1:6">
      <c r="A467" s="203"/>
      <c r="B467" s="327" t="s">
        <v>563</v>
      </c>
      <c r="C467" s="327"/>
      <c r="D467" s="327"/>
      <c r="E467" s="327"/>
      <c r="F467" s="328"/>
    </row>
    <row r="468" spans="1:6">
      <c r="A468" s="203"/>
      <c r="B468" s="53" t="s">
        <v>207</v>
      </c>
      <c r="C468" s="73"/>
      <c r="D468" s="325">
        <v>2</v>
      </c>
      <c r="E468" s="325"/>
      <c r="F468" s="326"/>
    </row>
    <row r="469" spans="1:6">
      <c r="A469" s="204"/>
      <c r="B469" s="53" t="s">
        <v>151</v>
      </c>
      <c r="C469" s="73"/>
      <c r="D469" s="325">
        <v>1</v>
      </c>
      <c r="E469" s="325"/>
      <c r="F469" s="326"/>
    </row>
    <row r="470" spans="1:6">
      <c r="A470" s="203"/>
      <c r="B470" s="329" t="s">
        <v>8</v>
      </c>
      <c r="C470" s="329"/>
      <c r="D470" s="329"/>
      <c r="E470" s="329"/>
      <c r="F470" s="143">
        <v>6</v>
      </c>
    </row>
    <row r="471" spans="1:6" ht="30">
      <c r="A471" s="232" t="str">
        <f>ORÇAMENTO!A49</f>
        <v>5.3</v>
      </c>
      <c r="B471" s="102" t="s">
        <v>208</v>
      </c>
      <c r="C471" s="186" t="s">
        <v>112</v>
      </c>
      <c r="D471" s="334" t="s">
        <v>95</v>
      </c>
      <c r="E471" s="334"/>
      <c r="F471" s="335"/>
    </row>
    <row r="472" spans="1:6">
      <c r="A472" s="203"/>
      <c r="B472" s="327" t="s">
        <v>288</v>
      </c>
      <c r="C472" s="327"/>
      <c r="D472" s="327"/>
      <c r="E472" s="327"/>
      <c r="F472" s="328"/>
    </row>
    <row r="473" spans="1:6">
      <c r="A473" s="203"/>
      <c r="B473" s="53" t="s">
        <v>534</v>
      </c>
      <c r="C473" s="170"/>
      <c r="D473" s="325">
        <v>1</v>
      </c>
      <c r="E473" s="325"/>
      <c r="F473" s="326"/>
    </row>
    <row r="474" spans="1:6">
      <c r="A474" s="203"/>
      <c r="B474" s="329" t="s">
        <v>8</v>
      </c>
      <c r="C474" s="329"/>
      <c r="D474" s="329"/>
      <c r="E474" s="329"/>
      <c r="F474" s="143">
        <v>1</v>
      </c>
    </row>
    <row r="475" spans="1:6">
      <c r="A475" s="232" t="str">
        <f>ORÇAMENTO!A50</f>
        <v>5.4</v>
      </c>
      <c r="B475" s="102" t="s">
        <v>532</v>
      </c>
      <c r="C475" s="186" t="s">
        <v>112</v>
      </c>
      <c r="D475" s="334" t="s">
        <v>95</v>
      </c>
      <c r="E475" s="334"/>
      <c r="F475" s="335"/>
    </row>
    <row r="476" spans="1:6">
      <c r="A476" s="203"/>
      <c r="B476" s="327" t="s">
        <v>288</v>
      </c>
      <c r="C476" s="327"/>
      <c r="D476" s="327"/>
      <c r="E476" s="327"/>
      <c r="F476" s="328"/>
    </row>
    <row r="477" spans="1:6">
      <c r="A477" s="203"/>
      <c r="B477" s="53" t="s">
        <v>535</v>
      </c>
      <c r="C477" s="170"/>
      <c r="D477" s="325">
        <v>1</v>
      </c>
      <c r="E477" s="325"/>
      <c r="F477" s="326"/>
    </row>
    <row r="478" spans="1:6">
      <c r="A478" s="203"/>
      <c r="B478" s="53" t="s">
        <v>543</v>
      </c>
      <c r="C478" s="170"/>
      <c r="D478" s="325">
        <v>1</v>
      </c>
      <c r="E478" s="325"/>
      <c r="F478" s="326"/>
    </row>
    <row r="479" spans="1:6">
      <c r="A479" s="203"/>
      <c r="B479" s="49" t="s">
        <v>544</v>
      </c>
      <c r="C479" s="170"/>
      <c r="D479" s="325">
        <v>1</v>
      </c>
      <c r="E479" s="325"/>
      <c r="F479" s="326"/>
    </row>
    <row r="480" spans="1:6">
      <c r="A480" s="203"/>
      <c r="B480" s="49" t="s">
        <v>545</v>
      </c>
      <c r="C480" s="170"/>
      <c r="D480" s="325">
        <v>1</v>
      </c>
      <c r="E480" s="325"/>
      <c r="F480" s="326"/>
    </row>
    <row r="481" spans="1:6">
      <c r="A481" s="203"/>
      <c r="B481" s="329" t="s">
        <v>8</v>
      </c>
      <c r="C481" s="329"/>
      <c r="D481" s="329"/>
      <c r="E481" s="329"/>
      <c r="F481" s="143">
        <v>4</v>
      </c>
    </row>
    <row r="482" spans="1:6">
      <c r="A482" s="232" t="str">
        <f>ORÇAMENTO!A51</f>
        <v>5.5</v>
      </c>
      <c r="B482" s="97" t="s">
        <v>264</v>
      </c>
      <c r="C482" s="186" t="s">
        <v>112</v>
      </c>
      <c r="D482" s="334" t="s">
        <v>95</v>
      </c>
      <c r="E482" s="334"/>
      <c r="F482" s="335"/>
    </row>
    <row r="483" spans="1:6">
      <c r="A483" s="203"/>
      <c r="B483" s="327" t="s">
        <v>288</v>
      </c>
      <c r="C483" s="327"/>
      <c r="D483" s="327"/>
      <c r="E483" s="327"/>
      <c r="F483" s="328"/>
    </row>
    <row r="484" spans="1:6">
      <c r="A484" s="203"/>
      <c r="B484" s="53" t="s">
        <v>548</v>
      </c>
      <c r="C484" s="170"/>
      <c r="D484" s="325">
        <v>1</v>
      </c>
      <c r="E484" s="325"/>
      <c r="F484" s="326"/>
    </row>
    <row r="485" spans="1:6">
      <c r="A485" s="203"/>
      <c r="B485" s="53" t="s">
        <v>549</v>
      </c>
      <c r="C485" s="170"/>
      <c r="D485" s="325">
        <v>2</v>
      </c>
      <c r="E485" s="325"/>
      <c r="F485" s="326"/>
    </row>
    <row r="486" spans="1:6">
      <c r="A486" s="203"/>
      <c r="B486" s="329" t="s">
        <v>14</v>
      </c>
      <c r="C486" s="329"/>
      <c r="D486" s="329"/>
      <c r="E486" s="329"/>
      <c r="F486" s="143">
        <f>SUM(D484:F485)</f>
        <v>3</v>
      </c>
    </row>
    <row r="487" spans="1:6">
      <c r="A487" s="203"/>
      <c r="B487" s="327" t="s">
        <v>550</v>
      </c>
      <c r="C487" s="327"/>
      <c r="D487" s="327"/>
      <c r="E487" s="327"/>
      <c r="F487" s="328"/>
    </row>
    <row r="488" spans="1:6">
      <c r="A488" s="203"/>
      <c r="B488" s="53" t="s">
        <v>518</v>
      </c>
      <c r="C488" s="170"/>
      <c r="D488" s="325">
        <v>1</v>
      </c>
      <c r="E488" s="325"/>
      <c r="F488" s="326"/>
    </row>
    <row r="489" spans="1:6">
      <c r="A489" s="203"/>
      <c r="B489" s="53" t="s">
        <v>512</v>
      </c>
      <c r="C489" s="170"/>
      <c r="D489" s="325">
        <v>1</v>
      </c>
      <c r="E489" s="325"/>
      <c r="F489" s="326"/>
    </row>
    <row r="490" spans="1:6">
      <c r="A490" s="203"/>
      <c r="B490" s="53" t="s">
        <v>925</v>
      </c>
      <c r="C490" s="170"/>
      <c r="D490" s="325">
        <v>1</v>
      </c>
      <c r="E490" s="325"/>
      <c r="F490" s="326"/>
    </row>
    <row r="491" spans="1:6">
      <c r="A491" s="203"/>
      <c r="B491" s="53" t="s">
        <v>926</v>
      </c>
      <c r="C491" s="170"/>
      <c r="D491" s="325">
        <v>1</v>
      </c>
      <c r="E491" s="325"/>
      <c r="F491" s="326"/>
    </row>
    <row r="492" spans="1:6">
      <c r="A492" s="203"/>
      <c r="B492" s="329" t="s">
        <v>14</v>
      </c>
      <c r="C492" s="329"/>
      <c r="D492" s="329"/>
      <c r="E492" s="329"/>
      <c r="F492" s="143">
        <f>SUM(D488:F491)</f>
        <v>4</v>
      </c>
    </row>
    <row r="493" spans="1:6">
      <c r="A493" s="203"/>
      <c r="B493" s="327" t="s">
        <v>563</v>
      </c>
      <c r="C493" s="327"/>
      <c r="D493" s="327"/>
      <c r="E493" s="327"/>
      <c r="F493" s="328"/>
    </row>
    <row r="494" spans="1:6">
      <c r="A494" s="203"/>
      <c r="B494" s="53" t="s">
        <v>151</v>
      </c>
      <c r="C494" s="170"/>
      <c r="D494" s="325">
        <v>3</v>
      </c>
      <c r="E494" s="325"/>
      <c r="F494" s="326"/>
    </row>
    <row r="495" spans="1:6">
      <c r="A495" s="203"/>
      <c r="B495" s="53" t="s">
        <v>207</v>
      </c>
      <c r="C495" s="170"/>
      <c r="D495" s="325">
        <v>3</v>
      </c>
      <c r="E495" s="325"/>
      <c r="F495" s="326"/>
    </row>
    <row r="496" spans="1:6">
      <c r="A496" s="203"/>
      <c r="B496" s="53" t="s">
        <v>149</v>
      </c>
      <c r="C496" s="170"/>
      <c r="D496" s="325">
        <v>1</v>
      </c>
      <c r="E496" s="325"/>
      <c r="F496" s="326"/>
    </row>
    <row r="497" spans="1:6">
      <c r="A497" s="203"/>
      <c r="B497" s="329" t="s">
        <v>14</v>
      </c>
      <c r="C497" s="329"/>
      <c r="D497" s="329"/>
      <c r="E497" s="329"/>
      <c r="F497" s="143">
        <f>SUM(D494:F496)</f>
        <v>7</v>
      </c>
    </row>
    <row r="498" spans="1:6">
      <c r="A498" s="203"/>
      <c r="B498" s="329" t="s">
        <v>8</v>
      </c>
      <c r="C498" s="329"/>
      <c r="D498" s="329"/>
      <c r="E498" s="329"/>
      <c r="F498" s="143">
        <v>14</v>
      </c>
    </row>
    <row r="499" spans="1:6">
      <c r="A499" s="232" t="str">
        <f>ORÇAMENTO!A52</f>
        <v>5.6</v>
      </c>
      <c r="B499" s="97" t="s">
        <v>175</v>
      </c>
      <c r="C499" s="186" t="s">
        <v>112</v>
      </c>
      <c r="D499" s="334" t="s">
        <v>95</v>
      </c>
      <c r="E499" s="334"/>
      <c r="F499" s="335"/>
    </row>
    <row r="500" spans="1:6">
      <c r="A500" s="203"/>
      <c r="B500" s="327" t="s">
        <v>563</v>
      </c>
      <c r="C500" s="327"/>
      <c r="D500" s="327"/>
      <c r="E500" s="327"/>
      <c r="F500" s="328"/>
    </row>
    <row r="501" spans="1:6">
      <c r="A501" s="204"/>
      <c r="B501" s="53" t="s">
        <v>151</v>
      </c>
      <c r="C501" s="170"/>
      <c r="D501" s="325">
        <v>2</v>
      </c>
      <c r="E501" s="325"/>
      <c r="F501" s="326"/>
    </row>
    <row r="502" spans="1:6">
      <c r="A502" s="203"/>
      <c r="B502" s="329" t="s">
        <v>8</v>
      </c>
      <c r="C502" s="329"/>
      <c r="D502" s="329"/>
      <c r="E502" s="329"/>
      <c r="F502" s="143">
        <f>D501</f>
        <v>2</v>
      </c>
    </row>
    <row r="503" spans="1:6">
      <c r="A503" s="232" t="str">
        <f>ORÇAMENTO!A53</f>
        <v>5.7</v>
      </c>
      <c r="B503" s="97" t="s">
        <v>204</v>
      </c>
      <c r="C503" s="186" t="s">
        <v>112</v>
      </c>
      <c r="D503" s="334" t="s">
        <v>95</v>
      </c>
      <c r="E503" s="334"/>
      <c r="F503" s="335"/>
    </row>
    <row r="504" spans="1:6">
      <c r="A504" s="203"/>
      <c r="B504" s="327" t="s">
        <v>288</v>
      </c>
      <c r="C504" s="327"/>
      <c r="D504" s="327"/>
      <c r="E504" s="327"/>
      <c r="F504" s="328"/>
    </row>
    <row r="505" spans="1:6">
      <c r="A505" s="203"/>
      <c r="B505" s="53" t="s">
        <v>547</v>
      </c>
      <c r="C505" s="78"/>
      <c r="D505" s="325">
        <v>1</v>
      </c>
      <c r="E505" s="325"/>
      <c r="F505" s="326"/>
    </row>
    <row r="506" spans="1:6">
      <c r="A506" s="203"/>
      <c r="B506" s="327" t="s">
        <v>550</v>
      </c>
      <c r="C506" s="327"/>
      <c r="D506" s="327"/>
      <c r="E506" s="327"/>
      <c r="F506" s="328"/>
    </row>
    <row r="507" spans="1:6">
      <c r="A507" s="203"/>
      <c r="B507" s="103" t="s">
        <v>673</v>
      </c>
      <c r="C507" s="170"/>
      <c r="D507" s="325">
        <v>2</v>
      </c>
      <c r="E507" s="325"/>
      <c r="F507" s="326"/>
    </row>
    <row r="508" spans="1:6">
      <c r="A508" s="203"/>
      <c r="B508" s="327" t="s">
        <v>563</v>
      </c>
      <c r="C508" s="327"/>
      <c r="D508" s="327"/>
      <c r="E508" s="327"/>
      <c r="F508" s="328"/>
    </row>
    <row r="509" spans="1:6">
      <c r="A509" s="203"/>
      <c r="B509" s="53" t="s">
        <v>149</v>
      </c>
      <c r="C509" s="78"/>
      <c r="D509" s="325">
        <v>1</v>
      </c>
      <c r="E509" s="325"/>
      <c r="F509" s="326"/>
    </row>
    <row r="510" spans="1:6">
      <c r="A510" s="203"/>
      <c r="B510" s="53" t="s">
        <v>146</v>
      </c>
      <c r="C510" s="78"/>
      <c r="D510" s="325">
        <v>1</v>
      </c>
      <c r="E510" s="325"/>
      <c r="F510" s="326"/>
    </row>
    <row r="511" spans="1:6">
      <c r="A511" s="203"/>
      <c r="B511" s="53" t="s">
        <v>151</v>
      </c>
      <c r="C511" s="29"/>
      <c r="D511" s="325">
        <v>2</v>
      </c>
      <c r="E511" s="325"/>
      <c r="F511" s="326"/>
    </row>
    <row r="512" spans="1:6">
      <c r="A512" s="203"/>
      <c r="B512" s="53" t="s">
        <v>205</v>
      </c>
      <c r="C512" s="29"/>
      <c r="D512" s="325">
        <v>3</v>
      </c>
      <c r="E512" s="325"/>
      <c r="F512" s="326"/>
    </row>
    <row r="513" spans="1:6">
      <c r="A513" s="203"/>
      <c r="B513" s="329" t="s">
        <v>8</v>
      </c>
      <c r="C513" s="329"/>
      <c r="D513" s="329"/>
      <c r="E513" s="329"/>
      <c r="F513" s="143">
        <v>10</v>
      </c>
    </row>
    <row r="514" spans="1:6">
      <c r="A514" s="232" t="str">
        <f>ORÇAMENTO!A54</f>
        <v>5.8</v>
      </c>
      <c r="B514" s="97" t="s">
        <v>209</v>
      </c>
      <c r="C514" s="186" t="s">
        <v>112</v>
      </c>
      <c r="D514" s="334" t="s">
        <v>574</v>
      </c>
      <c r="E514" s="334"/>
      <c r="F514" s="335"/>
    </row>
    <row r="515" spans="1:6">
      <c r="A515" s="203"/>
      <c r="B515" s="327" t="s">
        <v>563</v>
      </c>
      <c r="C515" s="327"/>
      <c r="D515" s="327"/>
      <c r="E515" s="327"/>
      <c r="F515" s="328"/>
    </row>
    <row r="516" spans="1:6">
      <c r="A516" s="203"/>
      <c r="B516" s="53" t="s">
        <v>151</v>
      </c>
      <c r="C516" s="93"/>
      <c r="D516" s="332">
        <v>1</v>
      </c>
      <c r="E516" s="332"/>
      <c r="F516" s="333"/>
    </row>
    <row r="517" spans="1:6">
      <c r="A517" s="203"/>
      <c r="B517" s="53" t="s">
        <v>207</v>
      </c>
      <c r="C517" s="93"/>
      <c r="D517" s="332">
        <v>2</v>
      </c>
      <c r="E517" s="332"/>
      <c r="F517" s="333"/>
    </row>
    <row r="518" spans="1:6">
      <c r="A518" s="203"/>
      <c r="B518" s="329" t="s">
        <v>8</v>
      </c>
      <c r="C518" s="329"/>
      <c r="D518" s="329"/>
      <c r="E518" s="329"/>
      <c r="F518" s="143">
        <f>D516+D517</f>
        <v>3</v>
      </c>
    </row>
    <row r="519" spans="1:6">
      <c r="A519" s="232" t="str">
        <f>ORÇAMENTO!A55</f>
        <v>5.9</v>
      </c>
      <c r="B519" s="97" t="s">
        <v>266</v>
      </c>
      <c r="C519" s="186" t="s">
        <v>265</v>
      </c>
      <c r="D519" s="334" t="s">
        <v>19</v>
      </c>
      <c r="E519" s="334"/>
      <c r="F519" s="335"/>
    </row>
    <row r="520" spans="1:6">
      <c r="A520" s="203"/>
      <c r="B520" s="327" t="s">
        <v>578</v>
      </c>
      <c r="C520" s="327"/>
      <c r="D520" s="327"/>
      <c r="E520" s="327"/>
      <c r="F520" s="328"/>
    </row>
    <row r="521" spans="1:6">
      <c r="A521" s="203"/>
      <c r="B521" s="53" t="s">
        <v>576</v>
      </c>
      <c r="C521" s="170"/>
      <c r="D521" s="325">
        <v>30</v>
      </c>
      <c r="E521" s="325"/>
      <c r="F521" s="326"/>
    </row>
    <row r="522" spans="1:6">
      <c r="A522" s="203"/>
      <c r="B522" s="327" t="s">
        <v>563</v>
      </c>
      <c r="C522" s="327"/>
      <c r="D522" s="327"/>
      <c r="E522" s="327"/>
      <c r="F522" s="328"/>
    </row>
    <row r="523" spans="1:6">
      <c r="A523" s="203"/>
      <c r="B523" s="53" t="s">
        <v>577</v>
      </c>
      <c r="C523" s="170"/>
      <c r="D523" s="325">
        <v>30</v>
      </c>
      <c r="E523" s="325"/>
      <c r="F523" s="326"/>
    </row>
    <row r="524" spans="1:6">
      <c r="A524" s="203"/>
      <c r="B524" s="329" t="s">
        <v>8</v>
      </c>
      <c r="C524" s="329"/>
      <c r="D524" s="329"/>
      <c r="E524" s="329"/>
      <c r="F524" s="143">
        <v>60</v>
      </c>
    </row>
    <row r="525" spans="1:6">
      <c r="A525" s="232" t="str">
        <f>ORÇAMENTO!A56</f>
        <v>5.10</v>
      </c>
      <c r="B525" s="97" t="s">
        <v>272</v>
      </c>
      <c r="C525" s="186" t="s">
        <v>112</v>
      </c>
      <c r="D525" s="334" t="s">
        <v>95</v>
      </c>
      <c r="E525" s="334"/>
      <c r="F525" s="335"/>
    </row>
    <row r="526" spans="1:6">
      <c r="A526" s="203"/>
      <c r="B526" s="327" t="s">
        <v>578</v>
      </c>
      <c r="C526" s="327"/>
      <c r="D526" s="327"/>
      <c r="E526" s="327"/>
      <c r="F526" s="328"/>
    </row>
    <row r="527" spans="1:6">
      <c r="A527" s="203"/>
      <c r="B527" s="53" t="s">
        <v>579</v>
      </c>
      <c r="C527" s="170"/>
      <c r="D527" s="325">
        <v>92</v>
      </c>
      <c r="E527" s="325"/>
      <c r="F527" s="326"/>
    </row>
    <row r="528" spans="1:6">
      <c r="A528" s="203"/>
      <c r="B528" s="327" t="s">
        <v>563</v>
      </c>
      <c r="C528" s="327"/>
      <c r="D528" s="327"/>
      <c r="E528" s="327"/>
      <c r="F528" s="328"/>
    </row>
    <row r="529" spans="1:6">
      <c r="A529" s="203"/>
      <c r="B529" s="53" t="s">
        <v>579</v>
      </c>
      <c r="C529" s="170"/>
      <c r="D529" s="325">
        <v>72</v>
      </c>
      <c r="E529" s="325"/>
      <c r="F529" s="326"/>
    </row>
    <row r="530" spans="1:6">
      <c r="A530" s="203"/>
      <c r="B530" s="329" t="s">
        <v>8</v>
      </c>
      <c r="C530" s="329"/>
      <c r="D530" s="329"/>
      <c r="E530" s="329"/>
      <c r="F530" s="143">
        <v>164</v>
      </c>
    </row>
    <row r="531" spans="1:6">
      <c r="A531" s="232" t="str">
        <f>ORÇAMENTO!A57</f>
        <v>5.11</v>
      </c>
      <c r="B531" s="97" t="s">
        <v>382</v>
      </c>
      <c r="C531" s="186" t="s">
        <v>112</v>
      </c>
      <c r="D531" s="334" t="s">
        <v>95</v>
      </c>
      <c r="E531" s="334"/>
      <c r="F531" s="335"/>
    </row>
    <row r="532" spans="1:6">
      <c r="A532" s="203"/>
      <c r="B532" s="327" t="s">
        <v>563</v>
      </c>
      <c r="C532" s="327"/>
      <c r="D532" s="327"/>
      <c r="E532" s="327"/>
      <c r="F532" s="328"/>
    </row>
    <row r="533" spans="1:6">
      <c r="A533" s="203"/>
      <c r="B533" s="53" t="s">
        <v>207</v>
      </c>
      <c r="C533" s="170"/>
      <c r="D533" s="325">
        <v>1</v>
      </c>
      <c r="E533" s="325"/>
      <c r="F533" s="326"/>
    </row>
    <row r="534" spans="1:6">
      <c r="A534" s="14"/>
      <c r="B534" s="53" t="s">
        <v>151</v>
      </c>
      <c r="C534" s="170"/>
      <c r="D534" s="325">
        <v>2</v>
      </c>
      <c r="E534" s="325"/>
      <c r="F534" s="326"/>
    </row>
    <row r="535" spans="1:6">
      <c r="A535" s="14"/>
      <c r="B535" s="329" t="s">
        <v>8</v>
      </c>
      <c r="C535" s="329"/>
      <c r="D535" s="329"/>
      <c r="E535" s="329"/>
      <c r="F535" s="143">
        <v>3</v>
      </c>
    </row>
    <row r="536" spans="1:6">
      <c r="A536" s="205">
        <v>6</v>
      </c>
      <c r="B536" s="412" t="s">
        <v>247</v>
      </c>
      <c r="C536" s="412"/>
      <c r="D536" s="412"/>
      <c r="E536" s="412"/>
      <c r="F536" s="413"/>
    </row>
    <row r="537" spans="1:6">
      <c r="A537" s="232" t="str">
        <f>ORÇAMENTO!A61</f>
        <v>6.1</v>
      </c>
      <c r="B537" s="97" t="s">
        <v>255</v>
      </c>
      <c r="C537" s="94" t="s">
        <v>13</v>
      </c>
      <c r="D537" s="90" t="s">
        <v>248</v>
      </c>
      <c r="E537" s="91" t="s">
        <v>18</v>
      </c>
      <c r="F537" s="250" t="s">
        <v>8</v>
      </c>
    </row>
    <row r="538" spans="1:6">
      <c r="A538" s="203"/>
      <c r="B538" s="327" t="s">
        <v>563</v>
      </c>
      <c r="C538" s="327"/>
      <c r="D538" s="327"/>
      <c r="E538" s="327"/>
      <c r="F538" s="328"/>
    </row>
    <row r="539" spans="1:6">
      <c r="A539" s="203"/>
      <c r="B539" s="184" t="s">
        <v>966</v>
      </c>
      <c r="C539" s="44"/>
      <c r="D539" s="167">
        <v>6.1</v>
      </c>
      <c r="E539" s="167">
        <v>1.9</v>
      </c>
      <c r="F539" s="207">
        <f>E539*D539</f>
        <v>11.589999999999998</v>
      </c>
    </row>
    <row r="540" spans="1:6">
      <c r="A540" s="203"/>
      <c r="B540" s="184" t="s">
        <v>252</v>
      </c>
      <c r="C540" s="44"/>
      <c r="D540" s="35">
        <f>7*0.5</f>
        <v>3.5</v>
      </c>
      <c r="E540" s="35">
        <v>1.6</v>
      </c>
      <c r="F540" s="207">
        <f>E540*D540</f>
        <v>5.6000000000000005</v>
      </c>
    </row>
    <row r="541" spans="1:6">
      <c r="A541" s="203"/>
      <c r="B541" s="184" t="s">
        <v>967</v>
      </c>
      <c r="C541" s="81"/>
      <c r="D541" s="167">
        <v>6.1</v>
      </c>
      <c r="E541" s="167">
        <v>1.9</v>
      </c>
      <c r="F541" s="207">
        <f>E541*D541</f>
        <v>11.589999999999998</v>
      </c>
    </row>
    <row r="542" spans="1:6">
      <c r="A542" s="203"/>
      <c r="B542" s="184" t="s">
        <v>252</v>
      </c>
      <c r="C542" s="81"/>
      <c r="D542" s="35">
        <f>7*0.5</f>
        <v>3.5</v>
      </c>
      <c r="E542" s="35">
        <v>1.6</v>
      </c>
      <c r="F542" s="207">
        <f>E542*D542</f>
        <v>5.6000000000000005</v>
      </c>
    </row>
    <row r="543" spans="1:6">
      <c r="A543" s="203"/>
      <c r="B543" s="329" t="s">
        <v>14</v>
      </c>
      <c r="C543" s="329"/>
      <c r="D543" s="329"/>
      <c r="E543" s="329"/>
      <c r="F543" s="143">
        <v>11.98</v>
      </c>
    </row>
    <row r="544" spans="1:6">
      <c r="A544" s="203"/>
      <c r="B544" s="184" t="s">
        <v>383</v>
      </c>
      <c r="C544" s="44"/>
      <c r="D544" s="167">
        <v>7.35</v>
      </c>
      <c r="E544" s="167">
        <v>1.9</v>
      </c>
      <c r="F544" s="207">
        <f>E544*D544</f>
        <v>13.964999999999998</v>
      </c>
    </row>
    <row r="545" spans="1:6">
      <c r="A545" s="203"/>
      <c r="B545" s="184" t="s">
        <v>251</v>
      </c>
      <c r="C545" s="44"/>
      <c r="D545" s="35">
        <f>6*0.5</f>
        <v>3</v>
      </c>
      <c r="E545" s="35">
        <v>1.6</v>
      </c>
      <c r="F545" s="207">
        <f>E545*D545</f>
        <v>4.8000000000000007</v>
      </c>
    </row>
    <row r="546" spans="1:6">
      <c r="A546" s="203"/>
      <c r="B546" s="184" t="s">
        <v>249</v>
      </c>
      <c r="C546" s="81"/>
      <c r="D546" s="167">
        <v>6.1</v>
      </c>
      <c r="E546" s="167">
        <v>2</v>
      </c>
      <c r="F546" s="207">
        <f>E546*D546</f>
        <v>12.2</v>
      </c>
    </row>
    <row r="547" spans="1:6">
      <c r="A547" s="14"/>
      <c r="B547" s="184" t="s">
        <v>252</v>
      </c>
      <c r="C547" s="81"/>
      <c r="D547" s="35">
        <f>7*0.5</f>
        <v>3.5</v>
      </c>
      <c r="E547" s="35">
        <v>1.6</v>
      </c>
      <c r="F547" s="207">
        <f>E547*D547</f>
        <v>5.6000000000000005</v>
      </c>
    </row>
    <row r="548" spans="1:6">
      <c r="A548" s="14"/>
      <c r="B548" s="329" t="s">
        <v>14</v>
      </c>
      <c r="C548" s="329"/>
      <c r="D548" s="329"/>
      <c r="E548" s="329"/>
      <c r="F548" s="143">
        <f>F544-F545+F546-F547</f>
        <v>15.764999999999993</v>
      </c>
    </row>
    <row r="549" spans="1:6">
      <c r="A549" s="14"/>
      <c r="B549" s="329" t="s">
        <v>8</v>
      </c>
      <c r="C549" s="329"/>
      <c r="D549" s="329"/>
      <c r="E549" s="329"/>
      <c r="F549" s="143">
        <v>27.75</v>
      </c>
    </row>
    <row r="550" spans="1:6">
      <c r="A550" s="190">
        <v>7</v>
      </c>
      <c r="B550" s="347" t="s">
        <v>270</v>
      </c>
      <c r="C550" s="347"/>
      <c r="D550" s="347"/>
      <c r="E550" s="347"/>
      <c r="F550" s="348"/>
    </row>
    <row r="551" spans="1:6" ht="30">
      <c r="A551" s="232" t="str">
        <f>ORÇAMENTO!A65</f>
        <v>7.1</v>
      </c>
      <c r="B551" s="102" t="str">
        <f>ORÇAMENTO!D65</f>
        <v>ARGAMASSA TRAÇO 1:3 (CIMENTO E AREIA), PREPARO MECANICO , INCLUSO ADITIVO IMPERMEABILIZANTE</v>
      </c>
      <c r="C551" s="94" t="s">
        <v>315</v>
      </c>
      <c r="D551" s="91" t="s">
        <v>271</v>
      </c>
      <c r="E551" s="91" t="s">
        <v>95</v>
      </c>
      <c r="F551" s="250" t="s">
        <v>8</v>
      </c>
    </row>
    <row r="552" spans="1:6">
      <c r="A552" s="206"/>
      <c r="B552" s="327" t="s">
        <v>578</v>
      </c>
      <c r="C552" s="327"/>
      <c r="D552" s="327"/>
      <c r="E552" s="327"/>
      <c r="F552" s="328"/>
    </row>
    <row r="553" spans="1:6">
      <c r="A553" s="206"/>
      <c r="B553" s="108" t="s">
        <v>580</v>
      </c>
      <c r="C553" s="172"/>
      <c r="D553" s="82">
        <f>0.6*0.15*0.15</f>
        <v>1.35E-2</v>
      </c>
      <c r="E553" s="172">
        <v>44</v>
      </c>
      <c r="F553" s="237">
        <f>E553*D553</f>
        <v>0.59399999999999997</v>
      </c>
    </row>
    <row r="554" spans="1:6">
      <c r="A554" s="206"/>
      <c r="B554" s="327" t="s">
        <v>563</v>
      </c>
      <c r="C554" s="327"/>
      <c r="D554" s="327"/>
      <c r="E554" s="327"/>
      <c r="F554" s="328"/>
    </row>
    <row r="555" spans="1:6">
      <c r="A555" s="206"/>
      <c r="B555" s="108" t="s">
        <v>580</v>
      </c>
      <c r="C555" s="172"/>
      <c r="D555" s="82">
        <f>0.6*0.15*0.15</f>
        <v>1.35E-2</v>
      </c>
      <c r="E555" s="172">
        <v>42</v>
      </c>
      <c r="F555" s="237">
        <f>E555*D555</f>
        <v>0.56699999999999995</v>
      </c>
    </row>
    <row r="556" spans="1:6">
      <c r="A556" s="206"/>
      <c r="B556" s="329" t="s">
        <v>8</v>
      </c>
      <c r="C556" s="329"/>
      <c r="D556" s="329"/>
      <c r="E556" s="329"/>
      <c r="F556" s="143">
        <v>1.1599999999999999</v>
      </c>
    </row>
    <row r="557" spans="1:6">
      <c r="A557" s="232" t="str">
        <f>ORÇAMENTO!A66</f>
        <v>7.2</v>
      </c>
      <c r="B557" s="88" t="s">
        <v>311</v>
      </c>
      <c r="C557" s="102" t="s">
        <v>13</v>
      </c>
      <c r="D557" s="189" t="s">
        <v>96</v>
      </c>
      <c r="E557" s="102" t="s">
        <v>95</v>
      </c>
      <c r="F557" s="251" t="s">
        <v>8</v>
      </c>
    </row>
    <row r="558" spans="1:6">
      <c r="A558" s="206"/>
      <c r="B558" s="327" t="s">
        <v>288</v>
      </c>
      <c r="C558" s="327"/>
      <c r="D558" s="327"/>
      <c r="E558" s="327"/>
      <c r="F558" s="328"/>
    </row>
    <row r="559" spans="1:6">
      <c r="A559" s="206"/>
      <c r="B559" s="15" t="s">
        <v>530</v>
      </c>
      <c r="C559" s="45"/>
      <c r="D559" s="167">
        <f t="shared" ref="D559:D613" si="5">0.65*2.1</f>
        <v>1.3650000000000002</v>
      </c>
      <c r="E559" s="167">
        <v>7</v>
      </c>
      <c r="F559" s="207">
        <f t="shared" ref="F559:F569" si="6">E559*D559</f>
        <v>9.5550000000000015</v>
      </c>
    </row>
    <row r="560" spans="1:6">
      <c r="A560" s="206"/>
      <c r="B560" s="15" t="s">
        <v>522</v>
      </c>
      <c r="C560" s="45"/>
      <c r="D560" s="167">
        <f t="shared" si="5"/>
        <v>1.3650000000000002</v>
      </c>
      <c r="E560" s="167">
        <v>6</v>
      </c>
      <c r="F560" s="207">
        <f t="shared" si="6"/>
        <v>8.1900000000000013</v>
      </c>
    </row>
    <row r="561" spans="1:6">
      <c r="A561" s="206"/>
      <c r="B561" s="15" t="s">
        <v>523</v>
      </c>
      <c r="C561" s="45"/>
      <c r="D561" s="167">
        <f t="shared" si="5"/>
        <v>1.3650000000000002</v>
      </c>
      <c r="E561" s="167">
        <v>8</v>
      </c>
      <c r="F561" s="207">
        <f t="shared" si="6"/>
        <v>10.920000000000002</v>
      </c>
    </row>
    <row r="562" spans="1:6">
      <c r="A562" s="206"/>
      <c r="B562" s="15" t="s">
        <v>537</v>
      </c>
      <c r="C562" s="45"/>
      <c r="D562" s="167">
        <f t="shared" si="5"/>
        <v>1.3650000000000002</v>
      </c>
      <c r="E562" s="167">
        <v>4</v>
      </c>
      <c r="F562" s="207">
        <f t="shared" si="6"/>
        <v>5.4600000000000009</v>
      </c>
    </row>
    <row r="563" spans="1:6">
      <c r="A563" s="206"/>
      <c r="B563" s="15" t="s">
        <v>524</v>
      </c>
      <c r="C563" s="45"/>
      <c r="D563" s="167">
        <f t="shared" si="5"/>
        <v>1.3650000000000002</v>
      </c>
      <c r="E563" s="167">
        <v>13</v>
      </c>
      <c r="F563" s="207">
        <f t="shared" si="6"/>
        <v>17.745000000000005</v>
      </c>
    </row>
    <row r="564" spans="1:6">
      <c r="A564" s="206"/>
      <c r="B564" s="15" t="s">
        <v>521</v>
      </c>
      <c r="C564" s="45"/>
      <c r="D564" s="167">
        <f t="shared" si="5"/>
        <v>1.3650000000000002</v>
      </c>
      <c r="E564" s="167">
        <v>9</v>
      </c>
      <c r="F564" s="207">
        <f t="shared" si="6"/>
        <v>12.285000000000002</v>
      </c>
    </row>
    <row r="565" spans="1:6">
      <c r="A565" s="206"/>
      <c r="B565" s="15" t="s">
        <v>543</v>
      </c>
      <c r="C565" s="45"/>
      <c r="D565" s="167">
        <f t="shared" si="5"/>
        <v>1.3650000000000002</v>
      </c>
      <c r="E565" s="167">
        <v>6</v>
      </c>
      <c r="F565" s="207">
        <f t="shared" si="6"/>
        <v>8.1900000000000013</v>
      </c>
    </row>
    <row r="566" spans="1:6">
      <c r="A566" s="206"/>
      <c r="B566" s="15" t="s">
        <v>545</v>
      </c>
      <c r="C566" s="45"/>
      <c r="D566" s="167">
        <f t="shared" si="5"/>
        <v>1.3650000000000002</v>
      </c>
      <c r="E566" s="167">
        <v>6</v>
      </c>
      <c r="F566" s="207">
        <f t="shared" si="6"/>
        <v>8.1900000000000013</v>
      </c>
    </row>
    <row r="567" spans="1:6">
      <c r="A567" s="206"/>
      <c r="B567" s="15" t="s">
        <v>547</v>
      </c>
      <c r="C567" s="45"/>
      <c r="D567" s="167">
        <f t="shared" si="5"/>
        <v>1.3650000000000002</v>
      </c>
      <c r="E567" s="167">
        <v>4</v>
      </c>
      <c r="F567" s="207">
        <f t="shared" si="6"/>
        <v>5.4600000000000009</v>
      </c>
    </row>
    <row r="568" spans="1:6">
      <c r="A568" s="206"/>
      <c r="B568" s="15" t="s">
        <v>527</v>
      </c>
      <c r="C568" s="45"/>
      <c r="D568" s="167">
        <f t="shared" si="5"/>
        <v>1.3650000000000002</v>
      </c>
      <c r="E568" s="167">
        <v>44</v>
      </c>
      <c r="F568" s="207">
        <f t="shared" si="6"/>
        <v>60.060000000000009</v>
      </c>
    </row>
    <row r="569" spans="1:6">
      <c r="A569" s="206"/>
      <c r="B569" s="15" t="s">
        <v>549</v>
      </c>
      <c r="C569" s="45"/>
      <c r="D569" s="167">
        <f t="shared" si="5"/>
        <v>1.3650000000000002</v>
      </c>
      <c r="E569" s="167">
        <v>3</v>
      </c>
      <c r="F569" s="207">
        <f t="shared" si="6"/>
        <v>4.0950000000000006</v>
      </c>
    </row>
    <row r="570" spans="1:6">
      <c r="A570" s="206"/>
      <c r="B570" s="364" t="s">
        <v>14</v>
      </c>
      <c r="C570" s="364"/>
      <c r="D570" s="364"/>
      <c r="E570" s="364"/>
      <c r="F570" s="195">
        <v>150.15</v>
      </c>
    </row>
    <row r="571" spans="1:6">
      <c r="A571" s="206"/>
      <c r="B571" s="327" t="s">
        <v>550</v>
      </c>
      <c r="C571" s="327"/>
      <c r="D571" s="327"/>
      <c r="E571" s="327"/>
      <c r="F571" s="328"/>
    </row>
    <row r="572" spans="1:6">
      <c r="A572" s="206"/>
      <c r="B572" s="367" t="s">
        <v>674</v>
      </c>
      <c r="C572" s="367"/>
      <c r="D572" s="367"/>
      <c r="E572" s="367"/>
      <c r="F572" s="368"/>
    </row>
    <row r="573" spans="1:6">
      <c r="A573" s="206"/>
      <c r="B573" s="15" t="s">
        <v>571</v>
      </c>
      <c r="C573" s="180"/>
      <c r="D573" s="167">
        <f>0.65*2.1</f>
        <v>1.3650000000000002</v>
      </c>
      <c r="E573" s="179">
        <v>8</v>
      </c>
      <c r="F573" s="207">
        <f>E573*D573</f>
        <v>10.920000000000002</v>
      </c>
    </row>
    <row r="574" spans="1:6">
      <c r="A574" s="206"/>
      <c r="B574" s="15" t="s">
        <v>667</v>
      </c>
      <c r="C574" s="180"/>
      <c r="D574" s="167">
        <f>0.65*2.1</f>
        <v>1.3650000000000002</v>
      </c>
      <c r="E574" s="179">
        <v>10</v>
      </c>
      <c r="F574" s="207">
        <f>E574*D574</f>
        <v>13.650000000000002</v>
      </c>
    </row>
    <row r="575" spans="1:6">
      <c r="A575" s="206"/>
      <c r="B575" s="15" t="s">
        <v>97</v>
      </c>
      <c r="C575" s="180"/>
      <c r="D575" s="167">
        <f t="shared" ref="D575:D590" si="7">0.65*2.1</f>
        <v>1.3650000000000002</v>
      </c>
      <c r="E575" s="179">
        <v>7</v>
      </c>
      <c r="F575" s="207">
        <f t="shared" ref="F575:F590" si="8">E575*D575</f>
        <v>9.5550000000000015</v>
      </c>
    </row>
    <row r="576" spans="1:6">
      <c r="A576" s="206"/>
      <c r="B576" s="15" t="s">
        <v>118</v>
      </c>
      <c r="C576" s="180"/>
      <c r="D576" s="167">
        <f t="shared" si="7"/>
        <v>1.3650000000000002</v>
      </c>
      <c r="E576" s="179">
        <v>5</v>
      </c>
      <c r="F576" s="207">
        <f t="shared" si="8"/>
        <v>6.8250000000000011</v>
      </c>
    </row>
    <row r="577" spans="1:6">
      <c r="A577" s="206"/>
      <c r="B577" s="15" t="s">
        <v>119</v>
      </c>
      <c r="C577" s="180"/>
      <c r="D577" s="167">
        <f t="shared" si="7"/>
        <v>1.3650000000000002</v>
      </c>
      <c r="E577" s="179">
        <v>3</v>
      </c>
      <c r="F577" s="207">
        <f t="shared" si="8"/>
        <v>4.0950000000000006</v>
      </c>
    </row>
    <row r="578" spans="1:6">
      <c r="A578" s="206"/>
      <c r="B578" s="15" t="s">
        <v>120</v>
      </c>
      <c r="C578" s="180"/>
      <c r="D578" s="167">
        <f t="shared" si="7"/>
        <v>1.3650000000000002</v>
      </c>
      <c r="E578" s="179">
        <v>5</v>
      </c>
      <c r="F578" s="207">
        <f t="shared" si="8"/>
        <v>6.8250000000000011</v>
      </c>
    </row>
    <row r="579" spans="1:6">
      <c r="A579" s="206"/>
      <c r="B579" s="15" t="s">
        <v>662</v>
      </c>
      <c r="C579" s="180"/>
      <c r="D579" s="167">
        <f t="shared" si="7"/>
        <v>1.3650000000000002</v>
      </c>
      <c r="E579" s="179">
        <v>4</v>
      </c>
      <c r="F579" s="207">
        <f t="shared" si="8"/>
        <v>5.4600000000000009</v>
      </c>
    </row>
    <row r="580" spans="1:6">
      <c r="A580" s="206"/>
      <c r="B580" s="100" t="s">
        <v>553</v>
      </c>
      <c r="C580" s="180"/>
      <c r="D580" s="167">
        <f t="shared" si="7"/>
        <v>1.3650000000000002</v>
      </c>
      <c r="E580" s="179">
        <f>48+10</f>
        <v>58</v>
      </c>
      <c r="F580" s="207">
        <f t="shared" si="8"/>
        <v>79.170000000000016</v>
      </c>
    </row>
    <row r="581" spans="1:6">
      <c r="A581" s="206"/>
      <c r="B581" s="100" t="s">
        <v>554</v>
      </c>
      <c r="C581" s="180"/>
      <c r="D581" s="167">
        <f t="shared" si="7"/>
        <v>1.3650000000000002</v>
      </c>
      <c r="E581" s="179">
        <v>39</v>
      </c>
      <c r="F581" s="207">
        <f t="shared" si="8"/>
        <v>53.235000000000007</v>
      </c>
    </row>
    <row r="582" spans="1:6">
      <c r="A582" s="206"/>
      <c r="B582" s="180" t="s">
        <v>575</v>
      </c>
      <c r="C582" s="45"/>
      <c r="D582" s="167">
        <f t="shared" ref="D582" si="9">0.65*2.1</f>
        <v>1.3650000000000002</v>
      </c>
      <c r="E582" s="167">
        <v>5</v>
      </c>
      <c r="F582" s="207">
        <f t="shared" ref="F582" si="10">E582*D582</f>
        <v>6.8250000000000011</v>
      </c>
    </row>
    <row r="583" spans="1:6">
      <c r="A583" s="206"/>
      <c r="B583" s="15" t="s">
        <v>121</v>
      </c>
      <c r="C583" s="180"/>
      <c r="D583" s="167">
        <f t="shared" si="7"/>
        <v>1.3650000000000002</v>
      </c>
      <c r="E583" s="179">
        <v>8</v>
      </c>
      <c r="F583" s="207">
        <f t="shared" si="8"/>
        <v>10.920000000000002</v>
      </c>
    </row>
    <row r="584" spans="1:6">
      <c r="A584" s="206"/>
      <c r="B584" s="15" t="s">
        <v>513</v>
      </c>
      <c r="C584" s="180"/>
      <c r="D584" s="167">
        <f t="shared" si="7"/>
        <v>1.3650000000000002</v>
      </c>
      <c r="E584" s="179">
        <v>4</v>
      </c>
      <c r="F584" s="207">
        <f t="shared" si="8"/>
        <v>5.4600000000000009</v>
      </c>
    </row>
    <row r="585" spans="1:6">
      <c r="A585" s="206"/>
      <c r="B585" s="15" t="s">
        <v>512</v>
      </c>
      <c r="C585" s="180"/>
      <c r="D585" s="167">
        <f t="shared" si="7"/>
        <v>1.3650000000000002</v>
      </c>
      <c r="E585" s="179">
        <v>1</v>
      </c>
      <c r="F585" s="207">
        <f t="shared" si="8"/>
        <v>1.3650000000000002</v>
      </c>
    </row>
    <row r="586" spans="1:6">
      <c r="A586" s="206"/>
      <c r="B586" s="15" t="s">
        <v>511</v>
      </c>
      <c r="C586" s="180"/>
      <c r="D586" s="167">
        <f t="shared" si="7"/>
        <v>1.3650000000000002</v>
      </c>
      <c r="E586" s="179">
        <v>1</v>
      </c>
      <c r="F586" s="207">
        <f t="shared" si="8"/>
        <v>1.3650000000000002</v>
      </c>
    </row>
    <row r="587" spans="1:6">
      <c r="A587" s="206"/>
      <c r="B587" s="32" t="s">
        <v>348</v>
      </c>
      <c r="C587" s="180"/>
      <c r="D587" s="167">
        <f t="shared" si="7"/>
        <v>1.3650000000000002</v>
      </c>
      <c r="E587" s="179">
        <v>21</v>
      </c>
      <c r="F587" s="207">
        <f t="shared" si="8"/>
        <v>28.665000000000006</v>
      </c>
    </row>
    <row r="588" spans="1:6">
      <c r="A588" s="206"/>
      <c r="B588" s="15" t="s">
        <v>675</v>
      </c>
      <c r="C588" s="180"/>
      <c r="D588" s="167">
        <f t="shared" si="7"/>
        <v>1.3650000000000002</v>
      </c>
      <c r="E588" s="179">
        <v>3</v>
      </c>
      <c r="F588" s="207">
        <f t="shared" si="8"/>
        <v>4.0950000000000006</v>
      </c>
    </row>
    <row r="589" spans="1:6">
      <c r="A589" s="206"/>
      <c r="B589" s="15" t="s">
        <v>414</v>
      </c>
      <c r="C589" s="180"/>
      <c r="D589" s="167">
        <f t="shared" si="7"/>
        <v>1.3650000000000002</v>
      </c>
      <c r="E589" s="179">
        <v>2</v>
      </c>
      <c r="F589" s="207">
        <f t="shared" si="8"/>
        <v>2.7300000000000004</v>
      </c>
    </row>
    <row r="590" spans="1:6">
      <c r="A590" s="206"/>
      <c r="B590" s="15" t="s">
        <v>555</v>
      </c>
      <c r="C590" s="180"/>
      <c r="D590" s="167">
        <f t="shared" si="7"/>
        <v>1.3650000000000002</v>
      </c>
      <c r="E590" s="179">
        <f>11+7</f>
        <v>18</v>
      </c>
      <c r="F590" s="207">
        <f t="shared" si="8"/>
        <v>24.570000000000004</v>
      </c>
    </row>
    <row r="591" spans="1:6">
      <c r="A591" s="206"/>
      <c r="B591" s="364" t="s">
        <v>14</v>
      </c>
      <c r="C591" s="364"/>
      <c r="D591" s="364"/>
      <c r="E591" s="364"/>
      <c r="F591" s="195">
        <v>275.73</v>
      </c>
    </row>
    <row r="592" spans="1:6">
      <c r="A592" s="206"/>
      <c r="B592" s="327" t="s">
        <v>563</v>
      </c>
      <c r="C592" s="327"/>
      <c r="D592" s="327"/>
      <c r="E592" s="327"/>
      <c r="F592" s="328"/>
    </row>
    <row r="593" spans="1:6">
      <c r="A593" s="206"/>
      <c r="B593" s="367" t="s">
        <v>498</v>
      </c>
      <c r="C593" s="367"/>
      <c r="D593" s="367"/>
      <c r="E593" s="367"/>
      <c r="F593" s="368"/>
    </row>
    <row r="594" spans="1:6">
      <c r="A594" s="206"/>
      <c r="B594" s="180" t="s">
        <v>97</v>
      </c>
      <c r="C594" s="45"/>
      <c r="D594" s="167">
        <f>0.65*2.1</f>
        <v>1.3650000000000002</v>
      </c>
      <c r="E594" s="167">
        <v>5</v>
      </c>
      <c r="F594" s="207">
        <f>E594*D594</f>
        <v>6.8250000000000011</v>
      </c>
    </row>
    <row r="595" spans="1:6">
      <c r="A595" s="206"/>
      <c r="B595" s="180" t="s">
        <v>118</v>
      </c>
      <c r="C595" s="45"/>
      <c r="D595" s="167">
        <f t="shared" si="5"/>
        <v>1.3650000000000002</v>
      </c>
      <c r="E595" s="167">
        <v>4</v>
      </c>
      <c r="F595" s="207">
        <f t="shared" ref="F595:F613" si="11">E595*D595</f>
        <v>5.4600000000000009</v>
      </c>
    </row>
    <row r="596" spans="1:6">
      <c r="A596" s="206"/>
      <c r="B596" s="180" t="s">
        <v>119</v>
      </c>
      <c r="C596" s="45"/>
      <c r="D596" s="167">
        <f t="shared" si="5"/>
        <v>1.3650000000000002</v>
      </c>
      <c r="E596" s="167">
        <v>7</v>
      </c>
      <c r="F596" s="207">
        <f t="shared" si="11"/>
        <v>9.5550000000000015</v>
      </c>
    </row>
    <row r="597" spans="1:6">
      <c r="A597" s="206"/>
      <c r="B597" s="180" t="s">
        <v>120</v>
      </c>
      <c r="C597" s="45"/>
      <c r="D597" s="167">
        <f t="shared" si="5"/>
        <v>1.3650000000000002</v>
      </c>
      <c r="E597" s="167">
        <v>5</v>
      </c>
      <c r="F597" s="207">
        <f t="shared" si="11"/>
        <v>6.8250000000000011</v>
      </c>
    </row>
    <row r="598" spans="1:6">
      <c r="A598" s="206"/>
      <c r="B598" s="180" t="s">
        <v>121</v>
      </c>
      <c r="C598" s="45"/>
      <c r="D598" s="167">
        <f t="shared" si="5"/>
        <v>1.3650000000000002</v>
      </c>
      <c r="E598" s="167">
        <v>5</v>
      </c>
      <c r="F598" s="207">
        <f t="shared" si="11"/>
        <v>6.8250000000000011</v>
      </c>
    </row>
    <row r="599" spans="1:6">
      <c r="A599" s="206"/>
      <c r="B599" s="180" t="s">
        <v>122</v>
      </c>
      <c r="C599" s="45"/>
      <c r="D599" s="167">
        <f t="shared" si="5"/>
        <v>1.3650000000000002</v>
      </c>
      <c r="E599" s="167">
        <v>5</v>
      </c>
      <c r="F599" s="207">
        <f t="shared" si="11"/>
        <v>6.8250000000000011</v>
      </c>
    </row>
    <row r="600" spans="1:6">
      <c r="A600" s="206"/>
      <c r="B600" s="180" t="s">
        <v>134</v>
      </c>
      <c r="C600" s="45"/>
      <c r="D600" s="167">
        <f t="shared" si="5"/>
        <v>1.3650000000000002</v>
      </c>
      <c r="E600" s="167">
        <v>5</v>
      </c>
      <c r="F600" s="207">
        <f t="shared" si="11"/>
        <v>6.8250000000000011</v>
      </c>
    </row>
    <row r="601" spans="1:6">
      <c r="A601" s="206"/>
      <c r="B601" s="180" t="s">
        <v>135</v>
      </c>
      <c r="C601" s="45"/>
      <c r="D601" s="167">
        <f t="shared" si="5"/>
        <v>1.3650000000000002</v>
      </c>
      <c r="E601" s="167">
        <v>6</v>
      </c>
      <c r="F601" s="207">
        <f t="shared" si="11"/>
        <v>8.1900000000000013</v>
      </c>
    </row>
    <row r="602" spans="1:6">
      <c r="A602" s="206"/>
      <c r="B602" s="180" t="s">
        <v>136</v>
      </c>
      <c r="C602" s="45"/>
      <c r="D602" s="167">
        <f t="shared" si="5"/>
        <v>1.3650000000000002</v>
      </c>
      <c r="E602" s="167">
        <v>6</v>
      </c>
      <c r="F602" s="207">
        <f t="shared" si="11"/>
        <v>8.1900000000000013</v>
      </c>
    </row>
    <row r="603" spans="1:6">
      <c r="A603" s="206"/>
      <c r="B603" s="180" t="s">
        <v>137</v>
      </c>
      <c r="C603" s="45"/>
      <c r="D603" s="167">
        <f t="shared" si="5"/>
        <v>1.3650000000000002</v>
      </c>
      <c r="E603" s="167">
        <v>6</v>
      </c>
      <c r="F603" s="207">
        <f t="shared" si="11"/>
        <v>8.1900000000000013</v>
      </c>
    </row>
    <row r="604" spans="1:6">
      <c r="A604" s="206"/>
      <c r="B604" s="180" t="s">
        <v>138</v>
      </c>
      <c r="C604" s="45"/>
      <c r="D604" s="167">
        <f t="shared" si="5"/>
        <v>1.3650000000000002</v>
      </c>
      <c r="E604" s="167">
        <v>11</v>
      </c>
      <c r="F604" s="207">
        <f t="shared" si="11"/>
        <v>15.015000000000002</v>
      </c>
    </row>
    <row r="605" spans="1:6">
      <c r="A605" s="206"/>
      <c r="B605" s="180" t="s">
        <v>139</v>
      </c>
      <c r="C605" s="45"/>
      <c r="D605" s="167">
        <f t="shared" si="5"/>
        <v>1.3650000000000002</v>
      </c>
      <c r="E605" s="167">
        <v>8</v>
      </c>
      <c r="F605" s="207">
        <f t="shared" si="11"/>
        <v>10.920000000000002</v>
      </c>
    </row>
    <row r="606" spans="1:6">
      <c r="A606" s="206"/>
      <c r="B606" s="15" t="s">
        <v>98</v>
      </c>
      <c r="C606" s="45"/>
      <c r="D606" s="167">
        <f t="shared" si="5"/>
        <v>1.3650000000000002</v>
      </c>
      <c r="E606" s="167">
        <v>1</v>
      </c>
      <c r="F606" s="207">
        <f t="shared" si="11"/>
        <v>1.3650000000000002</v>
      </c>
    </row>
    <row r="607" spans="1:6">
      <c r="A607" s="206"/>
      <c r="B607" s="15" t="s">
        <v>414</v>
      </c>
      <c r="C607" s="45"/>
      <c r="D607" s="167">
        <f t="shared" si="5"/>
        <v>1.3650000000000002</v>
      </c>
      <c r="E607" s="167">
        <v>4</v>
      </c>
      <c r="F607" s="207">
        <f t="shared" si="11"/>
        <v>5.4600000000000009</v>
      </c>
    </row>
    <row r="608" spans="1:6">
      <c r="A608" s="206"/>
      <c r="B608" s="15" t="s">
        <v>348</v>
      </c>
      <c r="C608" s="45"/>
      <c r="D608" s="167">
        <f t="shared" si="5"/>
        <v>1.3650000000000002</v>
      </c>
      <c r="E608" s="167">
        <v>5</v>
      </c>
      <c r="F608" s="207">
        <f t="shared" si="11"/>
        <v>6.8250000000000011</v>
      </c>
    </row>
    <row r="609" spans="1:6">
      <c r="A609" s="206"/>
      <c r="B609" s="32" t="s">
        <v>123</v>
      </c>
      <c r="C609" s="44"/>
      <c r="D609" s="167">
        <f t="shared" si="5"/>
        <v>1.3650000000000002</v>
      </c>
      <c r="E609" s="167">
        <v>10</v>
      </c>
      <c r="F609" s="207">
        <f t="shared" si="11"/>
        <v>13.650000000000002</v>
      </c>
    </row>
    <row r="610" spans="1:6">
      <c r="A610" s="206"/>
      <c r="B610" s="15" t="s">
        <v>412</v>
      </c>
      <c r="C610" s="45"/>
      <c r="D610" s="167">
        <f t="shared" si="5"/>
        <v>1.3650000000000002</v>
      </c>
      <c r="E610" s="167">
        <v>9</v>
      </c>
      <c r="F610" s="207">
        <f t="shared" si="11"/>
        <v>12.285000000000002</v>
      </c>
    </row>
    <row r="611" spans="1:6">
      <c r="A611" s="206"/>
      <c r="B611" s="15" t="s">
        <v>202</v>
      </c>
      <c r="C611" s="45"/>
      <c r="D611" s="167">
        <f t="shared" si="5"/>
        <v>1.3650000000000002</v>
      </c>
      <c r="E611" s="167">
        <v>1</v>
      </c>
      <c r="F611" s="207">
        <f t="shared" si="11"/>
        <v>1.3650000000000002</v>
      </c>
    </row>
    <row r="612" spans="1:6">
      <c r="A612" s="206"/>
      <c r="B612" s="15" t="s">
        <v>141</v>
      </c>
      <c r="C612" s="45"/>
      <c r="D612" s="167">
        <f t="shared" si="5"/>
        <v>1.3650000000000002</v>
      </c>
      <c r="E612" s="167">
        <v>9</v>
      </c>
      <c r="F612" s="207">
        <f t="shared" si="11"/>
        <v>12.285000000000002</v>
      </c>
    </row>
    <row r="613" spans="1:6">
      <c r="A613" s="206"/>
      <c r="B613" s="15" t="s">
        <v>142</v>
      </c>
      <c r="C613" s="45"/>
      <c r="D613" s="167">
        <f t="shared" si="5"/>
        <v>1.3650000000000002</v>
      </c>
      <c r="E613" s="167">
        <v>38</v>
      </c>
      <c r="F613" s="207">
        <f t="shared" si="11"/>
        <v>51.870000000000005</v>
      </c>
    </row>
    <row r="614" spans="1:6">
      <c r="A614" s="14"/>
      <c r="B614" s="364" t="s">
        <v>14</v>
      </c>
      <c r="C614" s="364"/>
      <c r="D614" s="364"/>
      <c r="E614" s="364"/>
      <c r="F614" s="195">
        <f>SUM(F594:F613)</f>
        <v>204.75000000000003</v>
      </c>
    </row>
    <row r="615" spans="1:6">
      <c r="A615" s="14"/>
      <c r="B615" s="329" t="s">
        <v>8</v>
      </c>
      <c r="C615" s="329"/>
      <c r="D615" s="329"/>
      <c r="E615" s="329"/>
      <c r="F615" s="143">
        <v>630.63</v>
      </c>
    </row>
    <row r="616" spans="1:6">
      <c r="A616" s="190">
        <v>8</v>
      </c>
      <c r="B616" s="347" t="s">
        <v>904</v>
      </c>
      <c r="C616" s="347"/>
      <c r="D616" s="347"/>
      <c r="E616" s="347"/>
      <c r="F616" s="348"/>
    </row>
    <row r="617" spans="1:6" ht="15" customHeight="1">
      <c r="A617" s="232" t="str">
        <f>ORÇAMENTO!A70</f>
        <v>8.1</v>
      </c>
      <c r="B617" s="109" t="str">
        <f>ORÇAMENTO!D70</f>
        <v>TRAMA DE AÇO COMPOSTA POR TERÇAS PARA TELHADOS DE ATÉ 2 ÁGUAS PARA TELHA ONDULADA DE FIBROCIMENTO, METÁLICA, PLÁSTICA OU TERMOACÚSTICA, INCLUSO TRANSPORTE VERTICAL. AF_12/2015</v>
      </c>
      <c r="C617" s="95" t="s">
        <v>13</v>
      </c>
      <c r="D617" s="91" t="s">
        <v>19</v>
      </c>
      <c r="E617" s="91" t="s">
        <v>198</v>
      </c>
      <c r="F617" s="250" t="s">
        <v>8</v>
      </c>
    </row>
    <row r="618" spans="1:6" ht="15" customHeight="1">
      <c r="A618" s="191"/>
      <c r="B618" s="327" t="s">
        <v>563</v>
      </c>
      <c r="C618" s="327"/>
      <c r="D618" s="327"/>
      <c r="E618" s="327"/>
      <c r="F618" s="328"/>
    </row>
    <row r="619" spans="1:6">
      <c r="A619" s="14"/>
      <c r="B619" s="53" t="s">
        <v>905</v>
      </c>
      <c r="C619" s="170"/>
      <c r="D619" s="172">
        <v>5.0999999999999996</v>
      </c>
      <c r="E619" s="172">
        <v>1.8</v>
      </c>
      <c r="F619" s="128">
        <f>E619*D619</f>
        <v>9.18</v>
      </c>
    </row>
    <row r="620" spans="1:6">
      <c r="A620" s="14"/>
      <c r="B620" s="329" t="s">
        <v>8</v>
      </c>
      <c r="C620" s="329"/>
      <c r="D620" s="329"/>
      <c r="E620" s="329"/>
      <c r="F620" s="143">
        <v>9.18</v>
      </c>
    </row>
    <row r="621" spans="1:6">
      <c r="A621" s="190">
        <v>9</v>
      </c>
      <c r="B621" s="347" t="s">
        <v>908</v>
      </c>
      <c r="C621" s="347"/>
      <c r="D621" s="347"/>
      <c r="E621" s="347"/>
      <c r="F621" s="348"/>
    </row>
    <row r="622" spans="1:6" ht="15" customHeight="1">
      <c r="A622" s="232" t="str">
        <f>ORÇAMENTO!A74</f>
        <v>9.1</v>
      </c>
      <c r="B622" s="109" t="str">
        <f>ORÇAMENTO!D74</f>
        <v>COBERTURA COM TELHA ONDULADA OU EQUIV.</v>
      </c>
      <c r="C622" s="95" t="s">
        <v>13</v>
      </c>
      <c r="D622" s="91" t="s">
        <v>19</v>
      </c>
      <c r="E622" s="91" t="s">
        <v>198</v>
      </c>
      <c r="F622" s="250" t="s">
        <v>8</v>
      </c>
    </row>
    <row r="623" spans="1:6" ht="15" customHeight="1">
      <c r="A623" s="191"/>
      <c r="B623" s="327" t="s">
        <v>563</v>
      </c>
      <c r="C623" s="327"/>
      <c r="D623" s="327"/>
      <c r="E623" s="327"/>
      <c r="F623" s="328"/>
    </row>
    <row r="624" spans="1:6">
      <c r="A624" s="14"/>
      <c r="B624" s="53" t="s">
        <v>910</v>
      </c>
      <c r="C624" s="170"/>
      <c r="D624" s="172">
        <v>5.0999999999999996</v>
      </c>
      <c r="E624" s="172">
        <v>1.8</v>
      </c>
      <c r="F624" s="128">
        <f>E624*D624</f>
        <v>9.18</v>
      </c>
    </row>
    <row r="625" spans="1:6" ht="15" customHeight="1">
      <c r="A625" s="191"/>
      <c r="B625" s="327" t="s">
        <v>550</v>
      </c>
      <c r="C625" s="327"/>
      <c r="D625" s="327"/>
      <c r="E625" s="327"/>
      <c r="F625" s="328"/>
    </row>
    <row r="626" spans="1:6">
      <c r="A626" s="14"/>
      <c r="B626" s="53" t="s">
        <v>909</v>
      </c>
      <c r="C626" s="170"/>
      <c r="D626" s="172">
        <v>1.8</v>
      </c>
      <c r="E626" s="172">
        <v>1.4</v>
      </c>
      <c r="F626" s="128">
        <f>E626*D626</f>
        <v>2.52</v>
      </c>
    </row>
    <row r="627" spans="1:6">
      <c r="A627" s="14"/>
      <c r="B627" s="329" t="s">
        <v>8</v>
      </c>
      <c r="C627" s="329"/>
      <c r="D627" s="329"/>
      <c r="E627" s="329"/>
      <c r="F627" s="143">
        <v>11.7</v>
      </c>
    </row>
    <row r="628" spans="1:6">
      <c r="A628" s="232" t="str">
        <f>ORÇAMENTO!A75</f>
        <v>9.2</v>
      </c>
      <c r="B628" s="109" t="str">
        <f>ORÇAMENTO!D75</f>
        <v>COBERTURA COM TELHA FIBERGLASS COM VÉU PROTEÇÃO 1MM COM ACESSÓRIOS</v>
      </c>
      <c r="C628" s="95" t="s">
        <v>13</v>
      </c>
      <c r="D628" s="91" t="s">
        <v>19</v>
      </c>
      <c r="E628" s="91" t="s">
        <v>198</v>
      </c>
      <c r="F628" s="250" t="s">
        <v>8</v>
      </c>
    </row>
    <row r="629" spans="1:6" ht="15" customHeight="1">
      <c r="A629" s="191"/>
      <c r="B629" s="327" t="s">
        <v>563</v>
      </c>
      <c r="C629" s="327"/>
      <c r="D629" s="327"/>
      <c r="E629" s="327"/>
      <c r="F629" s="328"/>
    </row>
    <row r="630" spans="1:6">
      <c r="A630" s="14"/>
      <c r="B630" s="146" t="s">
        <v>913</v>
      </c>
      <c r="C630" s="170"/>
      <c r="D630" s="172">
        <v>15.1</v>
      </c>
      <c r="E630" s="172">
        <v>3.15</v>
      </c>
      <c r="F630" s="128">
        <f>E630*D630</f>
        <v>47.564999999999998</v>
      </c>
    </row>
    <row r="631" spans="1:6">
      <c r="A631" s="14"/>
      <c r="B631" s="329" t="s">
        <v>8</v>
      </c>
      <c r="C631" s="329"/>
      <c r="D631" s="329"/>
      <c r="E631" s="329"/>
      <c r="F631" s="143">
        <v>47.57</v>
      </c>
    </row>
    <row r="632" spans="1:6">
      <c r="A632" s="190">
        <v>10</v>
      </c>
      <c r="B632" s="347" t="s">
        <v>351</v>
      </c>
      <c r="C632" s="347"/>
      <c r="D632" s="347"/>
      <c r="E632" s="347"/>
      <c r="F632" s="348"/>
    </row>
    <row r="633" spans="1:6">
      <c r="A633" s="232" t="str">
        <f>ORÇAMENTO!A79</f>
        <v>10.1</v>
      </c>
      <c r="B633" s="109" t="s">
        <v>350</v>
      </c>
      <c r="C633" s="186" t="s">
        <v>112</v>
      </c>
      <c r="D633" s="334" t="s">
        <v>95</v>
      </c>
      <c r="E633" s="334"/>
      <c r="F633" s="335"/>
    </row>
    <row r="634" spans="1:6">
      <c r="A634" s="206"/>
      <c r="B634" s="53" t="s">
        <v>563</v>
      </c>
      <c r="C634" s="170"/>
      <c r="D634" s="325"/>
      <c r="E634" s="325"/>
      <c r="F634" s="326"/>
    </row>
    <row r="635" spans="1:6">
      <c r="A635" s="206"/>
      <c r="B635" s="53" t="s">
        <v>151</v>
      </c>
      <c r="C635" s="170"/>
      <c r="D635" s="325">
        <v>13</v>
      </c>
      <c r="E635" s="325"/>
      <c r="F635" s="326"/>
    </row>
    <row r="636" spans="1:6">
      <c r="A636" s="206"/>
      <c r="B636" s="53" t="s">
        <v>352</v>
      </c>
      <c r="C636" s="170"/>
      <c r="D636" s="325">
        <v>14</v>
      </c>
      <c r="E636" s="325"/>
      <c r="F636" s="326"/>
    </row>
    <row r="637" spans="1:6">
      <c r="A637" s="206"/>
      <c r="B637" s="329" t="s">
        <v>8</v>
      </c>
      <c r="C637" s="329"/>
      <c r="D637" s="329"/>
      <c r="E637" s="329"/>
      <c r="F637" s="143">
        <f>SUM(D635:F636)</f>
        <v>27</v>
      </c>
    </row>
    <row r="638" spans="1:6">
      <c r="A638" s="208">
        <v>11</v>
      </c>
      <c r="B638" s="347" t="s">
        <v>339</v>
      </c>
      <c r="C638" s="347"/>
      <c r="D638" s="347"/>
      <c r="E638" s="347"/>
      <c r="F638" s="348"/>
    </row>
    <row r="639" spans="1:6" ht="30">
      <c r="A639" s="232" t="str">
        <f>ORÇAMENTO!A83</f>
        <v>11.1</v>
      </c>
      <c r="B639" s="109" t="s">
        <v>337</v>
      </c>
      <c r="C639" s="95" t="s">
        <v>13</v>
      </c>
      <c r="D639" s="91" t="s">
        <v>19</v>
      </c>
      <c r="E639" s="91" t="s">
        <v>95</v>
      </c>
      <c r="F639" s="250" t="s">
        <v>8</v>
      </c>
    </row>
    <row r="640" spans="1:6">
      <c r="A640" s="203"/>
      <c r="B640" s="327" t="s">
        <v>563</v>
      </c>
      <c r="C640" s="327"/>
      <c r="D640" s="327"/>
      <c r="E640" s="327"/>
      <c r="F640" s="328"/>
    </row>
    <row r="641" spans="1:6">
      <c r="A641" s="203"/>
      <c r="B641" s="53" t="s">
        <v>340</v>
      </c>
      <c r="C641" s="170"/>
      <c r="D641" s="172">
        <v>2.5</v>
      </c>
      <c r="E641" s="172">
        <v>1</v>
      </c>
      <c r="F641" s="128">
        <f>E641*D641</f>
        <v>2.5</v>
      </c>
    </row>
    <row r="642" spans="1:6">
      <c r="A642" s="203"/>
      <c r="B642" s="53" t="s">
        <v>341</v>
      </c>
      <c r="C642" s="170"/>
      <c r="D642" s="172">
        <v>2</v>
      </c>
      <c r="E642" s="172">
        <v>3</v>
      </c>
      <c r="F642" s="128">
        <f t="shared" ref="F642:F645" si="12">E642*D642</f>
        <v>6</v>
      </c>
    </row>
    <row r="643" spans="1:6">
      <c r="A643" s="203"/>
      <c r="B643" s="53" t="s">
        <v>916</v>
      </c>
      <c r="C643" s="170"/>
      <c r="D643" s="172">
        <v>3.3</v>
      </c>
      <c r="E643" s="172">
        <v>1</v>
      </c>
      <c r="F643" s="128">
        <f t="shared" si="12"/>
        <v>3.3</v>
      </c>
    </row>
    <row r="644" spans="1:6">
      <c r="A644" s="203"/>
      <c r="B644" s="53" t="s">
        <v>917</v>
      </c>
      <c r="C644" s="170"/>
      <c r="D644" s="172">
        <v>1.6</v>
      </c>
      <c r="E644" s="172">
        <v>1</v>
      </c>
      <c r="F644" s="128">
        <f t="shared" si="12"/>
        <v>1.6</v>
      </c>
    </row>
    <row r="645" spans="1:6">
      <c r="A645" s="203"/>
      <c r="B645" s="53" t="s">
        <v>918</v>
      </c>
      <c r="C645" s="170"/>
      <c r="D645" s="172">
        <v>0.55000000000000004</v>
      </c>
      <c r="E645" s="172">
        <v>1</v>
      </c>
      <c r="F645" s="128">
        <f t="shared" si="12"/>
        <v>0.55000000000000004</v>
      </c>
    </row>
    <row r="646" spans="1:6">
      <c r="A646" s="203"/>
      <c r="B646" s="329" t="s">
        <v>8</v>
      </c>
      <c r="C646" s="329"/>
      <c r="D646" s="329"/>
      <c r="E646" s="329"/>
      <c r="F646" s="143">
        <v>13.95</v>
      </c>
    </row>
    <row r="647" spans="1:6">
      <c r="A647" s="232" t="str">
        <f>ORÇAMENTO!A84</f>
        <v>11.2</v>
      </c>
      <c r="B647" s="88" t="s">
        <v>353</v>
      </c>
      <c r="C647" s="95" t="s">
        <v>13</v>
      </c>
      <c r="D647" s="90" t="s">
        <v>248</v>
      </c>
      <c r="E647" s="91" t="s">
        <v>198</v>
      </c>
      <c r="F647" s="250" t="s">
        <v>8</v>
      </c>
    </row>
    <row r="648" spans="1:6">
      <c r="A648" s="203"/>
      <c r="B648" s="365" t="s">
        <v>550</v>
      </c>
      <c r="C648" s="365"/>
      <c r="D648" s="365"/>
      <c r="E648" s="365"/>
      <c r="F648" s="366"/>
    </row>
    <row r="649" spans="1:6">
      <c r="A649" s="201"/>
      <c r="B649" s="53" t="s">
        <v>518</v>
      </c>
      <c r="C649" s="58"/>
      <c r="D649" s="172">
        <v>0.7</v>
      </c>
      <c r="E649" s="172">
        <v>2.5</v>
      </c>
      <c r="F649" s="128">
        <f t="shared" ref="F649:F653" si="13">E649*D649</f>
        <v>1.75</v>
      </c>
    </row>
    <row r="650" spans="1:6">
      <c r="A650" s="201"/>
      <c r="B650" s="53" t="s">
        <v>519</v>
      </c>
      <c r="C650" s="58"/>
      <c r="D650" s="172">
        <v>0.7</v>
      </c>
      <c r="E650" s="172">
        <v>2.5</v>
      </c>
      <c r="F650" s="128">
        <f t="shared" si="13"/>
        <v>1.75</v>
      </c>
    </row>
    <row r="651" spans="1:6">
      <c r="A651" s="201"/>
      <c r="B651" s="53" t="s">
        <v>512</v>
      </c>
      <c r="C651" s="93"/>
      <c r="D651" s="172">
        <v>0.7</v>
      </c>
      <c r="E651" s="172">
        <v>2.5</v>
      </c>
      <c r="F651" s="128">
        <f t="shared" si="13"/>
        <v>1.75</v>
      </c>
    </row>
    <row r="652" spans="1:6">
      <c r="A652" s="201"/>
      <c r="B652" s="53" t="s">
        <v>511</v>
      </c>
      <c r="C652" s="170"/>
      <c r="D652" s="172">
        <v>0.7</v>
      </c>
      <c r="E652" s="172">
        <v>2.5</v>
      </c>
      <c r="F652" s="128">
        <f t="shared" si="13"/>
        <v>1.75</v>
      </c>
    </row>
    <row r="653" spans="1:6">
      <c r="A653" s="201"/>
      <c r="B653" s="53" t="s">
        <v>676</v>
      </c>
      <c r="C653" s="170"/>
      <c r="D653" s="172">
        <v>2.25</v>
      </c>
      <c r="E653" s="172">
        <v>2.5</v>
      </c>
      <c r="F653" s="128">
        <f t="shared" si="13"/>
        <v>5.625</v>
      </c>
    </row>
    <row r="654" spans="1:6">
      <c r="A654" s="14"/>
      <c r="B654" s="364" t="s">
        <v>14</v>
      </c>
      <c r="C654" s="364"/>
      <c r="D654" s="364"/>
      <c r="E654" s="364"/>
      <c r="F654" s="195">
        <f>SUM(F649:F653)</f>
        <v>12.625</v>
      </c>
    </row>
    <row r="655" spans="1:6">
      <c r="A655" s="203"/>
      <c r="B655" s="365" t="s">
        <v>563</v>
      </c>
      <c r="C655" s="365"/>
      <c r="D655" s="365"/>
      <c r="E655" s="365"/>
      <c r="F655" s="366"/>
    </row>
    <row r="656" spans="1:6">
      <c r="A656" s="203"/>
      <c r="B656" s="53" t="s">
        <v>151</v>
      </c>
      <c r="C656" s="170"/>
      <c r="D656" s="172">
        <v>0.9</v>
      </c>
      <c r="E656" s="172">
        <v>2.5</v>
      </c>
      <c r="F656" s="128">
        <f t="shared" ref="F656:F662" si="14">E656*D656</f>
        <v>2.25</v>
      </c>
    </row>
    <row r="657" spans="1:6">
      <c r="A657" s="203"/>
      <c r="B657" s="53" t="s">
        <v>354</v>
      </c>
      <c r="C657" s="170"/>
      <c r="D657" s="172">
        <v>0.9</v>
      </c>
      <c r="E657" s="172">
        <v>2.5</v>
      </c>
      <c r="F657" s="128">
        <f t="shared" si="14"/>
        <v>2.25</v>
      </c>
    </row>
    <row r="658" spans="1:6">
      <c r="A658" s="203"/>
      <c r="B658" s="53" t="s">
        <v>402</v>
      </c>
      <c r="C658" s="170"/>
      <c r="D658" s="172">
        <v>0.9</v>
      </c>
      <c r="E658" s="172">
        <v>2.5</v>
      </c>
      <c r="F658" s="128">
        <f t="shared" si="14"/>
        <v>2.25</v>
      </c>
    </row>
    <row r="659" spans="1:6">
      <c r="A659" s="203"/>
      <c r="B659" s="53" t="s">
        <v>138</v>
      </c>
      <c r="C659" s="170"/>
      <c r="D659" s="172">
        <v>0.9</v>
      </c>
      <c r="E659" s="172">
        <v>2.5</v>
      </c>
      <c r="F659" s="128">
        <f t="shared" si="14"/>
        <v>2.25</v>
      </c>
    </row>
    <row r="660" spans="1:6">
      <c r="A660" s="203"/>
      <c r="B660" s="53" t="s">
        <v>403</v>
      </c>
      <c r="C660" s="170"/>
      <c r="D660" s="172">
        <v>0.9</v>
      </c>
      <c r="E660" s="172">
        <v>2.5</v>
      </c>
      <c r="F660" s="128">
        <f t="shared" si="14"/>
        <v>2.25</v>
      </c>
    </row>
    <row r="661" spans="1:6">
      <c r="A661" s="203"/>
      <c r="B661" s="53" t="s">
        <v>141</v>
      </c>
      <c r="C661" s="170"/>
      <c r="D661" s="172">
        <v>2.25</v>
      </c>
      <c r="E661" s="172">
        <v>2.5</v>
      </c>
      <c r="F661" s="128">
        <f t="shared" si="14"/>
        <v>5.625</v>
      </c>
    </row>
    <row r="662" spans="1:6">
      <c r="A662" s="203"/>
      <c r="B662" s="53" t="s">
        <v>222</v>
      </c>
      <c r="C662" s="170"/>
      <c r="D662" s="172">
        <v>0.9</v>
      </c>
      <c r="E662" s="172">
        <v>2.1</v>
      </c>
      <c r="F662" s="128">
        <f t="shared" si="14"/>
        <v>1.8900000000000001</v>
      </c>
    </row>
    <row r="663" spans="1:6">
      <c r="A663" s="14"/>
      <c r="B663" s="364" t="s">
        <v>14</v>
      </c>
      <c r="C663" s="364"/>
      <c r="D663" s="364"/>
      <c r="E663" s="364"/>
      <c r="F663" s="195">
        <f>SUM(F656:F662)</f>
        <v>18.765000000000001</v>
      </c>
    </row>
    <row r="664" spans="1:6">
      <c r="A664" s="203"/>
      <c r="B664" s="329" t="s">
        <v>8</v>
      </c>
      <c r="C664" s="329"/>
      <c r="D664" s="329"/>
      <c r="E664" s="329"/>
      <c r="F664" s="143">
        <v>31.39</v>
      </c>
    </row>
    <row r="665" spans="1:6">
      <c r="A665" s="190">
        <v>12</v>
      </c>
      <c r="B665" s="347" t="s">
        <v>155</v>
      </c>
      <c r="C665" s="347"/>
      <c r="D665" s="347"/>
      <c r="E665" s="347"/>
      <c r="F665" s="348"/>
    </row>
    <row r="666" spans="1:6">
      <c r="A666" s="232" t="str">
        <f>ORÇAMENTO!A88</f>
        <v>12.1</v>
      </c>
      <c r="B666" s="88" t="s">
        <v>156</v>
      </c>
      <c r="C666" s="95" t="s">
        <v>13</v>
      </c>
      <c r="D666" s="91" t="s">
        <v>96</v>
      </c>
      <c r="E666" s="90" t="s">
        <v>95</v>
      </c>
      <c r="F666" s="250" t="s">
        <v>8</v>
      </c>
    </row>
    <row r="667" spans="1:6">
      <c r="A667" s="204"/>
      <c r="B667" s="365" t="s">
        <v>288</v>
      </c>
      <c r="C667" s="365"/>
      <c r="D667" s="365"/>
      <c r="E667" s="365"/>
      <c r="F667" s="366"/>
    </row>
    <row r="668" spans="1:6">
      <c r="A668" s="204"/>
      <c r="B668" s="53" t="s">
        <v>536</v>
      </c>
      <c r="C668" s="170"/>
      <c r="D668" s="167">
        <f>0.5*2</f>
        <v>1</v>
      </c>
      <c r="E668" s="71">
        <v>2</v>
      </c>
      <c r="F668" s="128">
        <f>D668*E668</f>
        <v>2</v>
      </c>
    </row>
    <row r="669" spans="1:6">
      <c r="A669" s="204"/>
      <c r="B669" s="53" t="s">
        <v>541</v>
      </c>
      <c r="C669" s="170"/>
      <c r="D669" s="167">
        <f>0.5*2</f>
        <v>1</v>
      </c>
      <c r="E669" s="71">
        <v>2</v>
      </c>
      <c r="F669" s="128">
        <f t="shared" ref="F669" si="15">D669*E669</f>
        <v>2</v>
      </c>
    </row>
    <row r="670" spans="1:6">
      <c r="A670" s="204"/>
      <c r="B670" s="53" t="s">
        <v>928</v>
      </c>
      <c r="C670" s="170"/>
      <c r="D670" s="167">
        <f t="shared" ref="D670:D677" si="16">0.5*2</f>
        <v>1</v>
      </c>
      <c r="E670" s="71">
        <v>2</v>
      </c>
      <c r="F670" s="128">
        <f t="shared" ref="F670:F677" si="17">D670*E670</f>
        <v>2</v>
      </c>
    </row>
    <row r="671" spans="1:6">
      <c r="A671" s="204"/>
      <c r="B671" s="53" t="s">
        <v>929</v>
      </c>
      <c r="C671" s="170"/>
      <c r="D671" s="167">
        <f t="shared" si="16"/>
        <v>1</v>
      </c>
      <c r="E671" s="71">
        <v>2</v>
      </c>
      <c r="F671" s="128">
        <f t="shared" si="17"/>
        <v>2</v>
      </c>
    </row>
    <row r="672" spans="1:6">
      <c r="A672" s="204"/>
      <c r="B672" s="53" t="s">
        <v>930</v>
      </c>
      <c r="C672" s="170"/>
      <c r="D672" s="167">
        <f t="shared" si="16"/>
        <v>1</v>
      </c>
      <c r="E672" s="71">
        <v>2</v>
      </c>
      <c r="F672" s="128">
        <f t="shared" si="17"/>
        <v>2</v>
      </c>
    </row>
    <row r="673" spans="1:6">
      <c r="A673" s="204"/>
      <c r="B673" s="53" t="s">
        <v>931</v>
      </c>
      <c r="C673" s="170"/>
      <c r="D673" s="167">
        <f t="shared" si="16"/>
        <v>1</v>
      </c>
      <c r="E673" s="71">
        <v>2</v>
      </c>
      <c r="F673" s="128">
        <f t="shared" si="17"/>
        <v>2</v>
      </c>
    </row>
    <row r="674" spans="1:6">
      <c r="A674" s="204"/>
      <c r="B674" s="53" t="s">
        <v>932</v>
      </c>
      <c r="C674" s="170"/>
      <c r="D674" s="167">
        <f t="shared" si="16"/>
        <v>1</v>
      </c>
      <c r="E674" s="71">
        <v>2</v>
      </c>
      <c r="F674" s="128">
        <f t="shared" si="17"/>
        <v>2</v>
      </c>
    </row>
    <row r="675" spans="1:6">
      <c r="A675" s="204"/>
      <c r="B675" s="53" t="s">
        <v>536</v>
      </c>
      <c r="C675" s="170"/>
      <c r="D675" s="167">
        <f t="shared" si="16"/>
        <v>1</v>
      </c>
      <c r="E675" s="71">
        <v>2</v>
      </c>
      <c r="F675" s="128">
        <f t="shared" si="17"/>
        <v>2</v>
      </c>
    </row>
    <row r="676" spans="1:6">
      <c r="A676" s="204"/>
      <c r="B676" s="53" t="s">
        <v>933</v>
      </c>
      <c r="C676" s="170"/>
      <c r="D676" s="167">
        <f t="shared" si="16"/>
        <v>1</v>
      </c>
      <c r="E676" s="71">
        <v>2</v>
      </c>
      <c r="F676" s="128">
        <f t="shared" si="17"/>
        <v>2</v>
      </c>
    </row>
    <row r="677" spans="1:6">
      <c r="A677" s="204"/>
      <c r="B677" s="53" t="s">
        <v>934</v>
      </c>
      <c r="C677" s="170"/>
      <c r="D677" s="167">
        <f t="shared" si="16"/>
        <v>1</v>
      </c>
      <c r="E677" s="71">
        <v>4</v>
      </c>
      <c r="F677" s="128">
        <f t="shared" si="17"/>
        <v>4</v>
      </c>
    </row>
    <row r="678" spans="1:6">
      <c r="A678" s="204"/>
      <c r="B678" s="364" t="s">
        <v>14</v>
      </c>
      <c r="C678" s="364"/>
      <c r="D678" s="364"/>
      <c r="E678" s="364"/>
      <c r="F678" s="195">
        <v>22</v>
      </c>
    </row>
    <row r="679" spans="1:6">
      <c r="A679" s="204"/>
      <c r="B679" s="365" t="s">
        <v>550</v>
      </c>
      <c r="C679" s="365"/>
      <c r="D679" s="365"/>
      <c r="E679" s="365"/>
      <c r="F679" s="366"/>
    </row>
    <row r="680" spans="1:6">
      <c r="A680" s="204"/>
      <c r="B680" s="184" t="s">
        <v>569</v>
      </c>
      <c r="C680" s="58"/>
      <c r="D680" s="167">
        <f>0.5*2</f>
        <v>1</v>
      </c>
      <c r="E680" s="71">
        <v>2</v>
      </c>
      <c r="F680" s="128">
        <f t="shared" ref="F680:F690" si="18">D680*E680</f>
        <v>2</v>
      </c>
    </row>
    <row r="681" spans="1:6">
      <c r="A681" s="201"/>
      <c r="B681" s="15" t="s">
        <v>935</v>
      </c>
      <c r="C681" s="58"/>
      <c r="D681" s="167">
        <f>0.5*2</f>
        <v>1</v>
      </c>
      <c r="E681" s="71">
        <v>5</v>
      </c>
      <c r="F681" s="128">
        <f t="shared" si="18"/>
        <v>5</v>
      </c>
    </row>
    <row r="682" spans="1:6">
      <c r="A682" s="201"/>
      <c r="B682" s="15" t="s">
        <v>936</v>
      </c>
      <c r="C682" s="58"/>
      <c r="D682" s="167">
        <f t="shared" ref="D682:D690" si="19">0.5*2</f>
        <v>1</v>
      </c>
      <c r="E682" s="172">
        <v>2</v>
      </c>
      <c r="F682" s="128">
        <f t="shared" si="18"/>
        <v>2</v>
      </c>
    </row>
    <row r="683" spans="1:6">
      <c r="A683" s="201"/>
      <c r="B683" s="15" t="s">
        <v>937</v>
      </c>
      <c r="C683" s="58"/>
      <c r="D683" s="167">
        <f t="shared" si="19"/>
        <v>1</v>
      </c>
      <c r="E683" s="172">
        <v>3</v>
      </c>
      <c r="F683" s="128">
        <f t="shared" si="18"/>
        <v>3</v>
      </c>
    </row>
    <row r="684" spans="1:6">
      <c r="A684" s="201"/>
      <c r="B684" s="15" t="s">
        <v>938</v>
      </c>
      <c r="C684" s="58"/>
      <c r="D684" s="167">
        <f t="shared" si="19"/>
        <v>1</v>
      </c>
      <c r="E684" s="172">
        <v>2</v>
      </c>
      <c r="F684" s="128">
        <f t="shared" si="18"/>
        <v>2</v>
      </c>
    </row>
    <row r="685" spans="1:6">
      <c r="A685" s="201"/>
      <c r="B685" s="15" t="s">
        <v>939</v>
      </c>
      <c r="C685" s="58"/>
      <c r="D685" s="167">
        <f t="shared" si="19"/>
        <v>1</v>
      </c>
      <c r="E685" s="172">
        <v>4</v>
      </c>
      <c r="F685" s="128">
        <f t="shared" si="18"/>
        <v>4</v>
      </c>
    </row>
    <row r="686" spans="1:6">
      <c r="A686" s="201"/>
      <c r="B686" s="15" t="s">
        <v>940</v>
      </c>
      <c r="C686" s="58"/>
      <c r="D686" s="167">
        <f t="shared" si="19"/>
        <v>1</v>
      </c>
      <c r="E686" s="172">
        <v>4</v>
      </c>
      <c r="F686" s="128">
        <f t="shared" si="18"/>
        <v>4</v>
      </c>
    </row>
    <row r="687" spans="1:6">
      <c r="A687" s="201"/>
      <c r="B687" s="15" t="s">
        <v>941</v>
      </c>
      <c r="C687" s="58"/>
      <c r="D687" s="167">
        <f t="shared" si="19"/>
        <v>1</v>
      </c>
      <c r="E687" s="172">
        <v>4</v>
      </c>
      <c r="F687" s="128">
        <f t="shared" si="18"/>
        <v>4</v>
      </c>
    </row>
    <row r="688" spans="1:6">
      <c r="A688" s="201"/>
      <c r="B688" s="100" t="s">
        <v>942</v>
      </c>
      <c r="C688" s="170"/>
      <c r="D688" s="167">
        <f t="shared" si="19"/>
        <v>1</v>
      </c>
      <c r="E688" s="172">
        <v>3</v>
      </c>
      <c r="F688" s="128">
        <f t="shared" si="18"/>
        <v>3</v>
      </c>
    </row>
    <row r="689" spans="1:6">
      <c r="A689" s="201"/>
      <c r="B689" s="15" t="s">
        <v>943</v>
      </c>
      <c r="C689" s="170"/>
      <c r="D689" s="167">
        <f t="shared" si="19"/>
        <v>1</v>
      </c>
      <c r="E689" s="172">
        <v>30</v>
      </c>
      <c r="F689" s="128">
        <f t="shared" si="18"/>
        <v>30</v>
      </c>
    </row>
    <row r="690" spans="1:6">
      <c r="A690" s="201"/>
      <c r="B690" s="15" t="s">
        <v>944</v>
      </c>
      <c r="C690" s="170"/>
      <c r="D690" s="167">
        <f t="shared" si="19"/>
        <v>1</v>
      </c>
      <c r="E690" s="172">
        <v>2</v>
      </c>
      <c r="F690" s="128">
        <f t="shared" si="18"/>
        <v>2</v>
      </c>
    </row>
    <row r="691" spans="1:6">
      <c r="A691" s="204"/>
      <c r="B691" s="364" t="s">
        <v>14</v>
      </c>
      <c r="C691" s="364"/>
      <c r="D691" s="364"/>
      <c r="E691" s="364"/>
      <c r="F691" s="195">
        <v>61</v>
      </c>
    </row>
    <row r="692" spans="1:6">
      <c r="A692" s="204"/>
      <c r="B692" s="365" t="s">
        <v>563</v>
      </c>
      <c r="C692" s="365"/>
      <c r="D692" s="365"/>
      <c r="E692" s="365"/>
      <c r="F692" s="366"/>
    </row>
    <row r="693" spans="1:6">
      <c r="A693" s="204"/>
      <c r="B693" s="419" t="s">
        <v>356</v>
      </c>
      <c r="C693" s="419"/>
      <c r="D693" s="419"/>
      <c r="E693" s="419"/>
      <c r="F693" s="420"/>
    </row>
    <row r="694" spans="1:6">
      <c r="A694" s="204"/>
      <c r="B694" s="32" t="s">
        <v>418</v>
      </c>
      <c r="C694" s="58"/>
      <c r="D694" s="167">
        <f>0.5*2</f>
        <v>1</v>
      </c>
      <c r="E694" s="71">
        <v>6</v>
      </c>
      <c r="F694" s="128">
        <f t="shared" ref="F694:F703" si="20">D694*E694</f>
        <v>6</v>
      </c>
    </row>
    <row r="695" spans="1:6">
      <c r="A695" s="204"/>
      <c r="B695" s="32" t="s">
        <v>419</v>
      </c>
      <c r="C695" s="58"/>
      <c r="D695" s="172">
        <f t="shared" ref="D695:D703" si="21">0.5*1.6</f>
        <v>0.8</v>
      </c>
      <c r="E695" s="172">
        <v>6</v>
      </c>
      <c r="F695" s="128">
        <f t="shared" si="20"/>
        <v>4.8000000000000007</v>
      </c>
    </row>
    <row r="696" spans="1:6">
      <c r="A696" s="204"/>
      <c r="B696" s="32" t="s">
        <v>422</v>
      </c>
      <c r="C696" s="58"/>
      <c r="D696" s="172">
        <f t="shared" si="21"/>
        <v>0.8</v>
      </c>
      <c r="E696" s="172">
        <v>5</v>
      </c>
      <c r="F696" s="128">
        <f t="shared" si="20"/>
        <v>4</v>
      </c>
    </row>
    <row r="697" spans="1:6">
      <c r="A697" s="204"/>
      <c r="B697" s="32" t="s">
        <v>357</v>
      </c>
      <c r="C697" s="58"/>
      <c r="D697" s="172">
        <f t="shared" si="21"/>
        <v>0.8</v>
      </c>
      <c r="E697" s="172">
        <v>5</v>
      </c>
      <c r="F697" s="128">
        <f t="shared" si="20"/>
        <v>4</v>
      </c>
    </row>
    <row r="698" spans="1:6">
      <c r="A698" s="204"/>
      <c r="B698" s="32" t="s">
        <v>358</v>
      </c>
      <c r="C698" s="58"/>
      <c r="D698" s="172">
        <f t="shared" si="21"/>
        <v>0.8</v>
      </c>
      <c r="E698" s="172">
        <v>5</v>
      </c>
      <c r="F698" s="128">
        <f t="shared" si="20"/>
        <v>4</v>
      </c>
    </row>
    <row r="699" spans="1:6">
      <c r="A699" s="204"/>
      <c r="B699" s="32" t="s">
        <v>423</v>
      </c>
      <c r="C699" s="58"/>
      <c r="D699" s="172">
        <f t="shared" si="21"/>
        <v>0.8</v>
      </c>
      <c r="E699" s="172">
        <v>5</v>
      </c>
      <c r="F699" s="128">
        <f t="shared" si="20"/>
        <v>4</v>
      </c>
    </row>
    <row r="700" spans="1:6">
      <c r="A700" s="204"/>
      <c r="B700" s="32" t="s">
        <v>424</v>
      </c>
      <c r="C700" s="58"/>
      <c r="D700" s="172">
        <f t="shared" si="21"/>
        <v>0.8</v>
      </c>
      <c r="E700" s="172">
        <v>5</v>
      </c>
      <c r="F700" s="128">
        <f t="shared" si="20"/>
        <v>4</v>
      </c>
    </row>
    <row r="701" spans="1:6">
      <c r="A701" s="204"/>
      <c r="B701" s="32" t="s">
        <v>425</v>
      </c>
      <c r="C701" s="58"/>
      <c r="D701" s="172">
        <f t="shared" si="21"/>
        <v>0.8</v>
      </c>
      <c r="E701" s="172">
        <v>6</v>
      </c>
      <c r="F701" s="128">
        <f t="shared" si="20"/>
        <v>4.8000000000000007</v>
      </c>
    </row>
    <row r="702" spans="1:6">
      <c r="A702" s="204"/>
      <c r="B702" s="32" t="s">
        <v>426</v>
      </c>
      <c r="C702" s="58"/>
      <c r="D702" s="172">
        <f t="shared" si="21"/>
        <v>0.8</v>
      </c>
      <c r="E702" s="172">
        <v>7</v>
      </c>
      <c r="F702" s="128">
        <f t="shared" si="20"/>
        <v>5.6000000000000005</v>
      </c>
    </row>
    <row r="703" spans="1:6">
      <c r="A703" s="204"/>
      <c r="B703" s="32" t="s">
        <v>359</v>
      </c>
      <c r="C703" s="58"/>
      <c r="D703" s="172">
        <f t="shared" si="21"/>
        <v>0.8</v>
      </c>
      <c r="E703" s="172">
        <v>11</v>
      </c>
      <c r="F703" s="128">
        <f t="shared" si="20"/>
        <v>8.8000000000000007</v>
      </c>
    </row>
    <row r="704" spans="1:6">
      <c r="A704" s="204"/>
      <c r="B704" s="419" t="s">
        <v>360</v>
      </c>
      <c r="C704" s="419"/>
      <c r="D704" s="419"/>
      <c r="E704" s="419"/>
      <c r="F704" s="420"/>
    </row>
    <row r="705" spans="1:6">
      <c r="A705" s="204"/>
      <c r="B705" s="53" t="s">
        <v>295</v>
      </c>
      <c r="C705" s="58"/>
      <c r="D705" s="172">
        <f>0.5*1.6</f>
        <v>0.8</v>
      </c>
      <c r="E705" s="172">
        <v>5</v>
      </c>
      <c r="F705" s="128">
        <f t="shared" ref="F705:F717" si="22">D705*E705</f>
        <v>4</v>
      </c>
    </row>
    <row r="706" spans="1:6">
      <c r="A706" s="204"/>
      <c r="B706" s="53" t="s">
        <v>342</v>
      </c>
      <c r="C706" s="58"/>
      <c r="D706" s="172">
        <f t="shared" ref="D706:D717" si="23">0.5*1.6</f>
        <v>0.8</v>
      </c>
      <c r="E706" s="172">
        <v>5</v>
      </c>
      <c r="F706" s="128">
        <f t="shared" si="22"/>
        <v>4</v>
      </c>
    </row>
    <row r="707" spans="1:6">
      <c r="A707" s="204"/>
      <c r="B707" s="53" t="s">
        <v>296</v>
      </c>
      <c r="C707" s="58"/>
      <c r="D707" s="172">
        <f t="shared" si="23"/>
        <v>0.8</v>
      </c>
      <c r="E707" s="172">
        <v>5</v>
      </c>
      <c r="F707" s="128">
        <f t="shared" si="22"/>
        <v>4</v>
      </c>
    </row>
    <row r="708" spans="1:6">
      <c r="A708" s="204"/>
      <c r="B708" s="53" t="s">
        <v>343</v>
      </c>
      <c r="C708" s="58"/>
      <c r="D708" s="172">
        <f t="shared" si="23"/>
        <v>0.8</v>
      </c>
      <c r="E708" s="172">
        <v>5</v>
      </c>
      <c r="F708" s="128">
        <f t="shared" si="22"/>
        <v>4</v>
      </c>
    </row>
    <row r="709" spans="1:6">
      <c r="A709" s="204"/>
      <c r="B709" s="53" t="s">
        <v>178</v>
      </c>
      <c r="C709" s="58"/>
      <c r="D709" s="172">
        <f t="shared" si="23"/>
        <v>0.8</v>
      </c>
      <c r="E709" s="172">
        <v>5</v>
      </c>
      <c r="F709" s="128">
        <f t="shared" si="22"/>
        <v>4</v>
      </c>
    </row>
    <row r="710" spans="1:6">
      <c r="A710" s="204"/>
      <c r="B710" s="53" t="s">
        <v>344</v>
      </c>
      <c r="C710" s="58"/>
      <c r="D710" s="172">
        <f t="shared" si="23"/>
        <v>0.8</v>
      </c>
      <c r="E710" s="172">
        <v>5</v>
      </c>
      <c r="F710" s="128">
        <f t="shared" si="22"/>
        <v>4</v>
      </c>
    </row>
    <row r="711" spans="1:6">
      <c r="A711" s="204"/>
      <c r="B711" s="53" t="s">
        <v>297</v>
      </c>
      <c r="C711" s="58"/>
      <c r="D711" s="172">
        <f t="shared" si="23"/>
        <v>0.8</v>
      </c>
      <c r="E711" s="172">
        <v>5</v>
      </c>
      <c r="F711" s="128">
        <f t="shared" si="22"/>
        <v>4</v>
      </c>
    </row>
    <row r="712" spans="1:6">
      <c r="A712" s="204"/>
      <c r="B712" s="53" t="s">
        <v>180</v>
      </c>
      <c r="C712" s="58"/>
      <c r="D712" s="172">
        <f t="shared" si="23"/>
        <v>0.8</v>
      </c>
      <c r="E712" s="172">
        <v>5</v>
      </c>
      <c r="F712" s="128">
        <f t="shared" si="22"/>
        <v>4</v>
      </c>
    </row>
    <row r="713" spans="1:6">
      <c r="A713" s="204"/>
      <c r="B713" s="53" t="s">
        <v>179</v>
      </c>
      <c r="C713" s="58"/>
      <c r="D713" s="172">
        <f t="shared" si="23"/>
        <v>0.8</v>
      </c>
      <c r="E713" s="172">
        <v>5</v>
      </c>
      <c r="F713" s="128">
        <f t="shared" si="22"/>
        <v>4</v>
      </c>
    </row>
    <row r="714" spans="1:6">
      <c r="A714" s="204"/>
      <c r="B714" s="53" t="s">
        <v>345</v>
      </c>
      <c r="C714" s="58"/>
      <c r="D714" s="172">
        <f t="shared" si="23"/>
        <v>0.8</v>
      </c>
      <c r="E714" s="172">
        <v>5</v>
      </c>
      <c r="F714" s="128">
        <f t="shared" si="22"/>
        <v>4</v>
      </c>
    </row>
    <row r="715" spans="1:6">
      <c r="A715" s="204"/>
      <c r="B715" s="53" t="s">
        <v>298</v>
      </c>
      <c r="C715" s="58"/>
      <c r="D715" s="172">
        <f t="shared" si="23"/>
        <v>0.8</v>
      </c>
      <c r="E715" s="172">
        <v>5</v>
      </c>
      <c r="F715" s="128">
        <f t="shared" si="22"/>
        <v>4</v>
      </c>
    </row>
    <row r="716" spans="1:6">
      <c r="A716" s="203"/>
      <c r="B716" s="53" t="s">
        <v>420</v>
      </c>
      <c r="C716" s="58"/>
      <c r="D716" s="172">
        <f t="shared" si="23"/>
        <v>0.8</v>
      </c>
      <c r="E716" s="172">
        <v>6</v>
      </c>
      <c r="F716" s="128">
        <f t="shared" ref="F716" si="24">D716*E716</f>
        <v>4.8000000000000007</v>
      </c>
    </row>
    <row r="717" spans="1:6">
      <c r="A717" s="203"/>
      <c r="B717" s="53"/>
      <c r="C717" s="83"/>
      <c r="D717" s="172">
        <f t="shared" si="23"/>
        <v>0.8</v>
      </c>
      <c r="E717" s="172">
        <v>5</v>
      </c>
      <c r="F717" s="128">
        <f t="shared" si="22"/>
        <v>4</v>
      </c>
    </row>
    <row r="718" spans="1:6">
      <c r="A718" s="203"/>
      <c r="B718" s="329" t="s">
        <v>14</v>
      </c>
      <c r="C718" s="329"/>
      <c r="D718" s="329"/>
      <c r="E718" s="329"/>
      <c r="F718" s="143">
        <f>SUM(F694:F717)</f>
        <v>102.8</v>
      </c>
    </row>
    <row r="719" spans="1:6">
      <c r="A719" s="203"/>
      <c r="B719" s="170"/>
      <c r="C719" s="170"/>
      <c r="D719" s="170"/>
      <c r="E719" s="170"/>
      <c r="F719" s="143"/>
    </row>
    <row r="720" spans="1:6">
      <c r="A720" s="203"/>
      <c r="B720" s="184" t="s">
        <v>361</v>
      </c>
      <c r="C720" s="58" t="s">
        <v>13</v>
      </c>
      <c r="D720" s="60" t="s">
        <v>96</v>
      </c>
      <c r="E720" s="59" t="s">
        <v>95</v>
      </c>
      <c r="F720" s="207" t="s">
        <v>8</v>
      </c>
    </row>
    <row r="721" spans="1:6">
      <c r="A721" s="203"/>
      <c r="B721" s="184" t="s">
        <v>435</v>
      </c>
      <c r="C721" s="58"/>
      <c r="D721" s="167">
        <f t="shared" ref="D721" si="25">1.2*0.7</f>
        <v>0.84</v>
      </c>
      <c r="E721" s="71">
        <v>1</v>
      </c>
      <c r="F721" s="128">
        <f t="shared" ref="F721" si="26">D721*E721</f>
        <v>0.84</v>
      </c>
    </row>
    <row r="722" spans="1:6">
      <c r="A722" s="209"/>
      <c r="B722" s="32" t="s">
        <v>427</v>
      </c>
      <c r="C722" s="170"/>
      <c r="D722" s="167">
        <f>1.2*1.8</f>
        <v>2.16</v>
      </c>
      <c r="E722" s="71">
        <v>1</v>
      </c>
      <c r="F722" s="128">
        <f t="shared" ref="F722:F746" si="27">D722*E722</f>
        <v>2.16</v>
      </c>
    </row>
    <row r="723" spans="1:6">
      <c r="A723" s="203"/>
      <c r="B723" s="32" t="s">
        <v>436</v>
      </c>
      <c r="C723" s="170"/>
      <c r="D723" s="167">
        <f t="shared" ref="D723:D746" si="28">1.2*0.7</f>
        <v>0.84</v>
      </c>
      <c r="E723" s="71">
        <v>1</v>
      </c>
      <c r="F723" s="128">
        <f t="shared" ref="F723" si="29">D723*E723</f>
        <v>0.84</v>
      </c>
    </row>
    <row r="724" spans="1:6">
      <c r="A724" s="203"/>
      <c r="B724" s="32" t="s">
        <v>428</v>
      </c>
      <c r="C724" s="170"/>
      <c r="D724" s="167">
        <f t="shared" si="28"/>
        <v>0.84</v>
      </c>
      <c r="E724" s="71">
        <v>1</v>
      </c>
      <c r="F724" s="128">
        <f t="shared" si="27"/>
        <v>0.84</v>
      </c>
    </row>
    <row r="725" spans="1:6">
      <c r="A725" s="203"/>
      <c r="B725" s="70" t="s">
        <v>429</v>
      </c>
      <c r="C725" s="166"/>
      <c r="D725" s="176">
        <f t="shared" si="28"/>
        <v>0.84</v>
      </c>
      <c r="E725" s="188">
        <v>4</v>
      </c>
      <c r="F725" s="241">
        <f t="shared" si="27"/>
        <v>3.36</v>
      </c>
    </row>
    <row r="726" spans="1:6">
      <c r="A726" s="203"/>
      <c r="B726" s="32" t="s">
        <v>362</v>
      </c>
      <c r="C726" s="170"/>
      <c r="D726" s="167">
        <f t="shared" si="28"/>
        <v>0.84</v>
      </c>
      <c r="E726" s="71">
        <v>1</v>
      </c>
      <c r="F726" s="128">
        <f t="shared" si="27"/>
        <v>0.84</v>
      </c>
    </row>
    <row r="727" spans="1:6">
      <c r="A727" s="203"/>
      <c r="B727" s="32" t="s">
        <v>364</v>
      </c>
      <c r="C727" s="170"/>
      <c r="D727" s="167">
        <f t="shared" si="28"/>
        <v>0.84</v>
      </c>
      <c r="E727" s="71">
        <v>2</v>
      </c>
      <c r="F727" s="128">
        <f t="shared" ref="F727" si="30">D727*E727</f>
        <v>1.68</v>
      </c>
    </row>
    <row r="728" spans="1:6">
      <c r="A728" s="203"/>
      <c r="B728" s="32" t="s">
        <v>363</v>
      </c>
      <c r="C728" s="170"/>
      <c r="D728" s="167">
        <f t="shared" si="28"/>
        <v>0.84</v>
      </c>
      <c r="E728" s="71">
        <v>1</v>
      </c>
      <c r="F728" s="128">
        <f t="shared" si="27"/>
        <v>0.84</v>
      </c>
    </row>
    <row r="729" spans="1:6">
      <c r="A729" s="203"/>
      <c r="B729" s="32" t="s">
        <v>434</v>
      </c>
      <c r="C729" s="170"/>
      <c r="D729" s="167">
        <f t="shared" si="28"/>
        <v>0.84</v>
      </c>
      <c r="E729" s="71">
        <v>1</v>
      </c>
      <c r="F729" s="128">
        <f t="shared" si="27"/>
        <v>0.84</v>
      </c>
    </row>
    <row r="730" spans="1:6">
      <c r="A730" s="203"/>
      <c r="B730" s="32" t="s">
        <v>430</v>
      </c>
      <c r="C730" s="170"/>
      <c r="D730" s="167">
        <f t="shared" si="28"/>
        <v>0.84</v>
      </c>
      <c r="E730" s="71">
        <v>1</v>
      </c>
      <c r="F730" s="128">
        <f t="shared" si="27"/>
        <v>0.84</v>
      </c>
    </row>
    <row r="731" spans="1:6">
      <c r="A731" s="203"/>
      <c r="B731" s="32" t="s">
        <v>431</v>
      </c>
      <c r="C731" s="170"/>
      <c r="D731" s="167">
        <f t="shared" si="28"/>
        <v>0.84</v>
      </c>
      <c r="E731" s="71">
        <v>1</v>
      </c>
      <c r="F731" s="128">
        <f t="shared" si="27"/>
        <v>0.84</v>
      </c>
    </row>
    <row r="732" spans="1:6">
      <c r="A732" s="203"/>
      <c r="B732" s="32" t="s">
        <v>432</v>
      </c>
      <c r="C732" s="170"/>
      <c r="D732" s="167">
        <f t="shared" si="28"/>
        <v>0.84</v>
      </c>
      <c r="E732" s="71">
        <v>1</v>
      </c>
      <c r="F732" s="128">
        <f t="shared" si="27"/>
        <v>0.84</v>
      </c>
    </row>
    <row r="733" spans="1:6">
      <c r="A733" s="203"/>
      <c r="B733" s="32" t="s">
        <v>433</v>
      </c>
      <c r="C733" s="170"/>
      <c r="D733" s="167">
        <f t="shared" si="28"/>
        <v>0.84</v>
      </c>
      <c r="E733" s="71">
        <v>1</v>
      </c>
      <c r="F733" s="128">
        <f t="shared" si="27"/>
        <v>0.84</v>
      </c>
    </row>
    <row r="734" spans="1:6">
      <c r="A734" s="203"/>
      <c r="B734" s="419" t="s">
        <v>365</v>
      </c>
      <c r="C734" s="419"/>
      <c r="D734" s="419"/>
      <c r="E734" s="419"/>
      <c r="F734" s="420"/>
    </row>
    <row r="735" spans="1:6">
      <c r="A735" s="203"/>
      <c r="B735" s="53" t="s">
        <v>366</v>
      </c>
      <c r="C735" s="170"/>
      <c r="D735" s="167">
        <f t="shared" si="28"/>
        <v>0.84</v>
      </c>
      <c r="E735" s="71">
        <v>1</v>
      </c>
      <c r="F735" s="128">
        <f t="shared" si="27"/>
        <v>0.84</v>
      </c>
    </row>
    <row r="736" spans="1:6">
      <c r="A736" s="203"/>
      <c r="B736" s="53" t="s">
        <v>367</v>
      </c>
      <c r="C736" s="170"/>
      <c r="D736" s="167">
        <f t="shared" si="28"/>
        <v>0.84</v>
      </c>
      <c r="E736" s="71">
        <v>1</v>
      </c>
      <c r="F736" s="128">
        <f t="shared" si="27"/>
        <v>0.84</v>
      </c>
    </row>
    <row r="737" spans="1:6">
      <c r="A737" s="203"/>
      <c r="B737" s="53" t="s">
        <v>368</v>
      </c>
      <c r="C737" s="170"/>
      <c r="D737" s="167">
        <f t="shared" si="28"/>
        <v>0.84</v>
      </c>
      <c r="E737" s="71">
        <v>1</v>
      </c>
      <c r="F737" s="128">
        <f t="shared" si="27"/>
        <v>0.84</v>
      </c>
    </row>
    <row r="738" spans="1:6">
      <c r="A738" s="203"/>
      <c r="B738" s="53" t="s">
        <v>369</v>
      </c>
      <c r="C738" s="170"/>
      <c r="D738" s="167">
        <f t="shared" si="28"/>
        <v>0.84</v>
      </c>
      <c r="E738" s="71">
        <v>1</v>
      </c>
      <c r="F738" s="128">
        <f t="shared" si="27"/>
        <v>0.84</v>
      </c>
    </row>
    <row r="739" spans="1:6">
      <c r="A739" s="203"/>
      <c r="B739" s="53" t="s">
        <v>370</v>
      </c>
      <c r="C739" s="170"/>
      <c r="D739" s="167">
        <f t="shared" si="28"/>
        <v>0.84</v>
      </c>
      <c r="E739" s="71">
        <v>1</v>
      </c>
      <c r="F739" s="128">
        <f t="shared" si="27"/>
        <v>0.84</v>
      </c>
    </row>
    <row r="740" spans="1:6">
      <c r="A740" s="203"/>
      <c r="B740" s="53" t="s">
        <v>371</v>
      </c>
      <c r="C740" s="170"/>
      <c r="D740" s="167">
        <f t="shared" si="28"/>
        <v>0.84</v>
      </c>
      <c r="E740" s="71">
        <v>1</v>
      </c>
      <c r="F740" s="128">
        <f t="shared" si="27"/>
        <v>0.84</v>
      </c>
    </row>
    <row r="741" spans="1:6">
      <c r="A741" s="203"/>
      <c r="B741" s="53" t="s">
        <v>372</v>
      </c>
      <c r="C741" s="170"/>
      <c r="D741" s="167">
        <f t="shared" si="28"/>
        <v>0.84</v>
      </c>
      <c r="E741" s="71">
        <v>1</v>
      </c>
      <c r="F741" s="128">
        <f t="shared" si="27"/>
        <v>0.84</v>
      </c>
    </row>
    <row r="742" spans="1:6">
      <c r="A742" s="203"/>
      <c r="B742" s="53" t="s">
        <v>373</v>
      </c>
      <c r="C742" s="170"/>
      <c r="D742" s="167">
        <f t="shared" si="28"/>
        <v>0.84</v>
      </c>
      <c r="E742" s="71">
        <v>1</v>
      </c>
      <c r="F742" s="128">
        <f t="shared" si="27"/>
        <v>0.84</v>
      </c>
    </row>
    <row r="743" spans="1:6">
      <c r="A743" s="203"/>
      <c r="B743" s="53" t="s">
        <v>374</v>
      </c>
      <c r="C743" s="170"/>
      <c r="D743" s="167">
        <f t="shared" si="28"/>
        <v>0.84</v>
      </c>
      <c r="E743" s="71">
        <v>1</v>
      </c>
      <c r="F743" s="128">
        <f t="shared" si="27"/>
        <v>0.84</v>
      </c>
    </row>
    <row r="744" spans="1:6">
      <c r="A744" s="203"/>
      <c r="B744" s="53" t="s">
        <v>375</v>
      </c>
      <c r="C744" s="170"/>
      <c r="D744" s="167">
        <f t="shared" si="28"/>
        <v>0.84</v>
      </c>
      <c r="E744" s="71">
        <v>1</v>
      </c>
      <c r="F744" s="128">
        <f t="shared" si="27"/>
        <v>0.84</v>
      </c>
    </row>
    <row r="745" spans="1:6">
      <c r="A745" s="203"/>
      <c r="B745" s="53" t="s">
        <v>376</v>
      </c>
      <c r="C745" s="170"/>
      <c r="D745" s="167">
        <f t="shared" si="28"/>
        <v>0.84</v>
      </c>
      <c r="E745" s="71">
        <v>1</v>
      </c>
      <c r="F745" s="128">
        <f t="shared" si="27"/>
        <v>0.84</v>
      </c>
    </row>
    <row r="746" spans="1:6">
      <c r="A746" s="203"/>
      <c r="B746" s="53" t="s">
        <v>123</v>
      </c>
      <c r="C746" s="170"/>
      <c r="D746" s="167">
        <f t="shared" si="28"/>
        <v>0.84</v>
      </c>
      <c r="E746" s="71">
        <v>1</v>
      </c>
      <c r="F746" s="128">
        <f t="shared" si="27"/>
        <v>0.84</v>
      </c>
    </row>
    <row r="747" spans="1:6">
      <c r="A747" s="14"/>
      <c r="B747" s="329" t="s">
        <v>14</v>
      </c>
      <c r="C747" s="329"/>
      <c r="D747" s="329"/>
      <c r="E747" s="329"/>
      <c r="F747" s="143">
        <f>SUM(F721:F746)</f>
        <v>25.679999999999996</v>
      </c>
    </row>
    <row r="748" spans="1:6">
      <c r="A748" s="14"/>
      <c r="B748" s="365" t="s">
        <v>886</v>
      </c>
      <c r="C748" s="365"/>
      <c r="D748" s="365"/>
      <c r="E748" s="365"/>
      <c r="F748" s="366"/>
    </row>
    <row r="749" spans="1:6">
      <c r="A749" s="14"/>
      <c r="B749" s="53" t="s">
        <v>889</v>
      </c>
      <c r="C749" s="170"/>
      <c r="D749" s="167">
        <f>1.2*0.5</f>
        <v>0.6</v>
      </c>
      <c r="E749" s="71">
        <v>2</v>
      </c>
      <c r="F749" s="128">
        <f t="shared" ref="F749" si="31">D749*E749</f>
        <v>1.2</v>
      </c>
    </row>
    <row r="750" spans="1:6">
      <c r="A750" s="14"/>
      <c r="B750" s="53" t="s">
        <v>1023</v>
      </c>
      <c r="C750" s="170"/>
      <c r="D750" s="167">
        <v>0.5</v>
      </c>
      <c r="E750" s="71">
        <v>0.35</v>
      </c>
      <c r="F750" s="128">
        <f>D750*E750*2</f>
        <v>0.35</v>
      </c>
    </row>
    <row r="751" spans="1:6">
      <c r="A751" s="14"/>
      <c r="B751" s="329" t="s">
        <v>14</v>
      </c>
      <c r="C751" s="329"/>
      <c r="D751" s="329"/>
      <c r="E751" s="329"/>
      <c r="F751" s="143">
        <f>F749+F750</f>
        <v>1.5499999999999998</v>
      </c>
    </row>
    <row r="752" spans="1:6">
      <c r="A752" s="14"/>
      <c r="B752" s="392" t="s">
        <v>377</v>
      </c>
      <c r="C752" s="392"/>
      <c r="D752" s="392"/>
      <c r="E752" s="392"/>
      <c r="F752" s="143">
        <v>213.03</v>
      </c>
    </row>
    <row r="753" spans="1:6">
      <c r="A753" s="210">
        <v>13</v>
      </c>
      <c r="B753" s="412" t="s">
        <v>260</v>
      </c>
      <c r="C753" s="412"/>
      <c r="D753" s="412"/>
      <c r="E753" s="412"/>
      <c r="F753" s="413"/>
    </row>
    <row r="754" spans="1:6">
      <c r="A754" s="232" t="str">
        <f>ORÇAMENTO!A92</f>
        <v>13.1</v>
      </c>
      <c r="B754" s="89" t="str">
        <f>ORÇAMENTO!D92</f>
        <v xml:space="preserve"> CHAPISCO COMUM </v>
      </c>
      <c r="C754" s="94" t="s">
        <v>13</v>
      </c>
      <c r="D754" s="90" t="s">
        <v>248</v>
      </c>
      <c r="E754" s="91" t="s">
        <v>198</v>
      </c>
      <c r="F754" s="250" t="s">
        <v>8</v>
      </c>
    </row>
    <row r="755" spans="1:6">
      <c r="A755" s="14"/>
      <c r="B755" s="365" t="s">
        <v>563</v>
      </c>
      <c r="C755" s="365"/>
      <c r="D755" s="365"/>
      <c r="E755" s="365"/>
      <c r="F755" s="366"/>
    </row>
    <row r="756" spans="1:6">
      <c r="A756" s="14"/>
      <c r="B756" s="53" t="s">
        <v>897</v>
      </c>
      <c r="C756" s="170"/>
      <c r="D756" s="172">
        <v>10.8</v>
      </c>
      <c r="E756" s="172">
        <v>1.5</v>
      </c>
      <c r="F756" s="128">
        <f>E756*D756+4.55</f>
        <v>20.750000000000004</v>
      </c>
    </row>
    <row r="757" spans="1:6">
      <c r="A757" s="14"/>
      <c r="B757" s="329" t="s">
        <v>8</v>
      </c>
      <c r="C757" s="329"/>
      <c r="D757" s="329"/>
      <c r="E757" s="329"/>
      <c r="F757" s="143">
        <f>F756</f>
        <v>20.750000000000004</v>
      </c>
    </row>
    <row r="758" spans="1:6">
      <c r="A758" s="232" t="str">
        <f>ORÇAMENTO!A93</f>
        <v>13.2</v>
      </c>
      <c r="B758" s="89" t="str">
        <f>ORÇAMENTO!D93</f>
        <v xml:space="preserve"> EMBOÇO PARA REBOCO FINO (1CALH:4ARML+100kgCI/M3)</v>
      </c>
      <c r="C758" s="94" t="s">
        <v>13</v>
      </c>
      <c r="D758" s="90" t="s">
        <v>248</v>
      </c>
      <c r="E758" s="91" t="s">
        <v>198</v>
      </c>
      <c r="F758" s="250" t="s">
        <v>8</v>
      </c>
    </row>
    <row r="759" spans="1:6">
      <c r="A759" s="14"/>
      <c r="B759" s="365" t="s">
        <v>563</v>
      </c>
      <c r="C759" s="365"/>
      <c r="D759" s="365"/>
      <c r="E759" s="365"/>
      <c r="F759" s="366"/>
    </row>
    <row r="760" spans="1:6">
      <c r="A760" s="14"/>
      <c r="B760" s="53" t="s">
        <v>897</v>
      </c>
      <c r="C760" s="170"/>
      <c r="D760" s="172">
        <v>10.8</v>
      </c>
      <c r="E760" s="172">
        <v>1.5</v>
      </c>
      <c r="F760" s="128">
        <f>E760*D760+4.55</f>
        <v>20.750000000000004</v>
      </c>
    </row>
    <row r="761" spans="1:6">
      <c r="A761" s="14"/>
      <c r="B761" s="53"/>
      <c r="C761" s="170"/>
      <c r="D761" s="172"/>
      <c r="E761" s="172"/>
      <c r="F761" s="128"/>
    </row>
    <row r="762" spans="1:6">
      <c r="A762" s="14"/>
      <c r="B762" s="369" t="s">
        <v>8</v>
      </c>
      <c r="C762" s="370"/>
      <c r="D762" s="370"/>
      <c r="E762" s="371"/>
      <c r="F762" s="143">
        <f>F760</f>
        <v>20.750000000000004</v>
      </c>
    </row>
    <row r="763" spans="1:6">
      <c r="A763" s="232" t="str">
        <f>ORÇAMENTO!A94</f>
        <v>13.3</v>
      </c>
      <c r="B763" s="154" t="str">
        <f>ORÇAMENTO!D94</f>
        <v>EMBOÇO (1CI:4 ARML)</v>
      </c>
      <c r="C763" s="94" t="s">
        <v>13</v>
      </c>
      <c r="D763" s="90" t="s">
        <v>248</v>
      </c>
      <c r="E763" s="91" t="s">
        <v>198</v>
      </c>
      <c r="F763" s="250" t="s">
        <v>8</v>
      </c>
    </row>
    <row r="764" spans="1:6">
      <c r="A764" s="14"/>
      <c r="B764" s="365" t="s">
        <v>288</v>
      </c>
      <c r="C764" s="365"/>
      <c r="D764" s="365"/>
      <c r="E764" s="365"/>
      <c r="F764" s="366"/>
    </row>
    <row r="765" spans="1:6">
      <c r="A765" s="14"/>
      <c r="B765" s="121" t="s">
        <v>894</v>
      </c>
      <c r="C765" s="170"/>
      <c r="D765" s="172">
        <f>1.1+1.8+1.1+1.8</f>
        <v>5.8</v>
      </c>
      <c r="E765" s="172">
        <v>3</v>
      </c>
      <c r="F765" s="128">
        <f>E765*D765</f>
        <v>17.399999999999999</v>
      </c>
    </row>
    <row r="766" spans="1:6">
      <c r="A766" s="14"/>
      <c r="B766" s="37" t="s">
        <v>891</v>
      </c>
      <c r="C766" s="112"/>
      <c r="D766" s="42">
        <v>0.7</v>
      </c>
      <c r="E766" s="42">
        <v>2.5</v>
      </c>
      <c r="F766" s="145">
        <f>E766*D766</f>
        <v>1.75</v>
      </c>
    </row>
    <row r="767" spans="1:6">
      <c r="A767" s="14"/>
      <c r="B767" s="372" t="s">
        <v>14</v>
      </c>
      <c r="C767" s="373"/>
      <c r="D767" s="373"/>
      <c r="E767" s="373"/>
      <c r="F767" s="144">
        <f>F765-F766</f>
        <v>15.649999999999999</v>
      </c>
    </row>
    <row r="768" spans="1:6">
      <c r="A768" s="14"/>
      <c r="B768" s="121" t="s">
        <v>895</v>
      </c>
      <c r="C768" s="170"/>
      <c r="D768" s="172">
        <v>5.8</v>
      </c>
      <c r="E768" s="172">
        <v>3</v>
      </c>
      <c r="F768" s="128">
        <f>E768*D768</f>
        <v>17.399999999999999</v>
      </c>
    </row>
    <row r="769" spans="1:6">
      <c r="A769" s="14"/>
      <c r="B769" s="37" t="s">
        <v>891</v>
      </c>
      <c r="C769" s="112"/>
      <c r="D769" s="42">
        <v>0.7</v>
      </c>
      <c r="E769" s="42">
        <v>2.5</v>
      </c>
      <c r="F769" s="145">
        <f>E769*D769</f>
        <v>1.75</v>
      </c>
    </row>
    <row r="770" spans="1:6">
      <c r="A770" s="14"/>
      <c r="B770" s="372" t="s">
        <v>14</v>
      </c>
      <c r="C770" s="373"/>
      <c r="D770" s="373"/>
      <c r="E770" s="373"/>
      <c r="F770" s="144">
        <f>F768-F769</f>
        <v>15.649999999999999</v>
      </c>
    </row>
    <row r="771" spans="1:6">
      <c r="A771" s="14"/>
      <c r="B771" s="121" t="s">
        <v>894</v>
      </c>
      <c r="C771" s="170"/>
      <c r="D771" s="172">
        <v>5.8</v>
      </c>
      <c r="E771" s="172">
        <v>3</v>
      </c>
      <c r="F771" s="128">
        <f>E771*D771</f>
        <v>17.399999999999999</v>
      </c>
    </row>
    <row r="772" spans="1:6">
      <c r="A772" s="14"/>
      <c r="B772" s="37" t="s">
        <v>891</v>
      </c>
      <c r="C772" s="112"/>
      <c r="D772" s="42">
        <v>0.7</v>
      </c>
      <c r="E772" s="42">
        <v>2.5</v>
      </c>
      <c r="F772" s="145">
        <f>E772*D772</f>
        <v>1.75</v>
      </c>
    </row>
    <row r="773" spans="1:6">
      <c r="A773" s="14"/>
      <c r="B773" s="372" t="s">
        <v>14</v>
      </c>
      <c r="C773" s="373"/>
      <c r="D773" s="373"/>
      <c r="E773" s="373"/>
      <c r="F773" s="144">
        <f>F771-F772</f>
        <v>15.649999999999999</v>
      </c>
    </row>
    <row r="774" spans="1:6">
      <c r="A774" s="14"/>
      <c r="B774" s="121" t="s">
        <v>893</v>
      </c>
      <c r="C774" s="170"/>
      <c r="D774" s="172">
        <v>5.8</v>
      </c>
      <c r="E774" s="172">
        <v>3</v>
      </c>
      <c r="F774" s="128">
        <f>E774*D774</f>
        <v>17.399999999999999</v>
      </c>
    </row>
    <row r="775" spans="1:6">
      <c r="A775" s="14"/>
      <c r="B775" s="37" t="s">
        <v>891</v>
      </c>
      <c r="C775" s="112"/>
      <c r="D775" s="42">
        <v>0.7</v>
      </c>
      <c r="E775" s="42">
        <v>2.5</v>
      </c>
      <c r="F775" s="145">
        <f>E775*D775</f>
        <v>1.75</v>
      </c>
    </row>
    <row r="776" spans="1:6">
      <c r="A776" s="14"/>
      <c r="B776" s="372" t="s">
        <v>14</v>
      </c>
      <c r="C776" s="373"/>
      <c r="D776" s="373"/>
      <c r="E776" s="373"/>
      <c r="F776" s="144">
        <f>F774-F775</f>
        <v>15.649999999999999</v>
      </c>
    </row>
    <row r="777" spans="1:6">
      <c r="A777" s="14"/>
      <c r="B777" s="121" t="s">
        <v>892</v>
      </c>
      <c r="C777" s="170"/>
      <c r="D777" s="172">
        <v>5.8</v>
      </c>
      <c r="E777" s="172">
        <v>3</v>
      </c>
      <c r="F777" s="128">
        <f>E777*D777</f>
        <v>17.399999999999999</v>
      </c>
    </row>
    <row r="778" spans="1:6">
      <c r="A778" s="14"/>
      <c r="B778" s="37" t="s">
        <v>891</v>
      </c>
      <c r="C778" s="112"/>
      <c r="D778" s="42">
        <v>0.7</v>
      </c>
      <c r="E778" s="42">
        <v>2.5</v>
      </c>
      <c r="F778" s="145">
        <f>E778*D778</f>
        <v>1.75</v>
      </c>
    </row>
    <row r="779" spans="1:6">
      <c r="A779" s="14"/>
      <c r="B779" s="372" t="s">
        <v>14</v>
      </c>
      <c r="C779" s="373"/>
      <c r="D779" s="373"/>
      <c r="E779" s="373"/>
      <c r="F779" s="144">
        <f>F777-F778</f>
        <v>15.649999999999999</v>
      </c>
    </row>
    <row r="780" spans="1:6">
      <c r="A780" s="14"/>
      <c r="B780" s="369" t="s">
        <v>8</v>
      </c>
      <c r="C780" s="370"/>
      <c r="D780" s="370"/>
      <c r="E780" s="371"/>
      <c r="F780" s="143">
        <v>78.25</v>
      </c>
    </row>
    <row r="781" spans="1:6">
      <c r="A781" s="14"/>
      <c r="B781" s="365" t="s">
        <v>563</v>
      </c>
      <c r="C781" s="365"/>
      <c r="D781" s="365"/>
      <c r="E781" s="365"/>
      <c r="F781" s="366"/>
    </row>
    <row r="782" spans="1:6">
      <c r="A782" s="14"/>
      <c r="B782" s="53" t="s">
        <v>384</v>
      </c>
      <c r="C782" s="170"/>
      <c r="D782" s="172">
        <v>4.25</v>
      </c>
      <c r="E782" s="172">
        <v>0.6</v>
      </c>
      <c r="F782" s="128">
        <f>E782*D782</f>
        <v>2.5499999999999998</v>
      </c>
    </row>
    <row r="783" spans="1:6">
      <c r="A783" s="14"/>
      <c r="B783" s="53" t="s">
        <v>385</v>
      </c>
      <c r="C783" s="170"/>
      <c r="D783" s="172">
        <f>0.1+0.4+1.15+0.4+1.15+0.4+0.25+0.4+1.15+0.4+0.1+0.2</f>
        <v>6.1000000000000005</v>
      </c>
      <c r="E783" s="172">
        <f>0.6</f>
        <v>0.6</v>
      </c>
      <c r="F783" s="128">
        <f>E783*D783</f>
        <v>3.66</v>
      </c>
    </row>
    <row r="784" spans="1:6">
      <c r="A784" s="14"/>
      <c r="B784" s="53" t="s">
        <v>386</v>
      </c>
      <c r="C784" s="170"/>
      <c r="D784" s="172">
        <v>4.25</v>
      </c>
      <c r="E784" s="172">
        <v>0.6</v>
      </c>
      <c r="F784" s="128">
        <f>E784*D784</f>
        <v>2.5499999999999998</v>
      </c>
    </row>
    <row r="785" spans="1:6">
      <c r="A785" s="14"/>
      <c r="B785" s="53" t="s">
        <v>387</v>
      </c>
      <c r="C785" s="170"/>
      <c r="D785" s="172">
        <f>0.1+0.4+1.15+0.4+1.15+0.4+0.25+0.4+1.15+0.4+0.1+0.2</f>
        <v>6.1000000000000005</v>
      </c>
      <c r="E785" s="172">
        <f>0.6</f>
        <v>0.6</v>
      </c>
      <c r="F785" s="128">
        <f>E785*D785</f>
        <v>3.66</v>
      </c>
    </row>
    <row r="786" spans="1:6">
      <c r="A786" s="14"/>
      <c r="B786" s="372" t="s">
        <v>14</v>
      </c>
      <c r="C786" s="373"/>
      <c r="D786" s="373"/>
      <c r="E786" s="373"/>
      <c r="F786" s="144">
        <f>SUM(F782:F785)</f>
        <v>12.42</v>
      </c>
    </row>
    <row r="787" spans="1:6">
      <c r="A787" s="14"/>
      <c r="B787" s="329" t="s">
        <v>8</v>
      </c>
      <c r="C787" s="329"/>
      <c r="D787" s="329"/>
      <c r="E787" s="329"/>
      <c r="F787" s="143">
        <v>90.67</v>
      </c>
    </row>
    <row r="788" spans="1:6">
      <c r="A788" s="232" t="str">
        <f>ORÇAMENTO!A95</f>
        <v>13.4</v>
      </c>
      <c r="B788" s="89" t="s">
        <v>257</v>
      </c>
      <c r="C788" s="94" t="s">
        <v>13</v>
      </c>
      <c r="D788" s="90" t="s">
        <v>248</v>
      </c>
      <c r="E788" s="91" t="s">
        <v>18</v>
      </c>
      <c r="F788" s="250" t="s">
        <v>8</v>
      </c>
    </row>
    <row r="789" spans="1:6">
      <c r="A789" s="203"/>
      <c r="B789" s="365" t="s">
        <v>288</v>
      </c>
      <c r="C789" s="365"/>
      <c r="D789" s="365"/>
      <c r="E789" s="365"/>
      <c r="F789" s="366"/>
    </row>
    <row r="790" spans="1:6">
      <c r="A790" s="203"/>
      <c r="B790" s="121" t="s">
        <v>894</v>
      </c>
      <c r="C790" s="170"/>
      <c r="D790" s="172">
        <f>1.1+1.8+1.1+1.8</f>
        <v>5.8</v>
      </c>
      <c r="E790" s="172">
        <v>3</v>
      </c>
      <c r="F790" s="128">
        <f>E790*D790</f>
        <v>17.399999999999999</v>
      </c>
    </row>
    <row r="791" spans="1:6">
      <c r="A791" s="203"/>
      <c r="B791" s="37" t="s">
        <v>891</v>
      </c>
      <c r="C791" s="112"/>
      <c r="D791" s="42">
        <v>0.7</v>
      </c>
      <c r="E791" s="42">
        <v>2.5</v>
      </c>
      <c r="F791" s="145">
        <f>E791*D791</f>
        <v>1.75</v>
      </c>
    </row>
    <row r="792" spans="1:6">
      <c r="A792" s="203"/>
      <c r="B792" s="372" t="s">
        <v>14</v>
      </c>
      <c r="C792" s="373"/>
      <c r="D792" s="373"/>
      <c r="E792" s="373"/>
      <c r="F792" s="144">
        <f>F790-F791</f>
        <v>15.649999999999999</v>
      </c>
    </row>
    <row r="793" spans="1:6">
      <c r="A793" s="203"/>
      <c r="B793" s="121" t="s">
        <v>895</v>
      </c>
      <c r="C793" s="170"/>
      <c r="D793" s="172">
        <v>5.8</v>
      </c>
      <c r="E793" s="172">
        <v>3</v>
      </c>
      <c r="F793" s="128">
        <f>E793*D793</f>
        <v>17.399999999999999</v>
      </c>
    </row>
    <row r="794" spans="1:6">
      <c r="A794" s="203"/>
      <c r="B794" s="37" t="s">
        <v>891</v>
      </c>
      <c r="C794" s="112"/>
      <c r="D794" s="42">
        <v>0.7</v>
      </c>
      <c r="E794" s="42">
        <v>2.5</v>
      </c>
      <c r="F794" s="145">
        <f>E794*D794</f>
        <v>1.75</v>
      </c>
    </row>
    <row r="795" spans="1:6">
      <c r="A795" s="203"/>
      <c r="B795" s="372" t="s">
        <v>14</v>
      </c>
      <c r="C795" s="373"/>
      <c r="D795" s="373"/>
      <c r="E795" s="373"/>
      <c r="F795" s="144">
        <f>F793-F794</f>
        <v>15.649999999999999</v>
      </c>
    </row>
    <row r="796" spans="1:6">
      <c r="A796" s="203"/>
      <c r="B796" s="121" t="s">
        <v>894</v>
      </c>
      <c r="C796" s="170"/>
      <c r="D796" s="172">
        <v>5.8</v>
      </c>
      <c r="E796" s="172">
        <v>3</v>
      </c>
      <c r="F796" s="128">
        <f>E796*D796</f>
        <v>17.399999999999999</v>
      </c>
    </row>
    <row r="797" spans="1:6">
      <c r="A797" s="203"/>
      <c r="B797" s="37" t="s">
        <v>891</v>
      </c>
      <c r="C797" s="112"/>
      <c r="D797" s="42">
        <v>0.7</v>
      </c>
      <c r="E797" s="42">
        <v>2.5</v>
      </c>
      <c r="F797" s="145">
        <f>E797*D797</f>
        <v>1.75</v>
      </c>
    </row>
    <row r="798" spans="1:6">
      <c r="A798" s="203"/>
      <c r="B798" s="372" t="s">
        <v>14</v>
      </c>
      <c r="C798" s="373"/>
      <c r="D798" s="373"/>
      <c r="E798" s="373"/>
      <c r="F798" s="144">
        <f>F796-F797</f>
        <v>15.649999999999999</v>
      </c>
    </row>
    <row r="799" spans="1:6">
      <c r="A799" s="203"/>
      <c r="B799" s="121" t="s">
        <v>893</v>
      </c>
      <c r="C799" s="170"/>
      <c r="D799" s="172">
        <v>5.8</v>
      </c>
      <c r="E799" s="172">
        <v>3</v>
      </c>
      <c r="F799" s="128">
        <f>E799*D799</f>
        <v>17.399999999999999</v>
      </c>
    </row>
    <row r="800" spans="1:6">
      <c r="A800" s="203"/>
      <c r="B800" s="37" t="s">
        <v>891</v>
      </c>
      <c r="C800" s="112"/>
      <c r="D800" s="42">
        <v>0.7</v>
      </c>
      <c r="E800" s="42">
        <v>2.5</v>
      </c>
      <c r="F800" s="145">
        <f>E800*D800</f>
        <v>1.75</v>
      </c>
    </row>
    <row r="801" spans="1:6">
      <c r="A801" s="203"/>
      <c r="B801" s="372" t="s">
        <v>14</v>
      </c>
      <c r="C801" s="373"/>
      <c r="D801" s="373"/>
      <c r="E801" s="373"/>
      <c r="F801" s="144">
        <f>F799-F800</f>
        <v>15.649999999999999</v>
      </c>
    </row>
    <row r="802" spans="1:6">
      <c r="A802" s="203"/>
      <c r="B802" s="121" t="s">
        <v>892</v>
      </c>
      <c r="C802" s="170"/>
      <c r="D802" s="172">
        <v>5.8</v>
      </c>
      <c r="E802" s="172">
        <v>3</v>
      </c>
      <c r="F802" s="128">
        <f>E802*D802</f>
        <v>17.399999999999999</v>
      </c>
    </row>
    <row r="803" spans="1:6">
      <c r="A803" s="203"/>
      <c r="B803" s="37" t="s">
        <v>891</v>
      </c>
      <c r="C803" s="112"/>
      <c r="D803" s="42">
        <v>0.7</v>
      </c>
      <c r="E803" s="42">
        <v>2.5</v>
      </c>
      <c r="F803" s="145">
        <f>E803*D803</f>
        <v>1.75</v>
      </c>
    </row>
    <row r="804" spans="1:6">
      <c r="A804" s="203"/>
      <c r="B804" s="372" t="s">
        <v>14</v>
      </c>
      <c r="C804" s="373"/>
      <c r="D804" s="373"/>
      <c r="E804" s="373"/>
      <c r="F804" s="144">
        <f>F802-F803</f>
        <v>15.649999999999999</v>
      </c>
    </row>
    <row r="805" spans="1:6">
      <c r="A805" s="203"/>
      <c r="B805" s="369" t="s">
        <v>8</v>
      </c>
      <c r="C805" s="370"/>
      <c r="D805" s="370"/>
      <c r="E805" s="371"/>
      <c r="F805" s="143">
        <v>78.25</v>
      </c>
    </row>
    <row r="806" spans="1:6">
      <c r="A806" s="203"/>
      <c r="B806" s="365" t="s">
        <v>563</v>
      </c>
      <c r="C806" s="365"/>
      <c r="D806" s="365"/>
      <c r="E806" s="365"/>
      <c r="F806" s="366"/>
    </row>
    <row r="807" spans="1:6">
      <c r="A807" s="203"/>
      <c r="B807" s="53" t="s">
        <v>384</v>
      </c>
      <c r="C807" s="170"/>
      <c r="D807" s="172">
        <v>4.25</v>
      </c>
      <c r="E807" s="172">
        <v>0.6</v>
      </c>
      <c r="F807" s="128">
        <f>E807*D807</f>
        <v>2.5499999999999998</v>
      </c>
    </row>
    <row r="808" spans="1:6">
      <c r="A808" s="203"/>
      <c r="B808" s="53" t="s">
        <v>385</v>
      </c>
      <c r="C808" s="170"/>
      <c r="D808" s="172">
        <f>0.1+0.4+1.15+0.4+1.15+0.4+0.25+0.4+1.15+0.4+0.1+0.2</f>
        <v>6.1000000000000005</v>
      </c>
      <c r="E808" s="172">
        <f>0.6</f>
        <v>0.6</v>
      </c>
      <c r="F808" s="128">
        <f>E808*D808</f>
        <v>3.66</v>
      </c>
    </row>
    <row r="809" spans="1:6">
      <c r="A809" s="203"/>
      <c r="B809" s="53" t="s">
        <v>386</v>
      </c>
      <c r="C809" s="170"/>
      <c r="D809" s="172">
        <v>4.25</v>
      </c>
      <c r="E809" s="172">
        <v>0.6</v>
      </c>
      <c r="F809" s="128">
        <f>E809*D809</f>
        <v>2.5499999999999998</v>
      </c>
    </row>
    <row r="810" spans="1:6">
      <c r="A810" s="14"/>
      <c r="B810" s="53" t="s">
        <v>387</v>
      </c>
      <c r="C810" s="170"/>
      <c r="D810" s="172">
        <f>0.1+0.4+1.15+0.4+1.15+0.4+0.25+0.4+1.15+0.4+0.1+0.2</f>
        <v>6.1000000000000005</v>
      </c>
      <c r="E810" s="172">
        <f>0.6</f>
        <v>0.6</v>
      </c>
      <c r="F810" s="128">
        <f>E810*D810</f>
        <v>3.66</v>
      </c>
    </row>
    <row r="811" spans="1:6">
      <c r="A811" s="14"/>
      <c r="B811" s="372" t="s">
        <v>14</v>
      </c>
      <c r="C811" s="373"/>
      <c r="D811" s="373"/>
      <c r="E811" s="373"/>
      <c r="F811" s="144">
        <f>SUM(F807:F810)</f>
        <v>12.42</v>
      </c>
    </row>
    <row r="812" spans="1:6">
      <c r="A812" s="14"/>
      <c r="B812" s="329" t="s">
        <v>8</v>
      </c>
      <c r="C812" s="329"/>
      <c r="D812" s="329"/>
      <c r="E812" s="329"/>
      <c r="F812" s="143">
        <v>90.67</v>
      </c>
    </row>
    <row r="813" spans="1:6">
      <c r="A813" s="232" t="str">
        <f>ORÇAMENTO!A96</f>
        <v>13.5</v>
      </c>
      <c r="B813" s="89" t="str">
        <f>ORÇAMENTO!D96</f>
        <v>REBOCO PAULISTA A13 (1 CALH:3 ARMLC+100kgCI/M3)</v>
      </c>
      <c r="C813" s="94"/>
      <c r="D813" s="90"/>
      <c r="E813" s="91"/>
      <c r="F813" s="250"/>
    </row>
    <row r="814" spans="1:6">
      <c r="A814" s="14"/>
      <c r="B814" s="365" t="s">
        <v>563</v>
      </c>
      <c r="C814" s="365"/>
      <c r="D814" s="365"/>
      <c r="E814" s="365"/>
      <c r="F814" s="366"/>
    </row>
    <row r="815" spans="1:6">
      <c r="A815" s="14"/>
      <c r="B815" s="53" t="s">
        <v>897</v>
      </c>
      <c r="C815" s="170"/>
      <c r="D815" s="172">
        <v>10.8</v>
      </c>
      <c r="E815" s="172">
        <v>1.5</v>
      </c>
      <c r="F815" s="128">
        <f>E815*D815+4.55</f>
        <v>20.750000000000004</v>
      </c>
    </row>
    <row r="816" spans="1:6">
      <c r="A816" s="14"/>
      <c r="B816" s="329" t="s">
        <v>8</v>
      </c>
      <c r="C816" s="329"/>
      <c r="D816" s="329"/>
      <c r="E816" s="329"/>
      <c r="F816" s="143">
        <f>F815</f>
        <v>20.750000000000004</v>
      </c>
    </row>
    <row r="817" spans="1:6">
      <c r="A817" s="210">
        <v>14</v>
      </c>
      <c r="B817" s="412" t="s">
        <v>126</v>
      </c>
      <c r="C817" s="412"/>
      <c r="D817" s="412"/>
      <c r="E817" s="412"/>
      <c r="F817" s="413"/>
    </row>
    <row r="818" spans="1:6">
      <c r="A818" s="230" t="str">
        <f>ORÇAMENTO!A100</f>
        <v>14.1</v>
      </c>
      <c r="B818" s="97" t="s">
        <v>129</v>
      </c>
      <c r="C818" s="178" t="s">
        <v>127</v>
      </c>
      <c r="D818" s="334" t="s">
        <v>95</v>
      </c>
      <c r="E818" s="334"/>
      <c r="F818" s="335"/>
    </row>
    <row r="819" spans="1:6">
      <c r="A819" s="211"/>
      <c r="B819" s="365" t="s">
        <v>288</v>
      </c>
      <c r="C819" s="365"/>
      <c r="D819" s="365"/>
      <c r="E819" s="365"/>
      <c r="F819" s="366"/>
    </row>
    <row r="820" spans="1:6">
      <c r="A820" s="211"/>
      <c r="B820" s="37" t="s">
        <v>530</v>
      </c>
      <c r="C820" s="47"/>
      <c r="D820" s="349">
        <v>1</v>
      </c>
      <c r="E820" s="349"/>
      <c r="F820" s="350"/>
    </row>
    <row r="821" spans="1:6">
      <c r="A821" s="211"/>
      <c r="B821" s="37" t="s">
        <v>522</v>
      </c>
      <c r="C821" s="47"/>
      <c r="D821" s="349">
        <v>1</v>
      </c>
      <c r="E821" s="349"/>
      <c r="F821" s="350"/>
    </row>
    <row r="822" spans="1:6">
      <c r="A822" s="211"/>
      <c r="B822" s="37" t="s">
        <v>523</v>
      </c>
      <c r="C822" s="47"/>
      <c r="D822" s="349">
        <v>1</v>
      </c>
      <c r="E822" s="349"/>
      <c r="F822" s="350"/>
    </row>
    <row r="823" spans="1:6">
      <c r="A823" s="211"/>
      <c r="B823" s="37" t="s">
        <v>537</v>
      </c>
      <c r="C823" s="47"/>
      <c r="D823" s="349">
        <v>1</v>
      </c>
      <c r="E823" s="349"/>
      <c r="F823" s="350"/>
    </row>
    <row r="824" spans="1:6">
      <c r="A824" s="211"/>
      <c r="B824" s="37" t="s">
        <v>524</v>
      </c>
      <c r="C824" s="47"/>
      <c r="D824" s="349">
        <v>1</v>
      </c>
      <c r="E824" s="349"/>
      <c r="F824" s="350"/>
    </row>
    <row r="825" spans="1:6">
      <c r="A825" s="211"/>
      <c r="B825" s="37" t="s">
        <v>521</v>
      </c>
      <c r="C825" s="47"/>
      <c r="D825" s="349">
        <v>1</v>
      </c>
      <c r="E825" s="349"/>
      <c r="F825" s="350"/>
    </row>
    <row r="826" spans="1:6">
      <c r="A826" s="211"/>
      <c r="B826" s="37" t="s">
        <v>527</v>
      </c>
      <c r="C826" s="47"/>
      <c r="D826" s="349">
        <v>1</v>
      </c>
      <c r="E826" s="349"/>
      <c r="F826" s="350"/>
    </row>
    <row r="827" spans="1:6">
      <c r="A827" s="211"/>
      <c r="B827" s="37" t="s">
        <v>549</v>
      </c>
      <c r="C827" s="47"/>
      <c r="D827" s="349">
        <v>1</v>
      </c>
      <c r="E827" s="349"/>
      <c r="F827" s="350"/>
    </row>
    <row r="828" spans="1:6">
      <c r="A828" s="211"/>
      <c r="B828" s="37" t="s">
        <v>884</v>
      </c>
      <c r="C828" s="47"/>
      <c r="D828" s="349">
        <v>1</v>
      </c>
      <c r="E828" s="349"/>
      <c r="F828" s="350"/>
    </row>
    <row r="829" spans="1:6">
      <c r="A829" s="211"/>
      <c r="B829" s="329" t="s">
        <v>14</v>
      </c>
      <c r="C829" s="329"/>
      <c r="D829" s="329"/>
      <c r="E829" s="329"/>
      <c r="F829" s="143">
        <f>SUM(D820:F828)</f>
        <v>9</v>
      </c>
    </row>
    <row r="830" spans="1:6">
      <c r="A830" s="211"/>
      <c r="B830" s="365" t="s">
        <v>288</v>
      </c>
      <c r="C830" s="365"/>
      <c r="D830" s="365"/>
      <c r="E830" s="365"/>
      <c r="F830" s="366"/>
    </row>
    <row r="831" spans="1:6">
      <c r="A831" s="212"/>
      <c r="B831" s="15" t="s">
        <v>667</v>
      </c>
      <c r="C831" s="47"/>
      <c r="D831" s="421">
        <v>1</v>
      </c>
      <c r="E831" s="421"/>
      <c r="F831" s="422"/>
    </row>
    <row r="832" spans="1:6">
      <c r="A832" s="212"/>
      <c r="B832" s="15" t="s">
        <v>97</v>
      </c>
      <c r="C832" s="47"/>
      <c r="D832" s="421">
        <v>2</v>
      </c>
      <c r="E832" s="421"/>
      <c r="F832" s="422"/>
    </row>
    <row r="833" spans="1:6">
      <c r="A833" s="212"/>
      <c r="B833" s="15" t="s">
        <v>118</v>
      </c>
      <c r="C833" s="47"/>
      <c r="D833" s="421">
        <v>1</v>
      </c>
      <c r="E833" s="421"/>
      <c r="F833" s="422"/>
    </row>
    <row r="834" spans="1:6">
      <c r="A834" s="212"/>
      <c r="B834" s="15" t="s">
        <v>119</v>
      </c>
      <c r="C834" s="47"/>
      <c r="D834" s="421">
        <v>1</v>
      </c>
      <c r="E834" s="421"/>
      <c r="F834" s="422"/>
    </row>
    <row r="835" spans="1:6">
      <c r="A835" s="212"/>
      <c r="B835" s="15" t="s">
        <v>662</v>
      </c>
      <c r="C835" s="47"/>
      <c r="D835" s="421">
        <v>1</v>
      </c>
      <c r="E835" s="421"/>
      <c r="F835" s="422"/>
    </row>
    <row r="836" spans="1:6">
      <c r="A836" s="212"/>
      <c r="B836" s="100" t="s">
        <v>553</v>
      </c>
      <c r="C836" s="47"/>
      <c r="D836" s="421">
        <v>1</v>
      </c>
      <c r="E836" s="421"/>
      <c r="F836" s="422"/>
    </row>
    <row r="837" spans="1:6">
      <c r="A837" s="212"/>
      <c r="B837" s="100" t="s">
        <v>514</v>
      </c>
      <c r="C837" s="47"/>
      <c r="D837" s="421">
        <v>1</v>
      </c>
      <c r="E837" s="421"/>
      <c r="F837" s="422"/>
    </row>
    <row r="838" spans="1:6">
      <c r="A838" s="212"/>
      <c r="B838" s="100" t="s">
        <v>554</v>
      </c>
      <c r="C838" s="47"/>
      <c r="D838" s="421">
        <v>2</v>
      </c>
      <c r="E838" s="421"/>
      <c r="F838" s="422"/>
    </row>
    <row r="839" spans="1:6">
      <c r="A839" s="212"/>
      <c r="B839" s="53" t="s">
        <v>672</v>
      </c>
      <c r="C839" s="47"/>
      <c r="D839" s="421">
        <v>1</v>
      </c>
      <c r="E839" s="421"/>
      <c r="F839" s="422"/>
    </row>
    <row r="840" spans="1:6">
      <c r="A840" s="212"/>
      <c r="B840" s="15" t="s">
        <v>121</v>
      </c>
      <c r="C840" s="47"/>
      <c r="D840" s="421">
        <v>1</v>
      </c>
      <c r="E840" s="421"/>
      <c r="F840" s="422"/>
    </row>
    <row r="841" spans="1:6">
      <c r="A841" s="212"/>
      <c r="B841" s="15" t="s">
        <v>512</v>
      </c>
      <c r="C841" s="47"/>
      <c r="D841" s="421">
        <v>1</v>
      </c>
      <c r="E841" s="421"/>
      <c r="F841" s="422"/>
    </row>
    <row r="842" spans="1:6">
      <c r="A842" s="212"/>
      <c r="B842" s="15" t="s">
        <v>677</v>
      </c>
      <c r="C842" s="47"/>
      <c r="D842" s="421">
        <v>1</v>
      </c>
      <c r="E842" s="421"/>
      <c r="F842" s="422"/>
    </row>
    <row r="843" spans="1:6">
      <c r="A843" s="212"/>
      <c r="B843" s="32" t="s">
        <v>348</v>
      </c>
      <c r="C843" s="47"/>
      <c r="D843" s="421">
        <v>2</v>
      </c>
      <c r="E843" s="421"/>
      <c r="F843" s="422"/>
    </row>
    <row r="844" spans="1:6">
      <c r="A844" s="211"/>
      <c r="B844" s="329" t="s">
        <v>14</v>
      </c>
      <c r="C844" s="329"/>
      <c r="D844" s="329"/>
      <c r="E844" s="329"/>
      <c r="F844" s="143">
        <f>SUM(D831:F843)</f>
        <v>16</v>
      </c>
    </row>
    <row r="845" spans="1:6">
      <c r="A845" s="211"/>
      <c r="B845" s="365" t="s">
        <v>563</v>
      </c>
      <c r="C845" s="365"/>
      <c r="D845" s="365"/>
      <c r="E845" s="365"/>
      <c r="F845" s="366"/>
    </row>
    <row r="846" spans="1:6">
      <c r="A846" s="211"/>
      <c r="B846" s="37" t="s">
        <v>141</v>
      </c>
      <c r="C846" s="47"/>
      <c r="D846" s="421">
        <v>1</v>
      </c>
      <c r="E846" s="421"/>
      <c r="F846" s="422"/>
    </row>
    <row r="847" spans="1:6">
      <c r="A847" s="211"/>
      <c r="B847" s="37" t="s">
        <v>151</v>
      </c>
      <c r="C847" s="47"/>
      <c r="D847" s="421">
        <v>1</v>
      </c>
      <c r="E847" s="421"/>
      <c r="F847" s="422"/>
    </row>
    <row r="848" spans="1:6">
      <c r="A848" s="211"/>
      <c r="B848" s="37" t="s">
        <v>151</v>
      </c>
      <c r="C848" s="47"/>
      <c r="D848" s="421">
        <v>1</v>
      </c>
      <c r="E848" s="421"/>
      <c r="F848" s="422"/>
    </row>
    <row r="849" spans="1:6">
      <c r="A849" s="211"/>
      <c r="B849" s="37" t="s">
        <v>128</v>
      </c>
      <c r="C849" s="47"/>
      <c r="D849" s="349">
        <v>1</v>
      </c>
      <c r="E849" s="349"/>
      <c r="F849" s="350"/>
    </row>
    <row r="850" spans="1:6">
      <c r="A850" s="211"/>
      <c r="B850" s="37" t="s">
        <v>118</v>
      </c>
      <c r="C850" s="47"/>
      <c r="D850" s="349">
        <v>1</v>
      </c>
      <c r="E850" s="349"/>
      <c r="F850" s="350"/>
    </row>
    <row r="851" spans="1:6">
      <c r="A851" s="211"/>
      <c r="B851" s="37" t="s">
        <v>119</v>
      </c>
      <c r="C851" s="47"/>
      <c r="D851" s="349">
        <v>1</v>
      </c>
      <c r="E851" s="349"/>
      <c r="F851" s="350"/>
    </row>
    <row r="852" spans="1:6">
      <c r="A852" s="211"/>
      <c r="B852" s="37" t="s">
        <v>120</v>
      </c>
      <c r="C852" s="47"/>
      <c r="D852" s="349">
        <v>1</v>
      </c>
      <c r="E852" s="349"/>
      <c r="F852" s="350"/>
    </row>
    <row r="853" spans="1:6">
      <c r="A853" s="211"/>
      <c r="B853" s="37" t="s">
        <v>121</v>
      </c>
      <c r="C853" s="47"/>
      <c r="D853" s="349">
        <v>1</v>
      </c>
      <c r="E853" s="349"/>
      <c r="F853" s="350"/>
    </row>
    <row r="854" spans="1:6">
      <c r="A854" s="211"/>
      <c r="B854" s="37" t="s">
        <v>135</v>
      </c>
      <c r="C854" s="47"/>
      <c r="D854" s="349">
        <v>1</v>
      </c>
      <c r="E854" s="349"/>
      <c r="F854" s="350"/>
    </row>
    <row r="855" spans="1:6">
      <c r="A855" s="211"/>
      <c r="B855" s="37" t="s">
        <v>136</v>
      </c>
      <c r="C855" s="47"/>
      <c r="D855" s="349">
        <v>1</v>
      </c>
      <c r="E855" s="349"/>
      <c r="F855" s="350"/>
    </row>
    <row r="856" spans="1:6">
      <c r="A856" s="211"/>
      <c r="B856" s="37" t="s">
        <v>137</v>
      </c>
      <c r="C856" s="47"/>
      <c r="D856" s="349">
        <v>1</v>
      </c>
      <c r="E856" s="349"/>
      <c r="F856" s="350"/>
    </row>
    <row r="857" spans="1:6">
      <c r="A857" s="211"/>
      <c r="B857" s="37" t="s">
        <v>138</v>
      </c>
      <c r="C857" s="47"/>
      <c r="D857" s="349">
        <v>1</v>
      </c>
      <c r="E857" s="349"/>
      <c r="F857" s="350"/>
    </row>
    <row r="858" spans="1:6">
      <c r="A858" s="211"/>
      <c r="B858" s="37" t="s">
        <v>139</v>
      </c>
      <c r="C858" s="47"/>
      <c r="D858" s="349">
        <v>1</v>
      </c>
      <c r="E858" s="349"/>
      <c r="F858" s="350"/>
    </row>
    <row r="859" spans="1:6">
      <c r="A859" s="211"/>
      <c r="B859" s="37" t="s">
        <v>1012</v>
      </c>
      <c r="C859" s="47"/>
      <c r="D859" s="349">
        <v>2</v>
      </c>
      <c r="E859" s="349"/>
      <c r="F859" s="350"/>
    </row>
    <row r="860" spans="1:6">
      <c r="A860" s="211"/>
      <c r="B860" s="329" t="s">
        <v>14</v>
      </c>
      <c r="C860" s="329"/>
      <c r="D860" s="329"/>
      <c r="E860" s="329"/>
      <c r="F860" s="143">
        <f>SUM(D846:F859)</f>
        <v>15</v>
      </c>
    </row>
    <row r="861" spans="1:6">
      <c r="A861" s="211"/>
      <c r="B861" s="411" t="s">
        <v>8</v>
      </c>
      <c r="C861" s="411"/>
      <c r="D861" s="411"/>
      <c r="E861" s="411"/>
      <c r="F861" s="213">
        <f>F860+F844+F829</f>
        <v>40</v>
      </c>
    </row>
    <row r="862" spans="1:6" ht="15" customHeight="1">
      <c r="A862" s="210">
        <v>15</v>
      </c>
      <c r="B862" s="412" t="s">
        <v>976</v>
      </c>
      <c r="C862" s="412"/>
      <c r="D862" s="412"/>
      <c r="E862" s="412"/>
      <c r="F862" s="413"/>
    </row>
    <row r="863" spans="1:6" ht="15" customHeight="1">
      <c r="A863" s="230" t="str">
        <f>ORÇAMENTO!A104</f>
        <v>15.1</v>
      </c>
      <c r="B863" s="97" t="str">
        <f>ORÇAMENTO!D104</f>
        <v>ENCARREGADO - (OBRAS CIVIS)</v>
      </c>
      <c r="C863" s="186" t="s">
        <v>213</v>
      </c>
      <c r="D863" s="434" t="s">
        <v>95</v>
      </c>
      <c r="E863" s="435"/>
      <c r="F863" s="436"/>
    </row>
    <row r="864" spans="1:6" ht="15" customHeight="1">
      <c r="A864" s="14"/>
      <c r="B864" s="15" t="s">
        <v>1036</v>
      </c>
      <c r="C864" s="170"/>
      <c r="D864" s="349">
        <v>528</v>
      </c>
      <c r="E864" s="349"/>
      <c r="F864" s="350"/>
    </row>
    <row r="865" spans="1:6" ht="15" customHeight="1">
      <c r="A865" s="14"/>
      <c r="B865" s="411" t="s">
        <v>8</v>
      </c>
      <c r="C865" s="411"/>
      <c r="D865" s="411"/>
      <c r="E865" s="411"/>
      <c r="F865" s="213">
        <v>528</v>
      </c>
    </row>
    <row r="866" spans="1:6">
      <c r="A866" s="190">
        <v>16</v>
      </c>
      <c r="B866" s="347" t="s">
        <v>12</v>
      </c>
      <c r="C866" s="347"/>
      <c r="D866" s="347"/>
      <c r="E866" s="347"/>
      <c r="F866" s="348"/>
    </row>
    <row r="867" spans="1:6">
      <c r="A867" s="230" t="str">
        <f>ORÇAMENTO!A108</f>
        <v>16.1</v>
      </c>
      <c r="B867" s="97" t="s">
        <v>166</v>
      </c>
      <c r="C867" s="96" t="s">
        <v>16</v>
      </c>
      <c r="D867" s="94" t="s">
        <v>19</v>
      </c>
      <c r="E867" s="94" t="s">
        <v>18</v>
      </c>
      <c r="F867" s="252" t="s">
        <v>8</v>
      </c>
    </row>
    <row r="868" spans="1:6">
      <c r="A868" s="211"/>
      <c r="B868" s="365" t="s">
        <v>613</v>
      </c>
      <c r="C868" s="365"/>
      <c r="D868" s="365"/>
      <c r="E868" s="365"/>
      <c r="F868" s="366"/>
    </row>
    <row r="869" spans="1:6">
      <c r="A869" s="211"/>
      <c r="B869" s="15" t="s">
        <v>606</v>
      </c>
      <c r="C869" s="39"/>
      <c r="D869" s="45"/>
      <c r="E869" s="45"/>
      <c r="F869" s="217"/>
    </row>
    <row r="870" spans="1:6">
      <c r="A870" s="211"/>
      <c r="B870" s="15" t="s">
        <v>607</v>
      </c>
      <c r="C870" s="16"/>
      <c r="D870" s="172">
        <f>2.4+2.35+2.4+2.35</f>
        <v>9.5</v>
      </c>
      <c r="E870" s="172">
        <v>1.2</v>
      </c>
      <c r="F870" s="237">
        <f>D870*E870</f>
        <v>11.4</v>
      </c>
    </row>
    <row r="871" spans="1:6">
      <c r="A871" s="211"/>
      <c r="B871" s="15" t="s">
        <v>608</v>
      </c>
      <c r="C871" s="16"/>
      <c r="D871" s="172">
        <v>0.9</v>
      </c>
      <c r="E871" s="172">
        <v>1.2</v>
      </c>
      <c r="F871" s="237">
        <f>E871*D871</f>
        <v>1.08</v>
      </c>
    </row>
    <row r="872" spans="1:6">
      <c r="A872" s="211"/>
      <c r="B872" s="411" t="s">
        <v>14</v>
      </c>
      <c r="C872" s="411"/>
      <c r="D872" s="411"/>
      <c r="E872" s="411"/>
      <c r="F872" s="213">
        <f>F870-F871</f>
        <v>10.32</v>
      </c>
    </row>
    <row r="873" spans="1:6">
      <c r="A873" s="211"/>
      <c r="B873" s="37" t="s">
        <v>605</v>
      </c>
      <c r="C873" s="113"/>
      <c r="D873" s="117"/>
      <c r="E873" s="117"/>
      <c r="F873" s="145"/>
    </row>
    <row r="874" spans="1:6">
      <c r="A874" s="211"/>
      <c r="B874" s="15" t="s">
        <v>604</v>
      </c>
      <c r="C874" s="16"/>
      <c r="D874" s="46">
        <f>4.25+2.35+4.25+2.35</f>
        <v>13.2</v>
      </c>
      <c r="E874" s="46">
        <v>1.2</v>
      </c>
      <c r="F874" s="237">
        <f>D874*E874</f>
        <v>15.839999999999998</v>
      </c>
    </row>
    <row r="875" spans="1:6">
      <c r="A875" s="211"/>
      <c r="B875" s="37" t="s">
        <v>610</v>
      </c>
      <c r="C875" s="130"/>
      <c r="D875" s="116">
        <v>0.9</v>
      </c>
      <c r="E875" s="116">
        <v>1.2</v>
      </c>
      <c r="F875" s="214">
        <f>E875*D875</f>
        <v>1.08</v>
      </c>
    </row>
    <row r="876" spans="1:6">
      <c r="A876" s="211"/>
      <c r="B876" s="37" t="s">
        <v>609</v>
      </c>
      <c r="C876" s="130"/>
      <c r="D876" s="116">
        <v>2.2400000000000002</v>
      </c>
      <c r="E876" s="116">
        <v>0.7</v>
      </c>
      <c r="F876" s="214">
        <f>E876*D876</f>
        <v>1.5680000000000001</v>
      </c>
    </row>
    <row r="877" spans="1:6">
      <c r="A877" s="211"/>
      <c r="B877" s="329" t="s">
        <v>14</v>
      </c>
      <c r="C877" s="329"/>
      <c r="D877" s="329"/>
      <c r="E877" s="329"/>
      <c r="F877" s="213">
        <f>F874-F875-F876</f>
        <v>13.191999999999998</v>
      </c>
    </row>
    <row r="878" spans="1:6">
      <c r="A878" s="211"/>
      <c r="B878" s="37" t="s">
        <v>603</v>
      </c>
      <c r="C878" s="113" t="s">
        <v>16</v>
      </c>
      <c r="D878" s="41" t="s">
        <v>19</v>
      </c>
      <c r="E878" s="41" t="s">
        <v>18</v>
      </c>
      <c r="F878" s="145" t="s">
        <v>8</v>
      </c>
    </row>
    <row r="879" spans="1:6">
      <c r="A879" s="211"/>
      <c r="B879" s="15" t="s">
        <v>602</v>
      </c>
      <c r="C879" s="18"/>
      <c r="D879" s="179">
        <f>3+2.35+3+2.35</f>
        <v>10.7</v>
      </c>
      <c r="E879" s="42">
        <v>1.2</v>
      </c>
      <c r="F879" s="237">
        <f>D879*E879</f>
        <v>12.839999999999998</v>
      </c>
    </row>
    <row r="880" spans="1:6">
      <c r="A880" s="211"/>
      <c r="B880" s="37" t="s">
        <v>612</v>
      </c>
      <c r="C880" s="112"/>
      <c r="D880" s="42">
        <f>0.9</f>
        <v>0.9</v>
      </c>
      <c r="E880" s="42">
        <v>1.2</v>
      </c>
      <c r="F880" s="214">
        <f>D880*E880</f>
        <v>1.08</v>
      </c>
    </row>
    <row r="881" spans="1:6">
      <c r="A881" s="211"/>
      <c r="B881" s="15" t="s">
        <v>611</v>
      </c>
      <c r="C881" s="18"/>
      <c r="D881" s="179">
        <v>2.2400000000000002</v>
      </c>
      <c r="E881" s="42">
        <v>0.7</v>
      </c>
      <c r="F881" s="237">
        <f>D881*E881</f>
        <v>1.5680000000000001</v>
      </c>
    </row>
    <row r="882" spans="1:6">
      <c r="A882" s="211"/>
      <c r="B882" s="357" t="s">
        <v>14</v>
      </c>
      <c r="C882" s="357"/>
      <c r="D882" s="357"/>
      <c r="E882" s="357"/>
      <c r="F882" s="213">
        <f>F879-F880-F881</f>
        <v>10.191999999999998</v>
      </c>
    </row>
    <row r="883" spans="1:6">
      <c r="A883" s="211"/>
      <c r="B883" s="37" t="s">
        <v>601</v>
      </c>
      <c r="C883" s="113" t="s">
        <v>16</v>
      </c>
      <c r="D883" s="41" t="s">
        <v>19</v>
      </c>
      <c r="E883" s="41" t="s">
        <v>18</v>
      </c>
      <c r="F883" s="145" t="s">
        <v>8</v>
      </c>
    </row>
    <row r="884" spans="1:6">
      <c r="A884" s="211"/>
      <c r="B884" s="37" t="s">
        <v>945</v>
      </c>
      <c r="C884" s="112"/>
      <c r="D884" s="41">
        <f>2.5+1.1+2.5+1.1</f>
        <v>7.1999999999999993</v>
      </c>
      <c r="E884" s="41">
        <v>1.2</v>
      </c>
      <c r="F884" s="215">
        <f>E884*D884</f>
        <v>8.6399999999999988</v>
      </c>
    </row>
    <row r="885" spans="1:6">
      <c r="A885" s="211"/>
      <c r="B885" s="37" t="s">
        <v>30</v>
      </c>
      <c r="C885" s="112"/>
      <c r="D885" s="41">
        <f>2*0.9</f>
        <v>1.8</v>
      </c>
      <c r="E885" s="41">
        <v>1.2</v>
      </c>
      <c r="F885" s="215">
        <f>E885*D885</f>
        <v>2.16</v>
      </c>
    </row>
    <row r="886" spans="1:6">
      <c r="A886" s="211"/>
      <c r="B886" s="357" t="s">
        <v>14</v>
      </c>
      <c r="C886" s="357"/>
      <c r="D886" s="357"/>
      <c r="E886" s="357"/>
      <c r="F886" s="144">
        <f>F884-F885</f>
        <v>6.4799999999999986</v>
      </c>
    </row>
    <row r="887" spans="1:6">
      <c r="A887" s="211"/>
      <c r="B887" s="37" t="s">
        <v>600</v>
      </c>
      <c r="C887" s="113" t="s">
        <v>16</v>
      </c>
      <c r="D887" s="41" t="s">
        <v>19</v>
      </c>
      <c r="E887" s="41" t="s">
        <v>18</v>
      </c>
      <c r="F887" s="145" t="s">
        <v>8</v>
      </c>
    </row>
    <row r="888" spans="1:6">
      <c r="A888" s="211"/>
      <c r="B888" s="37" t="s">
        <v>599</v>
      </c>
      <c r="C888" s="112"/>
      <c r="D888" s="42">
        <f>1.8+4.85+1.8+4.85</f>
        <v>13.299999999999999</v>
      </c>
      <c r="E888" s="42">
        <v>1.2</v>
      </c>
      <c r="F888" s="145">
        <f>E888*D888</f>
        <v>15.959999999999997</v>
      </c>
    </row>
    <row r="889" spans="1:6">
      <c r="A889" s="211"/>
      <c r="B889" s="37" t="s">
        <v>610</v>
      </c>
      <c r="C889" s="112"/>
      <c r="D889" s="42">
        <v>0.9</v>
      </c>
      <c r="E889" s="42">
        <v>1.2</v>
      </c>
      <c r="F889" s="145">
        <f>E889*D889</f>
        <v>1.08</v>
      </c>
    </row>
    <row r="890" spans="1:6">
      <c r="A890" s="211"/>
      <c r="B890" s="37" t="s">
        <v>616</v>
      </c>
      <c r="C890" s="112"/>
      <c r="D890" s="42">
        <v>2.25</v>
      </c>
      <c r="E890" s="42">
        <v>0.2</v>
      </c>
      <c r="F890" s="145">
        <f>E890*D890</f>
        <v>0.45</v>
      </c>
    </row>
    <row r="891" spans="1:6">
      <c r="A891" s="211"/>
      <c r="B891" s="357" t="s">
        <v>14</v>
      </c>
      <c r="C891" s="357"/>
      <c r="D891" s="357"/>
      <c r="E891" s="357"/>
      <c r="F891" s="144">
        <f>F888-F889-F890</f>
        <v>14.429999999999998</v>
      </c>
    </row>
    <row r="892" spans="1:6">
      <c r="A892" s="211"/>
      <c r="B892" s="37" t="s">
        <v>598</v>
      </c>
      <c r="C892" s="113" t="s">
        <v>16</v>
      </c>
      <c r="D892" s="41" t="s">
        <v>19</v>
      </c>
      <c r="E892" s="41" t="s">
        <v>18</v>
      </c>
      <c r="F892" s="145" t="s">
        <v>8</v>
      </c>
    </row>
    <row r="893" spans="1:6">
      <c r="A893" s="211"/>
      <c r="B893" s="37" t="s">
        <v>597</v>
      </c>
      <c r="C893" s="112"/>
      <c r="D893" s="42">
        <f>2.35+3+2.35+3</f>
        <v>10.7</v>
      </c>
      <c r="E893" s="42">
        <v>1.2</v>
      </c>
      <c r="F893" s="145">
        <f>E893*D893</f>
        <v>12.839999999999998</v>
      </c>
    </row>
    <row r="894" spans="1:6">
      <c r="A894" s="211"/>
      <c r="B894" s="37" t="s">
        <v>610</v>
      </c>
      <c r="C894" s="112"/>
      <c r="D894" s="42">
        <v>0.9</v>
      </c>
      <c r="E894" s="42">
        <v>1.2</v>
      </c>
      <c r="F894" s="145">
        <f>E894*D894</f>
        <v>1.08</v>
      </c>
    </row>
    <row r="895" spans="1:6">
      <c r="A895" s="211"/>
      <c r="B895" s="15" t="s">
        <v>609</v>
      </c>
      <c r="C895" s="18"/>
      <c r="D895" s="179">
        <v>2.2400000000000002</v>
      </c>
      <c r="E895" s="42">
        <v>0.7</v>
      </c>
      <c r="F895" s="237">
        <f>D895*E895</f>
        <v>1.5680000000000001</v>
      </c>
    </row>
    <row r="896" spans="1:6">
      <c r="A896" s="211"/>
      <c r="B896" s="357" t="s">
        <v>14</v>
      </c>
      <c r="C896" s="357"/>
      <c r="D896" s="357"/>
      <c r="E896" s="357"/>
      <c r="F896" s="144">
        <f>F893-F894-F895</f>
        <v>10.191999999999998</v>
      </c>
    </row>
    <row r="897" spans="1:6">
      <c r="A897" s="211"/>
      <c r="B897" s="115" t="s">
        <v>596</v>
      </c>
      <c r="C897" s="114" t="s">
        <v>16</v>
      </c>
      <c r="D897" s="43" t="s">
        <v>19</v>
      </c>
      <c r="E897" s="43" t="s">
        <v>18</v>
      </c>
      <c r="F897" s="145" t="s">
        <v>8</v>
      </c>
    </row>
    <row r="898" spans="1:6">
      <c r="A898" s="211"/>
      <c r="B898" s="32" t="s">
        <v>946</v>
      </c>
      <c r="C898" s="62"/>
      <c r="D898" s="176">
        <f>3.05+2.35+3.05+2.35</f>
        <v>10.799999999999999</v>
      </c>
      <c r="E898" s="176">
        <v>1.2</v>
      </c>
      <c r="F898" s="238">
        <f>D898*E898</f>
        <v>12.959999999999999</v>
      </c>
    </row>
    <row r="899" spans="1:6">
      <c r="A899" s="211"/>
      <c r="B899" s="37" t="s">
        <v>30</v>
      </c>
      <c r="C899" s="112"/>
      <c r="D899" s="41">
        <f>2*0.9</f>
        <v>1.8</v>
      </c>
      <c r="E899" s="41">
        <v>1.2</v>
      </c>
      <c r="F899" s="215">
        <f>E899*D899</f>
        <v>2.16</v>
      </c>
    </row>
    <row r="900" spans="1:6">
      <c r="A900" s="211"/>
      <c r="B900" s="357" t="s">
        <v>14</v>
      </c>
      <c r="C900" s="357"/>
      <c r="D900" s="357"/>
      <c r="E900" s="357"/>
      <c r="F900" s="144">
        <f>F898-F899</f>
        <v>10.799999999999999</v>
      </c>
    </row>
    <row r="901" spans="1:6">
      <c r="A901" s="211"/>
      <c r="B901" s="37" t="s">
        <v>595</v>
      </c>
      <c r="C901" s="113" t="s">
        <v>16</v>
      </c>
      <c r="D901" s="41" t="s">
        <v>19</v>
      </c>
      <c r="E901" s="41" t="s">
        <v>18</v>
      </c>
      <c r="F901" s="145" t="s">
        <v>8</v>
      </c>
    </row>
    <row r="902" spans="1:6">
      <c r="A902" s="211"/>
      <c r="B902" s="37" t="s">
        <v>593</v>
      </c>
      <c r="C902" s="112"/>
      <c r="D902" s="41">
        <f>6.2+2.35+6.2+2.35</f>
        <v>17.100000000000001</v>
      </c>
      <c r="E902" s="41">
        <v>1.2</v>
      </c>
      <c r="F902" s="215">
        <f>D902*E902</f>
        <v>20.52</v>
      </c>
    </row>
    <row r="903" spans="1:6">
      <c r="A903" s="211"/>
      <c r="B903" s="37" t="s">
        <v>610</v>
      </c>
      <c r="C903" s="112"/>
      <c r="D903" s="42">
        <v>0.9</v>
      </c>
      <c r="E903" s="42">
        <v>1.2</v>
      </c>
      <c r="F903" s="215">
        <f>D903*E903</f>
        <v>1.08</v>
      </c>
    </row>
    <row r="904" spans="1:6">
      <c r="A904" s="211"/>
      <c r="B904" s="15" t="s">
        <v>609</v>
      </c>
      <c r="C904" s="18"/>
      <c r="D904" s="179">
        <v>2.2400000000000002</v>
      </c>
      <c r="E904" s="42">
        <v>0.7</v>
      </c>
      <c r="F904" s="237">
        <f>D904*E904</f>
        <v>1.5680000000000001</v>
      </c>
    </row>
    <row r="905" spans="1:6">
      <c r="A905" s="211"/>
      <c r="B905" s="357" t="s">
        <v>14</v>
      </c>
      <c r="C905" s="357"/>
      <c r="D905" s="357"/>
      <c r="E905" s="357"/>
      <c r="F905" s="144">
        <f>F902-F903-F904</f>
        <v>17.871999999999996</v>
      </c>
    </row>
    <row r="906" spans="1:6">
      <c r="A906" s="211"/>
      <c r="B906" s="37" t="s">
        <v>594</v>
      </c>
      <c r="C906" s="113" t="s">
        <v>16</v>
      </c>
      <c r="D906" s="41" t="s">
        <v>19</v>
      </c>
      <c r="E906" s="41" t="s">
        <v>18</v>
      </c>
      <c r="F906" s="145" t="s">
        <v>8</v>
      </c>
    </row>
    <row r="907" spans="1:6">
      <c r="A907" s="211"/>
      <c r="B907" s="37" t="s">
        <v>593</v>
      </c>
      <c r="C907" s="112"/>
      <c r="D907" s="41">
        <f>6.2+2.35+6.2+2.35</f>
        <v>17.100000000000001</v>
      </c>
      <c r="E907" s="41">
        <v>1.2</v>
      </c>
      <c r="F907" s="215">
        <f>D907*E907</f>
        <v>20.52</v>
      </c>
    </row>
    <row r="908" spans="1:6">
      <c r="A908" s="211"/>
      <c r="B908" s="37" t="s">
        <v>608</v>
      </c>
      <c r="C908" s="112"/>
      <c r="D908" s="42">
        <v>0.9</v>
      </c>
      <c r="E908" s="42">
        <v>1.2</v>
      </c>
      <c r="F908" s="215">
        <f>D908*E908</f>
        <v>1.08</v>
      </c>
    </row>
    <row r="909" spans="1:6">
      <c r="A909" s="211"/>
      <c r="B909" s="15" t="s">
        <v>609</v>
      </c>
      <c r="C909" s="18"/>
      <c r="D909" s="179">
        <v>2.2400000000000002</v>
      </c>
      <c r="E909" s="42">
        <v>0.7</v>
      </c>
      <c r="F909" s="237">
        <f>D909*E909</f>
        <v>1.5680000000000001</v>
      </c>
    </row>
    <row r="910" spans="1:6">
      <c r="A910" s="211"/>
      <c r="B910" s="357" t="s">
        <v>14</v>
      </c>
      <c r="C910" s="357"/>
      <c r="D910" s="357"/>
      <c r="E910" s="357"/>
      <c r="F910" s="144">
        <f>F907-F908-F909</f>
        <v>17.871999999999996</v>
      </c>
    </row>
    <row r="911" spans="1:6">
      <c r="A911" s="211"/>
      <c r="B911" s="37" t="s">
        <v>592</v>
      </c>
      <c r="C911" s="113" t="s">
        <v>16</v>
      </c>
      <c r="D911" s="41" t="s">
        <v>19</v>
      </c>
      <c r="E911" s="41" t="s">
        <v>18</v>
      </c>
      <c r="F911" s="145" t="s">
        <v>8</v>
      </c>
    </row>
    <row r="912" spans="1:6">
      <c r="A912" s="211"/>
      <c r="B912" s="37" t="s">
        <v>589</v>
      </c>
      <c r="C912" s="112"/>
      <c r="D912" s="41">
        <f>4.25+4.85+4.25+4.85</f>
        <v>18.2</v>
      </c>
      <c r="E912" s="41">
        <v>1.2</v>
      </c>
      <c r="F912" s="215">
        <f>D912*E912</f>
        <v>21.84</v>
      </c>
    </row>
    <row r="913" spans="1:6">
      <c r="A913" s="211"/>
      <c r="B913" s="37" t="s">
        <v>608</v>
      </c>
      <c r="C913" s="112"/>
      <c r="D913" s="42">
        <v>0.9</v>
      </c>
      <c r="E913" s="42">
        <v>1.2</v>
      </c>
      <c r="F913" s="215">
        <f t="shared" ref="F913:F915" si="32">D913*E913</f>
        <v>1.08</v>
      </c>
    </row>
    <row r="914" spans="1:6">
      <c r="A914" s="211"/>
      <c r="B914" s="37" t="s">
        <v>632</v>
      </c>
      <c r="C914" s="112"/>
      <c r="D914" s="42">
        <v>0.7</v>
      </c>
      <c r="E914" s="42">
        <v>1.2</v>
      </c>
      <c r="F914" s="215">
        <f t="shared" ref="F914" si="33">D914*E914</f>
        <v>0.84</v>
      </c>
    </row>
    <row r="915" spans="1:6">
      <c r="A915" s="211"/>
      <c r="B915" s="15" t="s">
        <v>588</v>
      </c>
      <c r="C915" s="18"/>
      <c r="D915" s="179">
        <f>2*2.24</f>
        <v>4.4800000000000004</v>
      </c>
      <c r="E915" s="42">
        <v>0.7</v>
      </c>
      <c r="F915" s="215">
        <f t="shared" si="32"/>
        <v>3.1360000000000001</v>
      </c>
    </row>
    <row r="916" spans="1:6">
      <c r="A916" s="211"/>
      <c r="B916" s="357" t="s">
        <v>14</v>
      </c>
      <c r="C916" s="357"/>
      <c r="D916" s="357"/>
      <c r="E916" s="357"/>
      <c r="F916" s="144">
        <f>F912-F913-F915-F914</f>
        <v>16.783999999999999</v>
      </c>
    </row>
    <row r="917" spans="1:6">
      <c r="A917" s="211"/>
      <c r="B917" s="37" t="s">
        <v>591</v>
      </c>
      <c r="C917" s="111" t="s">
        <v>16</v>
      </c>
      <c r="D917" s="111" t="s">
        <v>19</v>
      </c>
      <c r="E917" s="111" t="s">
        <v>18</v>
      </c>
      <c r="F917" s="145" t="s">
        <v>8</v>
      </c>
    </row>
    <row r="918" spans="1:6">
      <c r="A918" s="211"/>
      <c r="B918" s="37" t="s">
        <v>589</v>
      </c>
      <c r="C918" s="112"/>
      <c r="D918" s="41">
        <f>4.25+4.85+4.25+4.85</f>
        <v>18.2</v>
      </c>
      <c r="E918" s="41">
        <v>1.2</v>
      </c>
      <c r="F918" s="215">
        <f>D918*E918</f>
        <v>21.84</v>
      </c>
    </row>
    <row r="919" spans="1:6">
      <c r="A919" s="211"/>
      <c r="B919" s="37" t="s">
        <v>610</v>
      </c>
      <c r="C919" s="112"/>
      <c r="D919" s="42">
        <v>0.9</v>
      </c>
      <c r="E919" s="42">
        <v>1.2</v>
      </c>
      <c r="F919" s="215">
        <f t="shared" ref="F919:F921" si="34">D919*E919</f>
        <v>1.08</v>
      </c>
    </row>
    <row r="920" spans="1:6">
      <c r="A920" s="211"/>
      <c r="B920" s="37" t="s">
        <v>632</v>
      </c>
      <c r="C920" s="112"/>
      <c r="D920" s="42">
        <v>0.7</v>
      </c>
      <c r="E920" s="42">
        <v>1.2</v>
      </c>
      <c r="F920" s="215">
        <f t="shared" si="34"/>
        <v>0.84</v>
      </c>
    </row>
    <row r="921" spans="1:6">
      <c r="A921" s="211"/>
      <c r="B921" s="15" t="s">
        <v>588</v>
      </c>
      <c r="C921" s="18"/>
      <c r="D921" s="179">
        <f>2*2.24</f>
        <v>4.4800000000000004</v>
      </c>
      <c r="E921" s="42">
        <v>0.7</v>
      </c>
      <c r="F921" s="215">
        <f t="shared" si="34"/>
        <v>3.1360000000000001</v>
      </c>
    </row>
    <row r="922" spans="1:6">
      <c r="A922" s="211"/>
      <c r="B922" s="418" t="s">
        <v>14</v>
      </c>
      <c r="C922" s="418"/>
      <c r="D922" s="418"/>
      <c r="E922" s="418"/>
      <c r="F922" s="144">
        <f>F918-F919-F921-F920</f>
        <v>16.783999999999999</v>
      </c>
    </row>
    <row r="923" spans="1:6">
      <c r="A923" s="211"/>
      <c r="B923" s="37" t="s">
        <v>590</v>
      </c>
      <c r="C923" s="111" t="s">
        <v>16</v>
      </c>
      <c r="D923" s="111" t="s">
        <v>19</v>
      </c>
      <c r="E923" s="111" t="s">
        <v>18</v>
      </c>
      <c r="F923" s="145" t="s">
        <v>8</v>
      </c>
    </row>
    <row r="924" spans="1:6">
      <c r="A924" s="211"/>
      <c r="B924" s="37" t="s">
        <v>589</v>
      </c>
      <c r="C924" s="112"/>
      <c r="D924" s="41">
        <f>4.25+4.85+4.25+4.85</f>
        <v>18.2</v>
      </c>
      <c r="E924" s="41">
        <v>1.2</v>
      </c>
      <c r="F924" s="215">
        <f>D924*E924</f>
        <v>21.84</v>
      </c>
    </row>
    <row r="925" spans="1:6">
      <c r="A925" s="211"/>
      <c r="B925" s="37" t="s">
        <v>610</v>
      </c>
      <c r="C925" s="112"/>
      <c r="D925" s="42">
        <v>0.9</v>
      </c>
      <c r="E925" s="42">
        <v>1.2</v>
      </c>
      <c r="F925" s="145">
        <f>E925*D925</f>
        <v>1.08</v>
      </c>
    </row>
    <row r="926" spans="1:6">
      <c r="A926" s="211"/>
      <c r="B926" s="37" t="s">
        <v>583</v>
      </c>
      <c r="C926" s="112"/>
      <c r="D926" s="42">
        <f>2*0.7</f>
        <v>1.4</v>
      </c>
      <c r="E926" s="42">
        <v>1.2</v>
      </c>
      <c r="F926" s="145">
        <f>E926*D926</f>
        <v>1.68</v>
      </c>
    </row>
    <row r="927" spans="1:6">
      <c r="A927" s="211"/>
      <c r="B927" s="15" t="s">
        <v>588</v>
      </c>
      <c r="C927" s="18"/>
      <c r="D927" s="179">
        <f>2*2.24</f>
        <v>4.4800000000000004</v>
      </c>
      <c r="E927" s="42">
        <v>0.7</v>
      </c>
      <c r="F927" s="237">
        <f>D927*E927</f>
        <v>3.1360000000000001</v>
      </c>
    </row>
    <row r="928" spans="1:6">
      <c r="A928" s="211"/>
      <c r="B928" s="418" t="s">
        <v>14</v>
      </c>
      <c r="C928" s="418"/>
      <c r="D928" s="418"/>
      <c r="E928" s="418"/>
      <c r="F928" s="144">
        <f>F924-F925-F926-F927</f>
        <v>15.943999999999999</v>
      </c>
    </row>
    <row r="929" spans="1:6">
      <c r="A929" s="211"/>
      <c r="B929" s="37" t="s">
        <v>587</v>
      </c>
      <c r="C929" s="111" t="s">
        <v>16</v>
      </c>
      <c r="D929" s="111" t="s">
        <v>19</v>
      </c>
      <c r="E929" s="111" t="s">
        <v>18</v>
      </c>
      <c r="F929" s="145" t="s">
        <v>8</v>
      </c>
    </row>
    <row r="930" spans="1:6">
      <c r="A930" s="211"/>
      <c r="B930" s="37" t="s">
        <v>586</v>
      </c>
      <c r="C930" s="112"/>
      <c r="D930" s="41">
        <f>1.8+1.1+1.8+1.1</f>
        <v>5.8000000000000007</v>
      </c>
      <c r="E930" s="41">
        <v>1.2</v>
      </c>
      <c r="F930" s="215">
        <f>D930*E930</f>
        <v>6.9600000000000009</v>
      </c>
    </row>
    <row r="931" spans="1:6">
      <c r="A931" s="211"/>
      <c r="B931" s="37" t="s">
        <v>617</v>
      </c>
      <c r="C931" s="112"/>
      <c r="D931" s="42">
        <v>0.7</v>
      </c>
      <c r="E931" s="42">
        <v>1.2</v>
      </c>
      <c r="F931" s="145">
        <f>E931*D931</f>
        <v>0.84</v>
      </c>
    </row>
    <row r="932" spans="1:6">
      <c r="A932" s="211"/>
      <c r="B932" s="418" t="s">
        <v>14</v>
      </c>
      <c r="C932" s="418"/>
      <c r="D932" s="418"/>
      <c r="E932" s="418"/>
      <c r="F932" s="144">
        <f>F930-F931</f>
        <v>6.120000000000001</v>
      </c>
    </row>
    <row r="933" spans="1:6">
      <c r="A933" s="211"/>
      <c r="B933" s="37" t="s">
        <v>585</v>
      </c>
      <c r="C933" s="111" t="s">
        <v>16</v>
      </c>
      <c r="D933" s="111" t="s">
        <v>19</v>
      </c>
      <c r="E933" s="111" t="s">
        <v>18</v>
      </c>
      <c r="F933" s="145" t="s">
        <v>8</v>
      </c>
    </row>
    <row r="934" spans="1:6">
      <c r="A934" s="211"/>
      <c r="B934" s="15" t="s">
        <v>584</v>
      </c>
      <c r="C934" s="84"/>
      <c r="D934" s="85">
        <f>5.6+4.85+2+5.25+2+2.35+2+12.74+2.15+2.41+5.75+27.4</f>
        <v>74.5</v>
      </c>
      <c r="E934" s="85">
        <v>1.2</v>
      </c>
      <c r="F934" s="238">
        <f>D934*E934</f>
        <v>89.399999999999991</v>
      </c>
    </row>
    <row r="935" spans="1:6">
      <c r="A935" s="211"/>
      <c r="B935" s="37" t="s">
        <v>683</v>
      </c>
      <c r="C935" s="112"/>
      <c r="D935" s="42">
        <f>9*0.9</f>
        <v>8.1</v>
      </c>
      <c r="E935" s="42">
        <v>1.2</v>
      </c>
      <c r="F935" s="145">
        <f>E935*D935</f>
        <v>9.7199999999999989</v>
      </c>
    </row>
    <row r="936" spans="1:6">
      <c r="A936" s="211"/>
      <c r="B936" s="37" t="s">
        <v>583</v>
      </c>
      <c r="C936" s="112"/>
      <c r="D936" s="42">
        <f>2*0.7</f>
        <v>1.4</v>
      </c>
      <c r="E936" s="42">
        <v>1.2</v>
      </c>
      <c r="F936" s="145">
        <f>E936*D936</f>
        <v>1.68</v>
      </c>
    </row>
    <row r="937" spans="1:6">
      <c r="A937" s="211"/>
      <c r="B937" s="37" t="s">
        <v>614</v>
      </c>
      <c r="C937" s="112"/>
      <c r="D937" s="42">
        <v>2.25</v>
      </c>
      <c r="E937" s="42">
        <v>1.2</v>
      </c>
      <c r="F937" s="145">
        <f>E937*D937</f>
        <v>2.6999999999999997</v>
      </c>
    </row>
    <row r="938" spans="1:6">
      <c r="A938" s="211"/>
      <c r="B938" s="37" t="s">
        <v>615</v>
      </c>
      <c r="C938" s="112"/>
      <c r="D938" s="42">
        <v>2.25</v>
      </c>
      <c r="E938" s="42">
        <v>0.2</v>
      </c>
      <c r="F938" s="145">
        <f>E938*D938</f>
        <v>0.45</v>
      </c>
    </row>
    <row r="939" spans="1:6">
      <c r="A939" s="211"/>
      <c r="B939" s="418" t="s">
        <v>14</v>
      </c>
      <c r="C939" s="418"/>
      <c r="D939" s="418"/>
      <c r="E939" s="418"/>
      <c r="F939" s="144">
        <f>F934-F935-F936-F937-F938</f>
        <v>74.84999999999998</v>
      </c>
    </row>
    <row r="940" spans="1:6">
      <c r="A940" s="211"/>
      <c r="B940" s="37" t="s">
        <v>582</v>
      </c>
      <c r="C940" s="111" t="s">
        <v>16</v>
      </c>
      <c r="D940" s="111" t="s">
        <v>19</v>
      </c>
      <c r="E940" s="111" t="s">
        <v>18</v>
      </c>
      <c r="F940" s="145" t="s">
        <v>8</v>
      </c>
    </row>
    <row r="941" spans="1:6">
      <c r="A941" s="211"/>
      <c r="B941" s="37" t="s">
        <v>581</v>
      </c>
      <c r="C941" s="111"/>
      <c r="D941" s="175">
        <f>0.25+0.25+0.25+0.25</f>
        <v>1</v>
      </c>
      <c r="E941" s="175">
        <v>1.2</v>
      </c>
      <c r="F941" s="215">
        <f>D941*E941</f>
        <v>1.2</v>
      </c>
    </row>
    <row r="942" spans="1:6">
      <c r="A942" s="211"/>
      <c r="B942" s="357" t="s">
        <v>14</v>
      </c>
      <c r="C942" s="357"/>
      <c r="D942" s="357"/>
      <c r="E942" s="357"/>
      <c r="F942" s="216">
        <f>F941</f>
        <v>1.2</v>
      </c>
    </row>
    <row r="943" spans="1:6">
      <c r="A943" s="211"/>
      <c r="B943" s="365" t="s">
        <v>618</v>
      </c>
      <c r="C943" s="365"/>
      <c r="D943" s="365"/>
      <c r="E943" s="365"/>
      <c r="F943" s="366"/>
    </row>
    <row r="944" spans="1:6">
      <c r="A944" s="211"/>
      <c r="B944" s="110" t="s">
        <v>436</v>
      </c>
      <c r="C944" s="48" t="s">
        <v>16</v>
      </c>
      <c r="D944" s="45" t="s">
        <v>19</v>
      </c>
      <c r="E944" s="45" t="s">
        <v>18</v>
      </c>
      <c r="F944" s="242" t="s">
        <v>8</v>
      </c>
    </row>
    <row r="945" spans="1:6">
      <c r="A945" s="211"/>
      <c r="B945" s="120" t="s">
        <v>948</v>
      </c>
      <c r="C945" s="16"/>
      <c r="D945" s="46">
        <f>2.35+17.5+2.35+17.5</f>
        <v>39.700000000000003</v>
      </c>
      <c r="E945" s="46">
        <v>1.2</v>
      </c>
      <c r="F945" s="237">
        <f>D945*E945</f>
        <v>47.64</v>
      </c>
    </row>
    <row r="946" spans="1:6">
      <c r="A946" s="211"/>
      <c r="B946" s="120" t="s">
        <v>949</v>
      </c>
      <c r="C946" s="16"/>
      <c r="D946" s="172">
        <f>2*2.25</f>
        <v>4.5</v>
      </c>
      <c r="E946" s="172">
        <v>1.2</v>
      </c>
      <c r="F946" s="237">
        <f>E946*D946</f>
        <v>5.3999999999999995</v>
      </c>
    </row>
    <row r="947" spans="1:6">
      <c r="A947" s="211"/>
      <c r="B947" s="120" t="s">
        <v>950</v>
      </c>
      <c r="C947" s="16"/>
      <c r="D947" s="46">
        <f>4*0.9</f>
        <v>3.6</v>
      </c>
      <c r="E947" s="46">
        <v>1.2</v>
      </c>
      <c r="F947" s="237">
        <f>E947*D947</f>
        <v>4.32</v>
      </c>
    </row>
    <row r="948" spans="1:6">
      <c r="A948" s="211"/>
      <c r="B948" s="120" t="s">
        <v>583</v>
      </c>
      <c r="C948" s="16"/>
      <c r="D948" s="172">
        <f>2*0.7</f>
        <v>1.4</v>
      </c>
      <c r="E948" s="172">
        <v>1.2</v>
      </c>
      <c r="F948" s="237">
        <f>E948*D948</f>
        <v>1.68</v>
      </c>
    </row>
    <row r="949" spans="1:6">
      <c r="A949" s="211"/>
      <c r="B949" s="391" t="s">
        <v>14</v>
      </c>
      <c r="C949" s="357"/>
      <c r="D949" s="357"/>
      <c r="E949" s="357"/>
      <c r="F949" s="213">
        <f>F945-F946-F947-F948</f>
        <v>36.24</v>
      </c>
    </row>
    <row r="950" spans="1:6">
      <c r="A950" s="211"/>
      <c r="B950" s="110" t="s">
        <v>727</v>
      </c>
      <c r="C950" s="48" t="s">
        <v>16</v>
      </c>
      <c r="D950" s="45" t="s">
        <v>19</v>
      </c>
      <c r="E950" s="45" t="s">
        <v>18</v>
      </c>
      <c r="F950" s="242" t="s">
        <v>8</v>
      </c>
    </row>
    <row r="951" spans="1:6">
      <c r="A951" s="211"/>
      <c r="B951" s="120" t="s">
        <v>947</v>
      </c>
      <c r="C951" s="16"/>
      <c r="D951" s="46">
        <f>2.35+6.5+10.35+2.35+6.55+2.55+3.85+2.3+2.7+6.5</f>
        <v>46</v>
      </c>
      <c r="E951" s="46">
        <v>1.2</v>
      </c>
      <c r="F951" s="237">
        <f>D951*E951</f>
        <v>55.199999999999996</v>
      </c>
    </row>
    <row r="952" spans="1:6">
      <c r="A952" s="211"/>
      <c r="B952" s="120" t="s">
        <v>729</v>
      </c>
      <c r="C952" s="16"/>
      <c r="D952" s="172">
        <f>3*2.25</f>
        <v>6.75</v>
      </c>
      <c r="E952" s="172">
        <v>1.2</v>
      </c>
      <c r="F952" s="237">
        <f>E952*D952</f>
        <v>8.1</v>
      </c>
    </row>
    <row r="953" spans="1:6">
      <c r="A953" s="211"/>
      <c r="B953" s="120" t="s">
        <v>730</v>
      </c>
      <c r="C953" s="16"/>
      <c r="D953" s="46">
        <f>2*0.9</f>
        <v>1.8</v>
      </c>
      <c r="E953" s="46">
        <v>1.2</v>
      </c>
      <c r="F953" s="237">
        <f>E953*D953</f>
        <v>2.16</v>
      </c>
    </row>
    <row r="954" spans="1:6">
      <c r="A954" s="211"/>
      <c r="B954" s="391" t="s">
        <v>14</v>
      </c>
      <c r="C954" s="357"/>
      <c r="D954" s="357"/>
      <c r="E954" s="357"/>
      <c r="F954" s="213">
        <f>F951-F952-F953</f>
        <v>44.94</v>
      </c>
    </row>
    <row r="955" spans="1:6">
      <c r="A955" s="211"/>
      <c r="B955" s="15" t="s">
        <v>623</v>
      </c>
      <c r="C955" s="48" t="s">
        <v>16</v>
      </c>
      <c r="D955" s="45" t="s">
        <v>19</v>
      </c>
      <c r="E955" s="45" t="s">
        <v>18</v>
      </c>
      <c r="F955" s="242" t="s">
        <v>8</v>
      </c>
    </row>
    <row r="956" spans="1:6">
      <c r="A956" s="211"/>
      <c r="B956" s="100" t="s">
        <v>624</v>
      </c>
      <c r="C956" s="16"/>
      <c r="D956" s="46">
        <f>8.65+ 7.36+ 8.65+7.36</f>
        <v>32.020000000000003</v>
      </c>
      <c r="E956" s="46">
        <v>1.2</v>
      </c>
      <c r="F956" s="237">
        <f>D956*E956</f>
        <v>38.423999999999999</v>
      </c>
    </row>
    <row r="957" spans="1:6">
      <c r="A957" s="211"/>
      <c r="B957" s="100" t="s">
        <v>588</v>
      </c>
      <c r="C957" s="16"/>
      <c r="D957" s="172">
        <f>2*2.24</f>
        <v>4.4800000000000004</v>
      </c>
      <c r="E957" s="172">
        <v>0.7</v>
      </c>
      <c r="F957" s="237">
        <f>E957*D957</f>
        <v>3.1360000000000001</v>
      </c>
    </row>
    <row r="958" spans="1:6">
      <c r="A958" s="211"/>
      <c r="B958" s="100" t="s">
        <v>625</v>
      </c>
      <c r="C958" s="16"/>
      <c r="D958" s="172">
        <f>1.35</f>
        <v>1.35</v>
      </c>
      <c r="E958" s="172">
        <v>0.7</v>
      </c>
      <c r="F958" s="237">
        <f>E958*D958</f>
        <v>0.94499999999999995</v>
      </c>
    </row>
    <row r="959" spans="1:6">
      <c r="A959" s="211"/>
      <c r="B959" s="100" t="s">
        <v>626</v>
      </c>
      <c r="C959" s="16"/>
      <c r="D959" s="46">
        <v>2.25</v>
      </c>
      <c r="E959" s="46">
        <v>1.2</v>
      </c>
      <c r="F959" s="237">
        <f>E959*D959</f>
        <v>2.6999999999999997</v>
      </c>
    </row>
    <row r="960" spans="1:6">
      <c r="A960" s="211"/>
      <c r="B960" s="118" t="s">
        <v>627</v>
      </c>
      <c r="C960" s="119"/>
      <c r="D960" s="71">
        <v>3</v>
      </c>
      <c r="E960" s="71">
        <v>1.2</v>
      </c>
      <c r="F960" s="236">
        <f>E960*D960</f>
        <v>3.5999999999999996</v>
      </c>
    </row>
    <row r="961" spans="1:6">
      <c r="A961" s="211"/>
      <c r="B961" s="100" t="s">
        <v>608</v>
      </c>
      <c r="C961" s="16"/>
      <c r="D961" s="46">
        <f>0.9</f>
        <v>0.9</v>
      </c>
      <c r="E961" s="46">
        <v>1.2</v>
      </c>
      <c r="F961" s="237">
        <f>E961*D961</f>
        <v>1.08</v>
      </c>
    </row>
    <row r="962" spans="1:6">
      <c r="A962" s="211"/>
      <c r="B962" s="329" t="s">
        <v>14</v>
      </c>
      <c r="C962" s="329"/>
      <c r="D962" s="329"/>
      <c r="E962" s="329"/>
      <c r="F962" s="213">
        <f>F956-F959-F957-F958-F961-F960</f>
        <v>26.962999999999994</v>
      </c>
    </row>
    <row r="963" spans="1:6">
      <c r="A963" s="211"/>
      <c r="B963" s="15" t="s">
        <v>32</v>
      </c>
      <c r="C963" s="48" t="s">
        <v>16</v>
      </c>
      <c r="D963" s="45" t="s">
        <v>19</v>
      </c>
      <c r="E963" s="45" t="s">
        <v>18</v>
      </c>
      <c r="F963" s="242" t="s">
        <v>8</v>
      </c>
    </row>
    <row r="964" spans="1:6">
      <c r="A964" s="211"/>
      <c r="B964" s="100" t="s">
        <v>628</v>
      </c>
      <c r="C964" s="16"/>
      <c r="D964" s="172">
        <f>2.35+4.25+2.35+4.25</f>
        <v>13.2</v>
      </c>
      <c r="E964" s="172">
        <v>1.2</v>
      </c>
      <c r="F964" s="237">
        <f>D964*E964</f>
        <v>15.839999999999998</v>
      </c>
    </row>
    <row r="965" spans="1:6">
      <c r="A965" s="211"/>
      <c r="B965" s="100" t="s">
        <v>611</v>
      </c>
      <c r="C965" s="16"/>
      <c r="D965" s="172">
        <f>2.24</f>
        <v>2.2400000000000002</v>
      </c>
      <c r="E965" s="172">
        <v>0.7</v>
      </c>
      <c r="F965" s="237">
        <f>E965*D965</f>
        <v>1.5680000000000001</v>
      </c>
    </row>
    <row r="966" spans="1:6">
      <c r="A966" s="211"/>
      <c r="B966" s="100" t="s">
        <v>629</v>
      </c>
      <c r="C966" s="16"/>
      <c r="D966" s="46">
        <f>2*0.9</f>
        <v>1.8</v>
      </c>
      <c r="E966" s="46">
        <v>1.2</v>
      </c>
      <c r="F966" s="237">
        <f>E966*D966</f>
        <v>2.16</v>
      </c>
    </row>
    <row r="967" spans="1:6">
      <c r="A967" s="211"/>
      <c r="B967" s="329" t="s">
        <v>14</v>
      </c>
      <c r="C967" s="329"/>
      <c r="D967" s="329"/>
      <c r="E967" s="329"/>
      <c r="F967" s="213">
        <f>F964-F965-F966</f>
        <v>12.111999999999998</v>
      </c>
    </row>
    <row r="968" spans="1:6">
      <c r="A968" s="211"/>
      <c r="B968" s="15" t="s">
        <v>630</v>
      </c>
      <c r="C968" s="48" t="s">
        <v>16</v>
      </c>
      <c r="D968" s="181" t="s">
        <v>19</v>
      </c>
      <c r="E968" s="41" t="s">
        <v>18</v>
      </c>
      <c r="F968" s="242" t="s">
        <v>8</v>
      </c>
    </row>
    <row r="969" spans="1:6">
      <c r="A969" s="211"/>
      <c r="B969" s="15" t="s">
        <v>631</v>
      </c>
      <c r="C969" s="18"/>
      <c r="D969" s="179">
        <f>1.1+1.75+1.1+1.75</f>
        <v>5.7</v>
      </c>
      <c r="E969" s="42">
        <v>1.2</v>
      </c>
      <c r="F969" s="237">
        <f>D969*E969</f>
        <v>6.84</v>
      </c>
    </row>
    <row r="970" spans="1:6">
      <c r="A970" s="211"/>
      <c r="B970" s="15" t="s">
        <v>632</v>
      </c>
      <c r="C970" s="18"/>
      <c r="D970" s="179">
        <v>0.7</v>
      </c>
      <c r="E970" s="42">
        <v>1.2</v>
      </c>
      <c r="F970" s="237">
        <f>D970*E970</f>
        <v>0.84</v>
      </c>
    </row>
    <row r="971" spans="1:6">
      <c r="A971" s="211"/>
      <c r="B971" s="357" t="s">
        <v>14</v>
      </c>
      <c r="C971" s="357"/>
      <c r="D971" s="357"/>
      <c r="E971" s="357"/>
      <c r="F971" s="213">
        <f>F969-F970</f>
        <v>6</v>
      </c>
    </row>
    <row r="972" spans="1:6">
      <c r="A972" s="211"/>
      <c r="B972" s="15" t="s">
        <v>633</v>
      </c>
      <c r="C972" s="48" t="s">
        <v>16</v>
      </c>
      <c r="D972" s="181" t="s">
        <v>19</v>
      </c>
      <c r="E972" s="41" t="s">
        <v>18</v>
      </c>
      <c r="F972" s="242" t="s">
        <v>8</v>
      </c>
    </row>
    <row r="973" spans="1:6">
      <c r="A973" s="211"/>
      <c r="B973" s="15" t="s">
        <v>634</v>
      </c>
      <c r="C973" s="18"/>
      <c r="D973" s="179">
        <f>1.1+1.75+1.1+1.75</f>
        <v>5.7</v>
      </c>
      <c r="E973" s="42">
        <v>1.2</v>
      </c>
      <c r="F973" s="237">
        <f>D973*E973</f>
        <v>6.84</v>
      </c>
    </row>
    <row r="974" spans="1:6">
      <c r="A974" s="211"/>
      <c r="B974" s="15" t="s">
        <v>632</v>
      </c>
      <c r="C974" s="18"/>
      <c r="D974" s="179">
        <v>0.7</v>
      </c>
      <c r="E974" s="42">
        <v>1.2</v>
      </c>
      <c r="F974" s="237">
        <f>D974*E974</f>
        <v>0.84</v>
      </c>
    </row>
    <row r="975" spans="1:6">
      <c r="A975" s="211"/>
      <c r="B975" s="357" t="s">
        <v>14</v>
      </c>
      <c r="C975" s="357"/>
      <c r="D975" s="357"/>
      <c r="E975" s="357"/>
      <c r="F975" s="213">
        <f>F973-F974</f>
        <v>6</v>
      </c>
    </row>
    <row r="976" spans="1:6">
      <c r="A976" s="211"/>
      <c r="B976" s="15" t="s">
        <v>67</v>
      </c>
      <c r="C976" s="48" t="s">
        <v>16</v>
      </c>
      <c r="D976" s="45" t="s">
        <v>19</v>
      </c>
      <c r="E976" s="45" t="s">
        <v>18</v>
      </c>
      <c r="F976" s="242" t="s">
        <v>8</v>
      </c>
    </row>
    <row r="977" spans="1:6">
      <c r="A977" s="211"/>
      <c r="B977" s="100" t="s">
        <v>45</v>
      </c>
      <c r="C977" s="16"/>
      <c r="D977" s="46">
        <f>6.15+4.85+6.15+4.85</f>
        <v>22</v>
      </c>
      <c r="E977" s="46">
        <v>1.2</v>
      </c>
      <c r="F977" s="237">
        <f>D977*E977</f>
        <v>26.4</v>
      </c>
    </row>
    <row r="978" spans="1:6">
      <c r="A978" s="211"/>
      <c r="B978" s="100" t="s">
        <v>609</v>
      </c>
      <c r="C978" s="16"/>
      <c r="D978" s="172">
        <f>2.24</f>
        <v>2.2400000000000002</v>
      </c>
      <c r="E978" s="172">
        <v>0.7</v>
      </c>
      <c r="F978" s="237">
        <f>E978*D978</f>
        <v>1.5680000000000001</v>
      </c>
    </row>
    <row r="979" spans="1:6">
      <c r="A979" s="211"/>
      <c r="B979" s="100" t="s">
        <v>625</v>
      </c>
      <c r="C979" s="16"/>
      <c r="D979" s="172">
        <f>1.35</f>
        <v>1.35</v>
      </c>
      <c r="E979" s="172">
        <v>0.7</v>
      </c>
      <c r="F979" s="237">
        <f>E979*D979</f>
        <v>0.94499999999999995</v>
      </c>
    </row>
    <row r="980" spans="1:6">
      <c r="A980" s="211"/>
      <c r="B980" s="100" t="s">
        <v>635</v>
      </c>
      <c r="C980" s="16"/>
      <c r="D980" s="172">
        <f>3*0.9</f>
        <v>2.7</v>
      </c>
      <c r="E980" s="172">
        <v>1.2</v>
      </c>
      <c r="F980" s="237">
        <f>E980*D980</f>
        <v>3.24</v>
      </c>
    </row>
    <row r="981" spans="1:6">
      <c r="A981" s="211"/>
      <c r="B981" s="357" t="s">
        <v>14</v>
      </c>
      <c r="C981" s="357"/>
      <c r="D981" s="357"/>
      <c r="E981" s="357"/>
      <c r="F981" s="213">
        <f>F977-F978-F980-F979</f>
        <v>20.646999999999998</v>
      </c>
    </row>
    <row r="982" spans="1:6">
      <c r="A982" s="211"/>
      <c r="B982" s="15" t="s">
        <v>31</v>
      </c>
      <c r="C982" s="48" t="s">
        <v>16</v>
      </c>
      <c r="D982" s="45" t="s">
        <v>19</v>
      </c>
      <c r="E982" s="45" t="s">
        <v>18</v>
      </c>
      <c r="F982" s="242" t="s">
        <v>8</v>
      </c>
    </row>
    <row r="983" spans="1:6">
      <c r="A983" s="211"/>
      <c r="B983" s="100" t="s">
        <v>636</v>
      </c>
      <c r="C983" s="16"/>
      <c r="D983" s="172">
        <f>6.15+2.35+6.15+2.35</f>
        <v>17</v>
      </c>
      <c r="E983" s="172">
        <v>1.2</v>
      </c>
      <c r="F983" s="237">
        <f>D983*E983</f>
        <v>20.399999999999999</v>
      </c>
    </row>
    <row r="984" spans="1:6">
      <c r="A984" s="211"/>
      <c r="B984" s="100" t="s">
        <v>611</v>
      </c>
      <c r="C984" s="16"/>
      <c r="D984" s="172">
        <f>2.24</f>
        <v>2.2400000000000002</v>
      </c>
      <c r="E984" s="172">
        <v>0.7</v>
      </c>
      <c r="F984" s="237">
        <f>E984*D984</f>
        <v>1.5680000000000001</v>
      </c>
    </row>
    <row r="985" spans="1:6">
      <c r="A985" s="211"/>
      <c r="B985" s="100" t="s">
        <v>608</v>
      </c>
      <c r="C985" s="16"/>
      <c r="D985" s="46">
        <f>0.9</f>
        <v>0.9</v>
      </c>
      <c r="E985" s="46">
        <v>1.2</v>
      </c>
      <c r="F985" s="237">
        <f>E985*D985</f>
        <v>1.08</v>
      </c>
    </row>
    <row r="986" spans="1:6">
      <c r="A986" s="211"/>
      <c r="B986" s="329" t="s">
        <v>14</v>
      </c>
      <c r="C986" s="329"/>
      <c r="D986" s="329"/>
      <c r="E986" s="329"/>
      <c r="F986" s="213">
        <f>F983-F984-F985</f>
        <v>17.751999999999995</v>
      </c>
    </row>
    <row r="987" spans="1:6">
      <c r="A987" s="211"/>
      <c r="B987" s="15" t="s">
        <v>71</v>
      </c>
      <c r="C987" s="48" t="s">
        <v>16</v>
      </c>
      <c r="D987" s="45" t="s">
        <v>19</v>
      </c>
      <c r="E987" s="45" t="s">
        <v>18</v>
      </c>
      <c r="F987" s="242" t="s">
        <v>8</v>
      </c>
    </row>
    <row r="988" spans="1:6">
      <c r="A988" s="211"/>
      <c r="B988" s="100" t="s">
        <v>45</v>
      </c>
      <c r="C988" s="16"/>
      <c r="D988" s="46">
        <f>6.15+4.85+6.15+4.85</f>
        <v>22</v>
      </c>
      <c r="E988" s="46">
        <v>1.2</v>
      </c>
      <c r="F988" s="237">
        <f>D988*E988</f>
        <v>26.4</v>
      </c>
    </row>
    <row r="989" spans="1:6">
      <c r="A989" s="211"/>
      <c r="B989" s="100" t="s">
        <v>588</v>
      </c>
      <c r="C989" s="16"/>
      <c r="D989" s="172">
        <f>2*2.24</f>
        <v>4.4800000000000004</v>
      </c>
      <c r="E989" s="172">
        <v>0.7</v>
      </c>
      <c r="F989" s="237">
        <f>E989*D989</f>
        <v>3.1360000000000001</v>
      </c>
    </row>
    <row r="990" spans="1:6">
      <c r="A990" s="211"/>
      <c r="B990" s="100" t="s">
        <v>608</v>
      </c>
      <c r="C990" s="16"/>
      <c r="D990" s="172">
        <v>0.9</v>
      </c>
      <c r="E990" s="172">
        <v>1.2</v>
      </c>
      <c r="F990" s="237">
        <f>E990*D990</f>
        <v>1.08</v>
      </c>
    </row>
    <row r="991" spans="1:6">
      <c r="A991" s="211"/>
      <c r="B991" s="357" t="s">
        <v>14</v>
      </c>
      <c r="C991" s="357"/>
      <c r="D991" s="357"/>
      <c r="E991" s="357"/>
      <c r="F991" s="213">
        <f>F988-F989-F990</f>
        <v>22.183999999999997</v>
      </c>
    </row>
    <row r="992" spans="1:6">
      <c r="A992" s="211"/>
      <c r="B992" s="15" t="s">
        <v>72</v>
      </c>
      <c r="C992" s="48" t="s">
        <v>16</v>
      </c>
      <c r="D992" s="45" t="s">
        <v>19</v>
      </c>
      <c r="E992" s="45" t="s">
        <v>18</v>
      </c>
      <c r="F992" s="242" t="s">
        <v>8</v>
      </c>
    </row>
    <row r="993" spans="1:6">
      <c r="A993" s="211"/>
      <c r="B993" s="100" t="s">
        <v>45</v>
      </c>
      <c r="C993" s="16"/>
      <c r="D993" s="46">
        <f>6.15+4.85+6.15+4.85</f>
        <v>22</v>
      </c>
      <c r="E993" s="46">
        <v>1.2</v>
      </c>
      <c r="F993" s="237">
        <f>D993*E993</f>
        <v>26.4</v>
      </c>
    </row>
    <row r="994" spans="1:6">
      <c r="A994" s="211"/>
      <c r="B994" s="100" t="s">
        <v>588</v>
      </c>
      <c r="C994" s="16"/>
      <c r="D994" s="172">
        <f>2*2.24</f>
        <v>4.4800000000000004</v>
      </c>
      <c r="E994" s="172">
        <v>0.7</v>
      </c>
      <c r="F994" s="237">
        <f>E994*D994</f>
        <v>3.1360000000000001</v>
      </c>
    </row>
    <row r="995" spans="1:6">
      <c r="A995" s="211"/>
      <c r="B995" s="100" t="s">
        <v>637</v>
      </c>
      <c r="C995" s="16"/>
      <c r="D995" s="172">
        <v>0.9</v>
      </c>
      <c r="E995" s="172">
        <v>1.2</v>
      </c>
      <c r="F995" s="237">
        <f>E995*D995</f>
        <v>1.08</v>
      </c>
    </row>
    <row r="996" spans="1:6">
      <c r="A996" s="211"/>
      <c r="B996" s="357" t="s">
        <v>14</v>
      </c>
      <c r="C996" s="357"/>
      <c r="D996" s="357"/>
      <c r="E996" s="357"/>
      <c r="F996" s="213">
        <f>F993-F994-F995</f>
        <v>22.183999999999997</v>
      </c>
    </row>
    <row r="997" spans="1:6">
      <c r="A997" s="211"/>
      <c r="B997" s="15" t="s">
        <v>73</v>
      </c>
      <c r="C997" s="48" t="s">
        <v>16</v>
      </c>
      <c r="D997" s="45" t="s">
        <v>19</v>
      </c>
      <c r="E997" s="45" t="s">
        <v>18</v>
      </c>
      <c r="F997" s="242" t="s">
        <v>8</v>
      </c>
    </row>
    <row r="998" spans="1:6">
      <c r="A998" s="211"/>
      <c r="B998" s="100" t="s">
        <v>45</v>
      </c>
      <c r="C998" s="16"/>
      <c r="D998" s="46">
        <f>6.15+4.85+6.15+4.85</f>
        <v>22</v>
      </c>
      <c r="E998" s="46">
        <v>1.2</v>
      </c>
      <c r="F998" s="237">
        <f>D998*E998</f>
        <v>26.4</v>
      </c>
    </row>
    <row r="999" spans="1:6">
      <c r="A999" s="211"/>
      <c r="B999" s="100" t="s">
        <v>588</v>
      </c>
      <c r="C999" s="16"/>
      <c r="D999" s="172">
        <f>2*2.24</f>
        <v>4.4800000000000004</v>
      </c>
      <c r="E999" s="172">
        <v>0.7</v>
      </c>
      <c r="F999" s="237">
        <f>E999*D999</f>
        <v>3.1360000000000001</v>
      </c>
    </row>
    <row r="1000" spans="1:6">
      <c r="A1000" s="211"/>
      <c r="B1000" s="100" t="s">
        <v>608</v>
      </c>
      <c r="C1000" s="16"/>
      <c r="D1000" s="172">
        <f>0.9</f>
        <v>0.9</v>
      </c>
      <c r="E1000" s="172">
        <v>1.2</v>
      </c>
      <c r="F1000" s="237">
        <f>E1000*D1000</f>
        <v>1.08</v>
      </c>
    </row>
    <row r="1001" spans="1:6">
      <c r="A1001" s="211"/>
      <c r="B1001" s="357" t="s">
        <v>14</v>
      </c>
      <c r="C1001" s="357"/>
      <c r="D1001" s="357"/>
      <c r="E1001" s="357"/>
      <c r="F1001" s="213">
        <f>F998-F999-F1000</f>
        <v>22.183999999999997</v>
      </c>
    </row>
    <row r="1002" spans="1:6">
      <c r="A1002" s="211"/>
      <c r="B1002" s="15" t="s">
        <v>638</v>
      </c>
      <c r="C1002" s="48" t="s">
        <v>16</v>
      </c>
      <c r="D1002" s="45" t="s">
        <v>19</v>
      </c>
      <c r="E1002" s="45" t="s">
        <v>18</v>
      </c>
      <c r="F1002" s="242" t="s">
        <v>8</v>
      </c>
    </row>
    <row r="1003" spans="1:6">
      <c r="A1003" s="211"/>
      <c r="B1003" s="100" t="s">
        <v>45</v>
      </c>
      <c r="C1003" s="16"/>
      <c r="D1003" s="46">
        <f>6.15+4.85+6.15+4.85</f>
        <v>22</v>
      </c>
      <c r="E1003" s="46">
        <v>1.2</v>
      </c>
      <c r="F1003" s="237">
        <f>D1003*E1003</f>
        <v>26.4</v>
      </c>
    </row>
    <row r="1004" spans="1:6">
      <c r="A1004" s="211"/>
      <c r="B1004" s="100" t="s">
        <v>588</v>
      </c>
      <c r="C1004" s="16"/>
      <c r="D1004" s="172">
        <f>2*2.24</f>
        <v>4.4800000000000004</v>
      </c>
      <c r="E1004" s="172">
        <v>0.7</v>
      </c>
      <c r="F1004" s="237">
        <f>E1004*D1004</f>
        <v>3.1360000000000001</v>
      </c>
    </row>
    <row r="1005" spans="1:6">
      <c r="A1005" s="211"/>
      <c r="B1005" s="100" t="s">
        <v>608</v>
      </c>
      <c r="C1005" s="16"/>
      <c r="D1005" s="172">
        <f>0.9</f>
        <v>0.9</v>
      </c>
      <c r="E1005" s="172">
        <v>1.2</v>
      </c>
      <c r="F1005" s="237">
        <f>E1005*D1005</f>
        <v>1.08</v>
      </c>
    </row>
    <row r="1006" spans="1:6">
      <c r="A1006" s="211"/>
      <c r="B1006" s="357" t="s">
        <v>14</v>
      </c>
      <c r="C1006" s="357"/>
      <c r="D1006" s="357"/>
      <c r="E1006" s="357"/>
      <c r="F1006" s="213">
        <f>F1003-F1004-F1005</f>
        <v>22.183999999999997</v>
      </c>
    </row>
    <row r="1007" spans="1:6">
      <c r="A1007" s="211"/>
      <c r="B1007" s="100" t="s">
        <v>639</v>
      </c>
      <c r="C1007" s="48" t="s">
        <v>16</v>
      </c>
      <c r="D1007" s="45" t="s">
        <v>19</v>
      </c>
      <c r="E1007" s="45" t="s">
        <v>18</v>
      </c>
      <c r="F1007" s="242" t="s">
        <v>8</v>
      </c>
    </row>
    <row r="1008" spans="1:6">
      <c r="A1008" s="211"/>
      <c r="B1008" s="100" t="s">
        <v>640</v>
      </c>
      <c r="C1008" s="16"/>
      <c r="D1008" s="46">
        <f>6.35+12.35+6.35+3.85+9.85+3.8+2.7+2.3</f>
        <v>47.55</v>
      </c>
      <c r="E1008" s="46">
        <v>1.2</v>
      </c>
      <c r="F1008" s="237">
        <f>D1008*E1008</f>
        <v>57.059999999999995</v>
      </c>
    </row>
    <row r="1009" spans="1:6">
      <c r="A1009" s="211"/>
      <c r="B1009" s="100" t="s">
        <v>641</v>
      </c>
      <c r="C1009" s="16"/>
      <c r="D1009" s="172">
        <f>5*2.24</f>
        <v>11.200000000000001</v>
      </c>
      <c r="E1009" s="172">
        <v>1.2</v>
      </c>
      <c r="F1009" s="237">
        <f>E1009*D1009</f>
        <v>13.440000000000001</v>
      </c>
    </row>
    <row r="1010" spans="1:6">
      <c r="A1010" s="211"/>
      <c r="B1010" s="100" t="s">
        <v>629</v>
      </c>
      <c r="C1010" s="16"/>
      <c r="D1010" s="172">
        <f>2*0.9</f>
        <v>1.8</v>
      </c>
      <c r="E1010" s="172">
        <v>1.2</v>
      </c>
      <c r="F1010" s="237">
        <f>E1010*D1010</f>
        <v>2.16</v>
      </c>
    </row>
    <row r="1011" spans="1:6">
      <c r="A1011" s="211"/>
      <c r="B1011" s="100" t="s">
        <v>626</v>
      </c>
      <c r="C1011" s="16"/>
      <c r="D1011" s="172">
        <v>2.25</v>
      </c>
      <c r="E1011" s="172">
        <v>1.2</v>
      </c>
      <c r="F1011" s="237">
        <f>E1011*D1011</f>
        <v>2.6999999999999997</v>
      </c>
    </row>
    <row r="1012" spans="1:6">
      <c r="A1012" s="211"/>
      <c r="B1012" s="357" t="s">
        <v>14</v>
      </c>
      <c r="C1012" s="357"/>
      <c r="D1012" s="357"/>
      <c r="E1012" s="357"/>
      <c r="F1012" s="213">
        <f>F1008-F1009-F1010</f>
        <v>41.459999999999994</v>
      </c>
    </row>
    <row r="1013" spans="1:6">
      <c r="A1013" s="211"/>
      <c r="B1013" s="100" t="s">
        <v>642</v>
      </c>
      <c r="C1013" s="48" t="s">
        <v>16</v>
      </c>
      <c r="D1013" s="45" t="s">
        <v>19</v>
      </c>
      <c r="E1013" s="45" t="s">
        <v>18</v>
      </c>
      <c r="F1013" s="242" t="s">
        <v>8</v>
      </c>
    </row>
    <row r="1014" spans="1:6">
      <c r="A1014" s="211"/>
      <c r="B1014" s="100" t="s">
        <v>643</v>
      </c>
      <c r="C1014" s="48"/>
      <c r="D1014" s="172">
        <v>8.75</v>
      </c>
      <c r="E1014" s="45">
        <f>0.6+0.1</f>
        <v>0.7</v>
      </c>
      <c r="F1014" s="237">
        <f>E1014*D1014</f>
        <v>6.125</v>
      </c>
    </row>
    <row r="1015" spans="1:6">
      <c r="A1015" s="211"/>
      <c r="B1015" s="357" t="s">
        <v>14</v>
      </c>
      <c r="C1015" s="357"/>
      <c r="D1015" s="357"/>
      <c r="E1015" s="357"/>
      <c r="F1015" s="213">
        <f>F1014</f>
        <v>6.125</v>
      </c>
    </row>
    <row r="1016" spans="1:6">
      <c r="A1016" s="211"/>
      <c r="B1016" s="100" t="s">
        <v>644</v>
      </c>
      <c r="C1016" s="48" t="s">
        <v>16</v>
      </c>
      <c r="D1016" s="45" t="s">
        <v>19</v>
      </c>
      <c r="E1016" s="45" t="s">
        <v>18</v>
      </c>
      <c r="F1016" s="242" t="s">
        <v>8</v>
      </c>
    </row>
    <row r="1017" spans="1:6">
      <c r="A1017" s="211"/>
      <c r="B1017" s="100" t="s">
        <v>645</v>
      </c>
      <c r="C1017" s="16"/>
      <c r="D1017" s="46">
        <f>3.65+2.35+3.65+2.35</f>
        <v>12</v>
      </c>
      <c r="E1017" s="46">
        <v>1.2</v>
      </c>
      <c r="F1017" s="237">
        <f>D1017*E1017</f>
        <v>14.399999999999999</v>
      </c>
    </row>
    <row r="1018" spans="1:6">
      <c r="A1018" s="211"/>
      <c r="B1018" s="100" t="s">
        <v>608</v>
      </c>
      <c r="C1018" s="16"/>
      <c r="D1018" s="172">
        <f>0.9</f>
        <v>0.9</v>
      </c>
      <c r="E1018" s="172">
        <v>1.2</v>
      </c>
      <c r="F1018" s="237">
        <f>E1018*D1018</f>
        <v>1.08</v>
      </c>
    </row>
    <row r="1019" spans="1:6">
      <c r="A1019" s="211"/>
      <c r="B1019" s="357" t="s">
        <v>14</v>
      </c>
      <c r="C1019" s="357"/>
      <c r="D1019" s="357"/>
      <c r="E1019" s="357"/>
      <c r="F1019" s="213">
        <f>F1017-F1018</f>
        <v>13.319999999999999</v>
      </c>
    </row>
    <row r="1020" spans="1:6">
      <c r="A1020" s="211"/>
      <c r="B1020" s="100" t="s">
        <v>646</v>
      </c>
      <c r="C1020" s="48" t="s">
        <v>16</v>
      </c>
      <c r="D1020" s="45" t="s">
        <v>19</v>
      </c>
      <c r="E1020" s="45" t="s">
        <v>18</v>
      </c>
      <c r="F1020" s="242" t="s">
        <v>8</v>
      </c>
    </row>
    <row r="1021" spans="1:6">
      <c r="A1021" s="211"/>
      <c r="B1021" s="100" t="s">
        <v>645</v>
      </c>
      <c r="C1021" s="16"/>
      <c r="D1021" s="46">
        <v>12</v>
      </c>
      <c r="E1021" s="46">
        <v>1.2</v>
      </c>
      <c r="F1021" s="237">
        <f>D1021*E1021</f>
        <v>14.399999999999999</v>
      </c>
    </row>
    <row r="1022" spans="1:6">
      <c r="A1022" s="211"/>
      <c r="B1022" s="100" t="s">
        <v>608</v>
      </c>
      <c r="C1022" s="16"/>
      <c r="D1022" s="172">
        <f>0.9</f>
        <v>0.9</v>
      </c>
      <c r="E1022" s="172">
        <v>1.2</v>
      </c>
      <c r="F1022" s="237">
        <f>E1022*D1022</f>
        <v>1.08</v>
      </c>
    </row>
    <row r="1023" spans="1:6">
      <c r="A1023" s="211"/>
      <c r="B1023" s="357" t="s">
        <v>14</v>
      </c>
      <c r="C1023" s="357"/>
      <c r="D1023" s="357"/>
      <c r="E1023" s="357"/>
      <c r="F1023" s="213">
        <f>F1021-F1022</f>
        <v>13.319999999999999</v>
      </c>
    </row>
    <row r="1024" spans="1:6">
      <c r="A1024" s="211"/>
      <c r="B1024" s="15" t="s">
        <v>647</v>
      </c>
      <c r="C1024" s="48" t="s">
        <v>16</v>
      </c>
      <c r="D1024" s="45" t="s">
        <v>19</v>
      </c>
      <c r="E1024" s="45" t="s">
        <v>18</v>
      </c>
      <c r="F1024" s="242" t="s">
        <v>8</v>
      </c>
    </row>
    <row r="1025" spans="1:6">
      <c r="A1025" s="211"/>
      <c r="B1025" s="100" t="s">
        <v>648</v>
      </c>
      <c r="C1025" s="16"/>
      <c r="D1025" s="46">
        <f>8.85+2.35+6.5+2.35</f>
        <v>20.05</v>
      </c>
      <c r="E1025" s="46">
        <v>1.2</v>
      </c>
      <c r="F1025" s="237">
        <f>D1025*E1025</f>
        <v>24.06</v>
      </c>
    </row>
    <row r="1026" spans="1:6">
      <c r="A1026" s="211"/>
      <c r="B1026" s="100" t="s">
        <v>626</v>
      </c>
      <c r="C1026" s="16"/>
      <c r="D1026" s="172">
        <v>2.25</v>
      </c>
      <c r="E1026" s="172">
        <v>1.2</v>
      </c>
      <c r="F1026" s="237">
        <f>E1026*D1026</f>
        <v>2.6999999999999997</v>
      </c>
    </row>
    <row r="1027" spans="1:6">
      <c r="A1027" s="211"/>
      <c r="B1027" s="357" t="s">
        <v>14</v>
      </c>
      <c r="C1027" s="357"/>
      <c r="D1027" s="357"/>
      <c r="E1027" s="357"/>
      <c r="F1027" s="213">
        <f>F1025-F1026</f>
        <v>21.36</v>
      </c>
    </row>
    <row r="1028" spans="1:6">
      <c r="A1028" s="211"/>
      <c r="B1028" s="15" t="s">
        <v>649</v>
      </c>
      <c r="C1028" s="48" t="s">
        <v>16</v>
      </c>
      <c r="D1028" s="45" t="s">
        <v>19</v>
      </c>
      <c r="E1028" s="45" t="s">
        <v>18</v>
      </c>
      <c r="F1028" s="242" t="s">
        <v>8</v>
      </c>
    </row>
    <row r="1029" spans="1:6">
      <c r="A1029" s="211"/>
      <c r="B1029" s="100" t="s">
        <v>650</v>
      </c>
      <c r="C1029" s="16"/>
      <c r="D1029" s="46">
        <f>6.2+24.85+6.2+24.85</f>
        <v>62.1</v>
      </c>
      <c r="E1029" s="46">
        <v>1.2</v>
      </c>
      <c r="F1029" s="237">
        <f>D1029*E1029</f>
        <v>74.52</v>
      </c>
    </row>
    <row r="1030" spans="1:6">
      <c r="A1030" s="211"/>
      <c r="B1030" s="100" t="s">
        <v>651</v>
      </c>
      <c r="C1030" s="16"/>
      <c r="D1030" s="172">
        <f>9*2.24</f>
        <v>20.160000000000004</v>
      </c>
      <c r="E1030" s="172">
        <v>0.7</v>
      </c>
      <c r="F1030" s="237">
        <f t="shared" ref="F1030:F1035" si="35">E1030*D1030</f>
        <v>14.112000000000002</v>
      </c>
    </row>
    <row r="1031" spans="1:6">
      <c r="A1031" s="211"/>
      <c r="B1031" s="100" t="s">
        <v>652</v>
      </c>
      <c r="C1031" s="16"/>
      <c r="D1031" s="172">
        <v>1.25</v>
      </c>
      <c r="E1031" s="172">
        <v>0.7</v>
      </c>
      <c r="F1031" s="237">
        <f t="shared" si="35"/>
        <v>0.875</v>
      </c>
    </row>
    <row r="1032" spans="1:6">
      <c r="A1032" s="211"/>
      <c r="B1032" s="100" t="s">
        <v>626</v>
      </c>
      <c r="C1032" s="16"/>
      <c r="D1032" s="172">
        <v>2.25</v>
      </c>
      <c r="E1032" s="172">
        <v>1.2</v>
      </c>
      <c r="F1032" s="237">
        <f t="shared" si="35"/>
        <v>2.6999999999999997</v>
      </c>
    </row>
    <row r="1033" spans="1:6">
      <c r="A1033" s="211"/>
      <c r="B1033" s="100" t="s">
        <v>629</v>
      </c>
      <c r="C1033" s="16"/>
      <c r="D1033" s="172">
        <f>2*0.9</f>
        <v>1.8</v>
      </c>
      <c r="E1033" s="172">
        <v>1.2</v>
      </c>
      <c r="F1033" s="237">
        <f t="shared" si="35"/>
        <v>2.16</v>
      </c>
    </row>
    <row r="1034" spans="1:6">
      <c r="A1034" s="211"/>
      <c r="B1034" s="100" t="s">
        <v>583</v>
      </c>
      <c r="C1034" s="16"/>
      <c r="D1034" s="172">
        <f>2*0.7</f>
        <v>1.4</v>
      </c>
      <c r="E1034" s="172">
        <v>1.2</v>
      </c>
      <c r="F1034" s="237">
        <f t="shared" si="35"/>
        <v>1.68</v>
      </c>
    </row>
    <row r="1035" spans="1:6">
      <c r="A1035" s="211"/>
      <c r="B1035" s="100" t="s">
        <v>653</v>
      </c>
      <c r="C1035" s="16"/>
      <c r="D1035" s="172">
        <v>1</v>
      </c>
      <c r="E1035" s="172">
        <v>1.2</v>
      </c>
      <c r="F1035" s="237">
        <f t="shared" si="35"/>
        <v>1.2</v>
      </c>
    </row>
    <row r="1036" spans="1:6">
      <c r="A1036" s="211"/>
      <c r="B1036" s="357" t="s">
        <v>14</v>
      </c>
      <c r="C1036" s="357"/>
      <c r="D1036" s="357"/>
      <c r="E1036" s="357"/>
      <c r="F1036" s="213">
        <f>F1029-F1030-F1032-F1033-F1034-F1031-F1035</f>
        <v>51.792999999999985</v>
      </c>
    </row>
    <row r="1037" spans="1:6">
      <c r="A1037" s="211"/>
      <c r="B1037" s="15" t="s">
        <v>654</v>
      </c>
      <c r="C1037" s="48" t="s">
        <v>16</v>
      </c>
      <c r="D1037" s="181" t="s">
        <v>19</v>
      </c>
      <c r="E1037" s="41" t="s">
        <v>18</v>
      </c>
      <c r="F1037" s="242" t="s">
        <v>8</v>
      </c>
    </row>
    <row r="1038" spans="1:6">
      <c r="A1038" s="211"/>
      <c r="B1038" s="15" t="s">
        <v>634</v>
      </c>
      <c r="C1038" s="18"/>
      <c r="D1038" s="179">
        <f>1.1+1.75+1.1+1.75</f>
        <v>5.7</v>
      </c>
      <c r="E1038" s="42">
        <v>1.2</v>
      </c>
      <c r="F1038" s="237">
        <f>D1038*E1038</f>
        <v>6.84</v>
      </c>
    </row>
    <row r="1039" spans="1:6">
      <c r="A1039" s="211"/>
      <c r="B1039" s="15" t="s">
        <v>632</v>
      </c>
      <c r="C1039" s="18"/>
      <c r="D1039" s="179">
        <v>0.7</v>
      </c>
      <c r="E1039" s="42">
        <v>1.2</v>
      </c>
      <c r="F1039" s="237">
        <f>D1039*E1039</f>
        <v>0.84</v>
      </c>
    </row>
    <row r="1040" spans="1:6">
      <c r="A1040" s="211"/>
      <c r="B1040" s="357" t="s">
        <v>14</v>
      </c>
      <c r="C1040" s="357"/>
      <c r="D1040" s="357"/>
      <c r="E1040" s="357"/>
      <c r="F1040" s="213">
        <f>F1038-F1039</f>
        <v>6</v>
      </c>
    </row>
    <row r="1041" spans="1:6">
      <c r="A1041" s="211"/>
      <c r="B1041" s="15" t="s">
        <v>655</v>
      </c>
      <c r="C1041" s="48" t="s">
        <v>16</v>
      </c>
      <c r="D1041" s="181" t="s">
        <v>19</v>
      </c>
      <c r="E1041" s="41" t="s">
        <v>18</v>
      </c>
      <c r="F1041" s="242" t="s">
        <v>8</v>
      </c>
    </row>
    <row r="1042" spans="1:6">
      <c r="A1042" s="211"/>
      <c r="B1042" s="15" t="s">
        <v>634</v>
      </c>
      <c r="C1042" s="18"/>
      <c r="D1042" s="179">
        <f>1.1+1.75+1.1+1.75</f>
        <v>5.7</v>
      </c>
      <c r="E1042" s="42">
        <v>1.2</v>
      </c>
      <c r="F1042" s="237">
        <f>D1042*E1042</f>
        <v>6.84</v>
      </c>
    </row>
    <row r="1043" spans="1:6">
      <c r="A1043" s="211"/>
      <c r="B1043" s="15" t="s">
        <v>632</v>
      </c>
      <c r="C1043" s="18"/>
      <c r="D1043" s="179">
        <v>0.7</v>
      </c>
      <c r="E1043" s="42">
        <v>1.2</v>
      </c>
      <c r="F1043" s="237">
        <f>D1043*E1043</f>
        <v>0.84</v>
      </c>
    </row>
    <row r="1044" spans="1:6">
      <c r="A1044" s="211"/>
      <c r="B1044" s="357" t="s">
        <v>14</v>
      </c>
      <c r="C1044" s="357"/>
      <c r="D1044" s="357"/>
      <c r="E1044" s="357"/>
      <c r="F1044" s="213">
        <f>F1042-F1043</f>
        <v>6</v>
      </c>
    </row>
    <row r="1045" spans="1:6">
      <c r="A1045" s="211"/>
      <c r="B1045" s="15" t="s">
        <v>74</v>
      </c>
      <c r="C1045" s="48" t="s">
        <v>16</v>
      </c>
      <c r="D1045" s="45" t="s">
        <v>19</v>
      </c>
      <c r="E1045" s="45" t="s">
        <v>18</v>
      </c>
      <c r="F1045" s="242" t="s">
        <v>8</v>
      </c>
    </row>
    <row r="1046" spans="1:6">
      <c r="A1046" s="211"/>
      <c r="B1046" s="100" t="s">
        <v>656</v>
      </c>
      <c r="C1046" s="16"/>
      <c r="D1046" s="46">
        <f>3.65+7.35+3.65+7.35</f>
        <v>22</v>
      </c>
      <c r="E1046" s="46">
        <v>1.2</v>
      </c>
      <c r="F1046" s="237">
        <f>D1046*E1046</f>
        <v>26.4</v>
      </c>
    </row>
    <row r="1047" spans="1:6">
      <c r="A1047" s="211"/>
      <c r="B1047" s="100" t="s">
        <v>611</v>
      </c>
      <c r="C1047" s="16"/>
      <c r="D1047" s="172">
        <f>2.24</f>
        <v>2.2400000000000002</v>
      </c>
      <c r="E1047" s="172">
        <v>0.7</v>
      </c>
      <c r="F1047" s="237">
        <f>E1047*D1047</f>
        <v>1.5680000000000001</v>
      </c>
    </row>
    <row r="1048" spans="1:6">
      <c r="A1048" s="211"/>
      <c r="B1048" s="100" t="s">
        <v>629</v>
      </c>
      <c r="C1048" s="16"/>
      <c r="D1048" s="172">
        <f>0.9*2</f>
        <v>1.8</v>
      </c>
      <c r="E1048" s="172">
        <v>1.2</v>
      </c>
      <c r="F1048" s="237">
        <f>E1048*D1048</f>
        <v>2.16</v>
      </c>
    </row>
    <row r="1049" spans="1:6">
      <c r="A1049" s="211"/>
      <c r="B1049" s="357" t="s">
        <v>14</v>
      </c>
      <c r="C1049" s="357"/>
      <c r="D1049" s="357"/>
      <c r="E1049" s="357"/>
      <c r="F1049" s="213">
        <f>F1046-F1047-F1048</f>
        <v>22.671999999999997</v>
      </c>
    </row>
    <row r="1050" spans="1:6">
      <c r="A1050" s="211"/>
      <c r="B1050" s="15" t="s">
        <v>65</v>
      </c>
      <c r="C1050" s="48" t="s">
        <v>16</v>
      </c>
      <c r="D1050" s="45" t="s">
        <v>19</v>
      </c>
      <c r="E1050" s="45" t="s">
        <v>18</v>
      </c>
      <c r="F1050" s="242" t="s">
        <v>8</v>
      </c>
    </row>
    <row r="1051" spans="1:6">
      <c r="A1051" s="211"/>
      <c r="B1051" s="100" t="s">
        <v>657</v>
      </c>
      <c r="C1051" s="16"/>
      <c r="D1051" s="46">
        <f>2.35+10+10</f>
        <v>22.35</v>
      </c>
      <c r="E1051" s="46">
        <v>1.2</v>
      </c>
      <c r="F1051" s="237">
        <f>D1051*E1051</f>
        <v>26.82</v>
      </c>
    </row>
    <row r="1052" spans="1:6">
      <c r="A1052" s="211"/>
      <c r="B1052" s="100" t="s">
        <v>626</v>
      </c>
      <c r="C1052" s="16"/>
      <c r="D1052" s="172">
        <v>2.25</v>
      </c>
      <c r="E1052" s="172">
        <v>1.2</v>
      </c>
      <c r="F1052" s="237">
        <f>E1052*D1052</f>
        <v>2.6999999999999997</v>
      </c>
    </row>
    <row r="1053" spans="1:6">
      <c r="A1053" s="211"/>
      <c r="B1053" s="100" t="s">
        <v>658</v>
      </c>
      <c r="C1053" s="16"/>
      <c r="D1053" s="46">
        <f>3*0.9</f>
        <v>2.7</v>
      </c>
      <c r="E1053" s="46">
        <v>1.2</v>
      </c>
      <c r="F1053" s="237">
        <f>E1053*D1053</f>
        <v>3.24</v>
      </c>
    </row>
    <row r="1054" spans="1:6">
      <c r="A1054" s="211"/>
      <c r="B1054" s="15" t="s">
        <v>583</v>
      </c>
      <c r="C1054" s="18"/>
      <c r="D1054" s="179">
        <f>2*0.7</f>
        <v>1.4</v>
      </c>
      <c r="E1054" s="42">
        <v>1.2</v>
      </c>
      <c r="F1054" s="237">
        <f>D1054*E1054</f>
        <v>1.68</v>
      </c>
    </row>
    <row r="1055" spans="1:6">
      <c r="A1055" s="211"/>
      <c r="B1055" s="357" t="s">
        <v>14</v>
      </c>
      <c r="C1055" s="357"/>
      <c r="D1055" s="357"/>
      <c r="E1055" s="357"/>
      <c r="F1055" s="213">
        <f>F1051-F1052-F1053-F1054</f>
        <v>19.200000000000003</v>
      </c>
    </row>
    <row r="1056" spans="1:6">
      <c r="A1056" s="211"/>
      <c r="B1056" s="15" t="s">
        <v>659</v>
      </c>
      <c r="C1056" s="48" t="s">
        <v>16</v>
      </c>
      <c r="D1056" s="181" t="s">
        <v>19</v>
      </c>
      <c r="E1056" s="41" t="s">
        <v>18</v>
      </c>
      <c r="F1056" s="242" t="s">
        <v>8</v>
      </c>
    </row>
    <row r="1057" spans="1:6">
      <c r="A1057" s="211"/>
      <c r="B1057" s="15" t="s">
        <v>634</v>
      </c>
      <c r="C1057" s="18"/>
      <c r="D1057" s="179">
        <f>1.1+1.75+1.1+1.75</f>
        <v>5.7</v>
      </c>
      <c r="E1057" s="42">
        <v>1.2</v>
      </c>
      <c r="F1057" s="237">
        <f>D1057*E1057</f>
        <v>6.84</v>
      </c>
    </row>
    <row r="1058" spans="1:6">
      <c r="A1058" s="211"/>
      <c r="B1058" s="15" t="s">
        <v>632</v>
      </c>
      <c r="C1058" s="18"/>
      <c r="D1058" s="179">
        <v>0.7</v>
      </c>
      <c r="E1058" s="42">
        <v>1.2</v>
      </c>
      <c r="F1058" s="237">
        <f>D1058*E1058</f>
        <v>0.84</v>
      </c>
    </row>
    <row r="1059" spans="1:6">
      <c r="A1059" s="211"/>
      <c r="B1059" s="357" t="s">
        <v>14</v>
      </c>
      <c r="C1059" s="357"/>
      <c r="D1059" s="357"/>
      <c r="E1059" s="357"/>
      <c r="F1059" s="213">
        <f>F1057-F1058</f>
        <v>6</v>
      </c>
    </row>
    <row r="1060" spans="1:6">
      <c r="A1060" s="211"/>
      <c r="B1060" s="15" t="s">
        <v>660</v>
      </c>
      <c r="C1060" s="48" t="s">
        <v>16</v>
      </c>
      <c r="D1060" s="181" t="s">
        <v>19</v>
      </c>
      <c r="E1060" s="41" t="s">
        <v>18</v>
      </c>
      <c r="F1060" s="242" t="s">
        <v>8</v>
      </c>
    </row>
    <row r="1061" spans="1:6">
      <c r="A1061" s="211"/>
      <c r="B1061" s="15" t="s">
        <v>634</v>
      </c>
      <c r="C1061" s="18"/>
      <c r="D1061" s="179">
        <f>1.1+1.75+1.1+1.75</f>
        <v>5.7</v>
      </c>
      <c r="E1061" s="42">
        <v>1.2</v>
      </c>
      <c r="F1061" s="237">
        <f>D1061*E1061</f>
        <v>6.84</v>
      </c>
    </row>
    <row r="1062" spans="1:6">
      <c r="A1062" s="211"/>
      <c r="B1062" s="15" t="s">
        <v>632</v>
      </c>
      <c r="C1062" s="18"/>
      <c r="D1062" s="179">
        <v>0.7</v>
      </c>
      <c r="E1062" s="42">
        <v>1.2</v>
      </c>
      <c r="F1062" s="237">
        <f>D1062*E1062</f>
        <v>0.84</v>
      </c>
    </row>
    <row r="1063" spans="1:6">
      <c r="A1063" s="211"/>
      <c r="B1063" s="357" t="s">
        <v>14</v>
      </c>
      <c r="C1063" s="357"/>
      <c r="D1063" s="357"/>
      <c r="E1063" s="357"/>
      <c r="F1063" s="213">
        <f>F1061-F1062</f>
        <v>6</v>
      </c>
    </row>
    <row r="1064" spans="1:6">
      <c r="A1064" s="211"/>
      <c r="B1064" s="15" t="s">
        <v>171</v>
      </c>
      <c r="C1064" s="48" t="s">
        <v>16</v>
      </c>
      <c r="D1064" s="181" t="s">
        <v>95</v>
      </c>
      <c r="E1064" s="41" t="s">
        <v>18</v>
      </c>
      <c r="F1064" s="242" t="s">
        <v>8</v>
      </c>
    </row>
    <row r="1065" spans="1:6">
      <c r="A1065" s="211"/>
      <c r="B1065" s="15" t="s">
        <v>951</v>
      </c>
      <c r="C1065" s="18"/>
      <c r="D1065" s="179">
        <v>8</v>
      </c>
      <c r="E1065" s="42">
        <v>1.2</v>
      </c>
      <c r="F1065" s="237">
        <f>D1065*E1065</f>
        <v>9.6</v>
      </c>
    </row>
    <row r="1066" spans="1:6">
      <c r="A1066" s="211"/>
      <c r="B1066" s="357" t="s">
        <v>14</v>
      </c>
      <c r="C1066" s="357"/>
      <c r="D1066" s="357"/>
      <c r="E1066" s="357"/>
      <c r="F1066" s="213">
        <f>F1065</f>
        <v>9.6</v>
      </c>
    </row>
    <row r="1067" spans="1:6">
      <c r="A1067" s="211"/>
      <c r="B1067" s="365" t="s">
        <v>619</v>
      </c>
      <c r="C1067" s="365"/>
      <c r="D1067" s="365"/>
      <c r="E1067" s="365"/>
      <c r="F1067" s="366"/>
    </row>
    <row r="1068" spans="1:6">
      <c r="A1068" s="211"/>
      <c r="B1068" s="32" t="s">
        <v>35</v>
      </c>
      <c r="C1068" s="35" t="s">
        <v>16</v>
      </c>
      <c r="D1068" s="176" t="s">
        <v>19</v>
      </c>
      <c r="E1068" s="43" t="s">
        <v>18</v>
      </c>
      <c r="F1068" s="145" t="s">
        <v>8</v>
      </c>
    </row>
    <row r="1069" spans="1:6">
      <c r="A1069" s="211"/>
      <c r="B1069" s="32" t="s">
        <v>254</v>
      </c>
      <c r="C1069" s="62"/>
      <c r="D1069" s="176">
        <f>6.1+1.05+0.15+1.05+6.15+3.77+0.15+4.35+0.75+6.15+0.15+6.1</f>
        <v>35.919999999999995</v>
      </c>
      <c r="E1069" s="176">
        <v>1.2</v>
      </c>
      <c r="F1069" s="238">
        <f>D1069*E1069</f>
        <v>43.103999999999992</v>
      </c>
    </row>
    <row r="1070" spans="1:6">
      <c r="A1070" s="211"/>
      <c r="B1070" s="49" t="s">
        <v>26</v>
      </c>
      <c r="C1070" s="62"/>
      <c r="D1070" s="35">
        <v>0.9</v>
      </c>
      <c r="E1070" s="63">
        <v>1.2</v>
      </c>
      <c r="F1070" s="238">
        <f t="shared" ref="F1070:F1071" si="36">D1070*E1070</f>
        <v>1.08</v>
      </c>
    </row>
    <row r="1071" spans="1:6">
      <c r="A1071" s="211"/>
      <c r="B1071" s="15" t="s">
        <v>406</v>
      </c>
      <c r="C1071" s="18"/>
      <c r="D1071" s="39">
        <f>12*1.15</f>
        <v>13.799999999999999</v>
      </c>
      <c r="E1071" s="42">
        <v>2.0499999999999998</v>
      </c>
      <c r="F1071" s="238">
        <f t="shared" si="36"/>
        <v>28.289999999999996</v>
      </c>
    </row>
    <row r="1072" spans="1:6">
      <c r="A1072" s="211"/>
      <c r="B1072" s="357" t="s">
        <v>14</v>
      </c>
      <c r="C1072" s="357"/>
      <c r="D1072" s="357"/>
      <c r="E1072" s="357"/>
      <c r="F1072" s="216">
        <f>F1069+F1071-F1070</f>
        <v>70.313999999999993</v>
      </c>
    </row>
    <row r="1073" spans="1:6">
      <c r="A1073" s="211"/>
      <c r="B1073" s="15" t="s">
        <v>620</v>
      </c>
      <c r="C1073" s="39" t="s">
        <v>16</v>
      </c>
      <c r="D1073" s="181" t="s">
        <v>19</v>
      </c>
      <c r="E1073" s="41" t="s">
        <v>18</v>
      </c>
      <c r="F1073" s="145" t="s">
        <v>8</v>
      </c>
    </row>
    <row r="1074" spans="1:6">
      <c r="A1074" s="211"/>
      <c r="B1074" s="15" t="s">
        <v>94</v>
      </c>
      <c r="C1074" s="18"/>
      <c r="D1074" s="181">
        <f>6.5+6.35+7.35+6.5+6.5+7.35</f>
        <v>40.550000000000004</v>
      </c>
      <c r="E1074" s="41">
        <v>1.2</v>
      </c>
      <c r="F1074" s="238">
        <f>D1074*E1074</f>
        <v>48.660000000000004</v>
      </c>
    </row>
    <row r="1075" spans="1:6">
      <c r="A1075" s="211"/>
      <c r="B1075" s="15" t="s">
        <v>189</v>
      </c>
      <c r="C1075" s="18"/>
      <c r="D1075" s="181">
        <f>0.4+0.1+0.4+0.4+0.1+0.4</f>
        <v>1.8000000000000003</v>
      </c>
      <c r="E1075" s="41">
        <v>1.2</v>
      </c>
      <c r="F1075" s="238">
        <f>D1075*E1075</f>
        <v>2.16</v>
      </c>
    </row>
    <row r="1076" spans="1:6">
      <c r="A1076" s="211"/>
      <c r="B1076" s="15" t="s">
        <v>188</v>
      </c>
      <c r="C1076" s="18"/>
      <c r="D1076" s="181">
        <f>0.4+0.4</f>
        <v>0.8</v>
      </c>
      <c r="E1076" s="41">
        <v>1.2</v>
      </c>
      <c r="F1076" s="238">
        <f>D1076*E1076</f>
        <v>0.96</v>
      </c>
    </row>
    <row r="1077" spans="1:6">
      <c r="A1077" s="212"/>
      <c r="B1077" s="15" t="s">
        <v>42</v>
      </c>
      <c r="C1077" s="18"/>
      <c r="D1077" s="179">
        <f>5*2.24</f>
        <v>11.200000000000001</v>
      </c>
      <c r="E1077" s="42">
        <v>1.2</v>
      </c>
      <c r="F1077" s="217">
        <f>E1077*D1077</f>
        <v>13.440000000000001</v>
      </c>
    </row>
    <row r="1078" spans="1:6">
      <c r="A1078" s="212"/>
      <c r="B1078" s="15" t="s">
        <v>187</v>
      </c>
      <c r="C1078" s="18"/>
      <c r="D1078" s="179">
        <v>2.2400000000000002</v>
      </c>
      <c r="E1078" s="42">
        <v>0.3</v>
      </c>
      <c r="F1078" s="217">
        <f>E1078*D1078</f>
        <v>0.67200000000000004</v>
      </c>
    </row>
    <row r="1079" spans="1:6">
      <c r="A1079" s="211"/>
      <c r="B1079" s="32" t="s">
        <v>316</v>
      </c>
      <c r="C1079" s="62"/>
      <c r="D1079" s="188">
        <f>0.85+0.2+0.85+0.2</f>
        <v>2.1</v>
      </c>
      <c r="E1079" s="63">
        <v>1.2</v>
      </c>
      <c r="F1079" s="218">
        <f>E1079*D1079</f>
        <v>2.52</v>
      </c>
    </row>
    <row r="1080" spans="1:6">
      <c r="A1080" s="211"/>
      <c r="B1080" s="32" t="s">
        <v>214</v>
      </c>
      <c r="C1080" s="62"/>
      <c r="D1080" s="188">
        <v>0.7</v>
      </c>
      <c r="E1080" s="63">
        <v>0.7</v>
      </c>
      <c r="F1080" s="218">
        <f>E1080*D1080</f>
        <v>0.48999999999999994</v>
      </c>
    </row>
    <row r="1081" spans="1:6">
      <c r="A1081" s="211"/>
      <c r="B1081" s="357" t="s">
        <v>14</v>
      </c>
      <c r="C1081" s="357"/>
      <c r="D1081" s="357"/>
      <c r="E1081" s="357"/>
      <c r="F1081" s="216">
        <f>F1074+F1075+F1076-F1077-F1078+F1079-F1080</f>
        <v>39.698000000000008</v>
      </c>
    </row>
    <row r="1082" spans="1:6">
      <c r="A1082" s="211"/>
      <c r="B1082" s="15" t="s">
        <v>43</v>
      </c>
      <c r="C1082" s="39" t="s">
        <v>16</v>
      </c>
      <c r="D1082" s="181" t="s">
        <v>19</v>
      </c>
      <c r="E1082" s="41" t="s">
        <v>18</v>
      </c>
      <c r="F1082" s="145" t="s">
        <v>8</v>
      </c>
    </row>
    <row r="1083" spans="1:6">
      <c r="A1083" s="211"/>
      <c r="B1083" s="15" t="s">
        <v>253</v>
      </c>
      <c r="C1083" s="18"/>
      <c r="D1083" s="181">
        <f>1.05+1.05+7.25+6.15+6.1+2.8+4.35+0.75+3.77+6.15+0.15+0.15+0.15</f>
        <v>39.869999999999997</v>
      </c>
      <c r="E1083" s="181">
        <v>1.2</v>
      </c>
      <c r="F1083" s="238">
        <f>D1083*E1083</f>
        <v>47.843999999999994</v>
      </c>
    </row>
    <row r="1084" spans="1:6">
      <c r="A1084" s="211"/>
      <c r="B1084" s="15" t="s">
        <v>26</v>
      </c>
      <c r="C1084" s="18"/>
      <c r="D1084" s="39">
        <v>0.9</v>
      </c>
      <c r="E1084" s="42">
        <v>1.2</v>
      </c>
      <c r="F1084" s="238">
        <f t="shared" ref="F1084:F1085" si="37">D1084*E1084</f>
        <v>1.08</v>
      </c>
    </row>
    <row r="1085" spans="1:6">
      <c r="A1085" s="211"/>
      <c r="B1085" s="15" t="s">
        <v>406</v>
      </c>
      <c r="C1085" s="18"/>
      <c r="D1085" s="39">
        <f>12*1.15</f>
        <v>13.799999999999999</v>
      </c>
      <c r="E1085" s="42">
        <v>2.0499999999999998</v>
      </c>
      <c r="F1085" s="238">
        <f t="shared" si="37"/>
        <v>28.289999999999996</v>
      </c>
    </row>
    <row r="1086" spans="1:6">
      <c r="A1086" s="211"/>
      <c r="B1086" s="357" t="s">
        <v>14</v>
      </c>
      <c r="C1086" s="357"/>
      <c r="D1086" s="357"/>
      <c r="E1086" s="357"/>
      <c r="F1086" s="216">
        <f>F1083+F1085-F1084</f>
        <v>75.053999999999988</v>
      </c>
    </row>
    <row r="1087" spans="1:6">
      <c r="A1087" s="211"/>
      <c r="B1087" s="15" t="s">
        <v>44</v>
      </c>
      <c r="C1087" s="39" t="s">
        <v>16</v>
      </c>
      <c r="D1087" s="181" t="s">
        <v>19</v>
      </c>
      <c r="E1087" s="41" t="s">
        <v>18</v>
      </c>
      <c r="F1087" s="145" t="s">
        <v>8</v>
      </c>
    </row>
    <row r="1088" spans="1:6">
      <c r="A1088" s="211"/>
      <c r="B1088" s="15" t="s">
        <v>45</v>
      </c>
      <c r="C1088" s="18"/>
      <c r="D1088" s="181">
        <f>6.15+4.85+6.15+4.85</f>
        <v>22</v>
      </c>
      <c r="E1088" s="181">
        <v>1.2</v>
      </c>
      <c r="F1088" s="238">
        <f>D1088*E1088</f>
        <v>26.4</v>
      </c>
    </row>
    <row r="1089" spans="1:6">
      <c r="A1089" s="211"/>
      <c r="B1089" s="15" t="s">
        <v>26</v>
      </c>
      <c r="C1089" s="18"/>
      <c r="D1089" s="39">
        <v>0.9</v>
      </c>
      <c r="E1089" s="42">
        <v>1.2</v>
      </c>
      <c r="F1089" s="238">
        <f t="shared" ref="F1089:F1090" si="38">D1089*E1089</f>
        <v>1.08</v>
      </c>
    </row>
    <row r="1090" spans="1:6">
      <c r="A1090" s="211"/>
      <c r="B1090" s="15" t="s">
        <v>159</v>
      </c>
      <c r="C1090" s="18"/>
      <c r="D1090" s="179">
        <f>2*2.24</f>
        <v>4.4800000000000004</v>
      </c>
      <c r="E1090" s="42">
        <v>0.3</v>
      </c>
      <c r="F1090" s="238">
        <f t="shared" si="38"/>
        <v>1.3440000000000001</v>
      </c>
    </row>
    <row r="1091" spans="1:6">
      <c r="A1091" s="211"/>
      <c r="B1091" s="357" t="s">
        <v>14</v>
      </c>
      <c r="C1091" s="357"/>
      <c r="D1091" s="357"/>
      <c r="E1091" s="357"/>
      <c r="F1091" s="216">
        <f>F1088-F1089-F1090</f>
        <v>23.975999999999999</v>
      </c>
    </row>
    <row r="1092" spans="1:6">
      <c r="A1092" s="211"/>
      <c r="B1092" s="15" t="s">
        <v>46</v>
      </c>
      <c r="C1092" s="84" t="s">
        <v>16</v>
      </c>
      <c r="D1092" s="84" t="s">
        <v>19</v>
      </c>
      <c r="E1092" s="84" t="s">
        <v>18</v>
      </c>
      <c r="F1092" s="145" t="s">
        <v>8</v>
      </c>
    </row>
    <row r="1093" spans="1:6">
      <c r="A1093" s="211"/>
      <c r="B1093" s="15" t="s">
        <v>47</v>
      </c>
      <c r="C1093" s="84"/>
      <c r="D1093" s="85">
        <f>6.15+2.35+6.15+2.35</f>
        <v>17</v>
      </c>
      <c r="E1093" s="85">
        <v>1.2</v>
      </c>
      <c r="F1093" s="238">
        <f>D1093*E1093</f>
        <v>20.399999999999999</v>
      </c>
    </row>
    <row r="1094" spans="1:6">
      <c r="A1094" s="211"/>
      <c r="B1094" s="15" t="s">
        <v>26</v>
      </c>
      <c r="C1094" s="84"/>
      <c r="D1094" s="85">
        <v>0.9</v>
      </c>
      <c r="E1094" s="85">
        <v>1.2</v>
      </c>
      <c r="F1094" s="238">
        <f t="shared" ref="F1094:F1095" si="39">D1094*E1094</f>
        <v>1.08</v>
      </c>
    </row>
    <row r="1095" spans="1:6">
      <c r="A1095" s="211"/>
      <c r="B1095" s="15" t="s">
        <v>160</v>
      </c>
      <c r="C1095" s="84"/>
      <c r="D1095" s="85">
        <v>2.2400000000000002</v>
      </c>
      <c r="E1095" s="85">
        <v>0.3</v>
      </c>
      <c r="F1095" s="238">
        <f t="shared" si="39"/>
        <v>0.67200000000000004</v>
      </c>
    </row>
    <row r="1096" spans="1:6">
      <c r="A1096" s="211"/>
      <c r="B1096" s="361" t="s">
        <v>14</v>
      </c>
      <c r="C1096" s="361"/>
      <c r="D1096" s="361"/>
      <c r="E1096" s="361"/>
      <c r="F1096" s="216">
        <f>F1093-F1094-F1095</f>
        <v>18.648</v>
      </c>
    </row>
    <row r="1097" spans="1:6">
      <c r="A1097" s="211"/>
      <c r="B1097" s="15" t="s">
        <v>286</v>
      </c>
      <c r="C1097" s="84" t="s">
        <v>16</v>
      </c>
      <c r="D1097" s="84" t="s">
        <v>19</v>
      </c>
      <c r="E1097" s="84" t="s">
        <v>18</v>
      </c>
      <c r="F1097" s="145" t="s">
        <v>8</v>
      </c>
    </row>
    <row r="1098" spans="1:6">
      <c r="A1098" s="211"/>
      <c r="B1098" s="15" t="s">
        <v>49</v>
      </c>
      <c r="C1098" s="84"/>
      <c r="D1098" s="85">
        <f>2.35+6.15+2.35+6.15</f>
        <v>17</v>
      </c>
      <c r="E1098" s="85">
        <v>1.2</v>
      </c>
      <c r="F1098" s="238">
        <f>E1098*D1098</f>
        <v>20.399999999999999</v>
      </c>
    </row>
    <row r="1099" spans="1:6">
      <c r="A1099" s="211"/>
      <c r="B1099" s="15" t="s">
        <v>26</v>
      </c>
      <c r="C1099" s="84"/>
      <c r="D1099" s="85">
        <v>0.9</v>
      </c>
      <c r="E1099" s="85">
        <v>1.2</v>
      </c>
      <c r="F1099" s="238">
        <f t="shared" ref="F1099:F1100" si="40">D1099*E1099</f>
        <v>1.08</v>
      </c>
    </row>
    <row r="1100" spans="1:6">
      <c r="A1100" s="211"/>
      <c r="B1100" s="15" t="s">
        <v>160</v>
      </c>
      <c r="C1100" s="84"/>
      <c r="D1100" s="85">
        <v>2.2400000000000002</v>
      </c>
      <c r="E1100" s="85">
        <v>0.3</v>
      </c>
      <c r="F1100" s="238">
        <f t="shared" si="40"/>
        <v>0.67200000000000004</v>
      </c>
    </row>
    <row r="1101" spans="1:6">
      <c r="A1101" s="211"/>
      <c r="B1101" s="361" t="s">
        <v>14</v>
      </c>
      <c r="C1101" s="361"/>
      <c r="D1101" s="361"/>
      <c r="E1101" s="361"/>
      <c r="F1101" s="216">
        <f>F1098-F1099-F1100</f>
        <v>18.648</v>
      </c>
    </row>
    <row r="1102" spans="1:6">
      <c r="A1102" s="211"/>
      <c r="B1102" s="15" t="s">
        <v>192</v>
      </c>
      <c r="C1102" s="84" t="s">
        <v>16</v>
      </c>
      <c r="D1102" s="84" t="s">
        <v>19</v>
      </c>
      <c r="E1102" s="84" t="s">
        <v>18</v>
      </c>
      <c r="F1102" s="145" t="s">
        <v>8</v>
      </c>
    </row>
    <row r="1103" spans="1:6">
      <c r="A1103" s="211"/>
      <c r="B1103" s="15" t="s">
        <v>50</v>
      </c>
      <c r="C1103" s="84"/>
      <c r="D1103" s="85">
        <f>4.85+6.15+4.85+6.15</f>
        <v>22</v>
      </c>
      <c r="E1103" s="85">
        <v>1.2</v>
      </c>
      <c r="F1103" s="238">
        <f>E1103*D1103</f>
        <v>26.4</v>
      </c>
    </row>
    <row r="1104" spans="1:6">
      <c r="A1104" s="211"/>
      <c r="B1104" s="15" t="s">
        <v>26</v>
      </c>
      <c r="C1104" s="84"/>
      <c r="D1104" s="85">
        <v>0.9</v>
      </c>
      <c r="E1104" s="85">
        <v>1.2</v>
      </c>
      <c r="F1104" s="238">
        <f t="shared" ref="F1104:F1105" si="41">D1104*E1104</f>
        <v>1.08</v>
      </c>
    </row>
    <row r="1105" spans="1:6">
      <c r="A1105" s="211"/>
      <c r="B1105" s="15" t="s">
        <v>159</v>
      </c>
      <c r="C1105" s="84"/>
      <c r="D1105" s="85">
        <f>2*2.24</f>
        <v>4.4800000000000004</v>
      </c>
      <c r="E1105" s="85">
        <v>0.3</v>
      </c>
      <c r="F1105" s="238">
        <f t="shared" si="41"/>
        <v>1.3440000000000001</v>
      </c>
    </row>
    <row r="1106" spans="1:6">
      <c r="A1106" s="211"/>
      <c r="B1106" s="361" t="s">
        <v>14</v>
      </c>
      <c r="C1106" s="361"/>
      <c r="D1106" s="361"/>
      <c r="E1106" s="361"/>
      <c r="F1106" s="216">
        <f>F1103-F1104-F1105</f>
        <v>23.975999999999999</v>
      </c>
    </row>
    <row r="1107" spans="1:6">
      <c r="A1107" s="211"/>
      <c r="B1107" s="15" t="s">
        <v>62</v>
      </c>
      <c r="C1107" s="84" t="s">
        <v>16</v>
      </c>
      <c r="D1107" s="84" t="s">
        <v>19</v>
      </c>
      <c r="E1107" s="84" t="s">
        <v>18</v>
      </c>
      <c r="F1107" s="145" t="s">
        <v>8</v>
      </c>
    </row>
    <row r="1108" spans="1:6">
      <c r="A1108" s="211"/>
      <c r="B1108" s="15" t="s">
        <v>51</v>
      </c>
      <c r="C1108" s="84"/>
      <c r="D1108" s="85">
        <f>7.34+6.15+7.34+6.15</f>
        <v>26.979999999999997</v>
      </c>
      <c r="E1108" s="85">
        <v>1.2</v>
      </c>
      <c r="F1108" s="238">
        <f>E1108*D1108</f>
        <v>32.375999999999998</v>
      </c>
    </row>
    <row r="1109" spans="1:6">
      <c r="A1109" s="211"/>
      <c r="B1109" s="15" t="s">
        <v>26</v>
      </c>
      <c r="C1109" s="84"/>
      <c r="D1109" s="85">
        <v>0.9</v>
      </c>
      <c r="E1109" s="85">
        <v>1.2</v>
      </c>
      <c r="F1109" s="238">
        <f t="shared" ref="F1109:F1110" si="42">D1109*E1109</f>
        <v>1.08</v>
      </c>
    </row>
    <row r="1110" spans="1:6">
      <c r="A1110" s="211"/>
      <c r="B1110" s="15" t="s">
        <v>157</v>
      </c>
      <c r="C1110" s="84"/>
      <c r="D1110" s="85">
        <f>3*2.24</f>
        <v>6.7200000000000006</v>
      </c>
      <c r="E1110" s="85">
        <v>0.3</v>
      </c>
      <c r="F1110" s="238">
        <f t="shared" si="42"/>
        <v>2.016</v>
      </c>
    </row>
    <row r="1111" spans="1:6">
      <c r="A1111" s="211"/>
      <c r="B1111" s="361" t="s">
        <v>14</v>
      </c>
      <c r="C1111" s="361"/>
      <c r="D1111" s="361"/>
      <c r="E1111" s="361"/>
      <c r="F1111" s="216">
        <f>F1108-F1109-F1110</f>
        <v>29.28</v>
      </c>
    </row>
    <row r="1112" spans="1:6">
      <c r="A1112" s="211"/>
      <c r="B1112" s="15" t="s">
        <v>63</v>
      </c>
      <c r="C1112" s="84" t="s">
        <v>16</v>
      </c>
      <c r="D1112" s="84" t="s">
        <v>19</v>
      </c>
      <c r="E1112" s="84" t="s">
        <v>18</v>
      </c>
      <c r="F1112" s="145" t="s">
        <v>8</v>
      </c>
    </row>
    <row r="1113" spans="1:6">
      <c r="A1113" s="211"/>
      <c r="B1113" s="15" t="s">
        <v>102</v>
      </c>
      <c r="C1113" s="84"/>
      <c r="D1113" s="85">
        <f>4.85+6.15+4.15+2.6+2+2.25</f>
        <v>22</v>
      </c>
      <c r="E1113" s="85">
        <v>1.2</v>
      </c>
      <c r="F1113" s="238">
        <f>E1113*D1113</f>
        <v>26.4</v>
      </c>
    </row>
    <row r="1114" spans="1:6">
      <c r="A1114" s="211"/>
      <c r="B1114" s="15" t="s">
        <v>26</v>
      </c>
      <c r="C1114" s="84"/>
      <c r="D1114" s="85">
        <v>0.9</v>
      </c>
      <c r="E1114" s="85">
        <v>1.2</v>
      </c>
      <c r="F1114" s="238">
        <f t="shared" ref="F1114:F1115" si="43">D1114*E1114</f>
        <v>1.08</v>
      </c>
    </row>
    <row r="1115" spans="1:6">
      <c r="A1115" s="211"/>
      <c r="B1115" s="15" t="s">
        <v>158</v>
      </c>
      <c r="C1115" s="84"/>
      <c r="D1115" s="85">
        <f>2.24</f>
        <v>2.2400000000000002</v>
      </c>
      <c r="E1115" s="85">
        <v>0.3</v>
      </c>
      <c r="F1115" s="238">
        <f t="shared" si="43"/>
        <v>0.67200000000000004</v>
      </c>
    </row>
    <row r="1116" spans="1:6">
      <c r="A1116" s="211"/>
      <c r="B1116" s="361" t="s">
        <v>14</v>
      </c>
      <c r="C1116" s="361"/>
      <c r="D1116" s="361"/>
      <c r="E1116" s="361"/>
      <c r="F1116" s="216">
        <f>F1113-F1114-F1115</f>
        <v>24.648</v>
      </c>
    </row>
    <row r="1117" spans="1:6">
      <c r="A1117" s="211"/>
      <c r="B1117" s="15" t="s">
        <v>193</v>
      </c>
      <c r="C1117" s="84" t="s">
        <v>16</v>
      </c>
      <c r="D1117" s="84" t="s">
        <v>19</v>
      </c>
      <c r="E1117" s="84" t="s">
        <v>18</v>
      </c>
      <c r="F1117" s="145" t="s">
        <v>8</v>
      </c>
    </row>
    <row r="1118" spans="1:6">
      <c r="A1118" s="211"/>
      <c r="B1118" s="15" t="s">
        <v>104</v>
      </c>
      <c r="C1118" s="84"/>
      <c r="D1118" s="85">
        <f>1.7+1.15+1.7+1.15</f>
        <v>5.6999999999999993</v>
      </c>
      <c r="E1118" s="85">
        <v>1.2</v>
      </c>
      <c r="F1118" s="238">
        <f>E1118*D1118</f>
        <v>6.839999999999999</v>
      </c>
    </row>
    <row r="1119" spans="1:6">
      <c r="A1119" s="211"/>
      <c r="B1119" s="15" t="s">
        <v>26</v>
      </c>
      <c r="C1119" s="84"/>
      <c r="D1119" s="85">
        <v>0.7</v>
      </c>
      <c r="E1119" s="85">
        <v>1.2</v>
      </c>
      <c r="F1119" s="238">
        <f>E1119*D1119</f>
        <v>0.84</v>
      </c>
    </row>
    <row r="1120" spans="1:6">
      <c r="A1120" s="211"/>
      <c r="B1120" s="15" t="s">
        <v>105</v>
      </c>
      <c r="C1120" s="84"/>
      <c r="D1120" s="85">
        <f>1.7+1.15+1.7+1.15</f>
        <v>5.6999999999999993</v>
      </c>
      <c r="E1120" s="85">
        <v>1.2</v>
      </c>
      <c r="F1120" s="238">
        <f>E1120*D1120</f>
        <v>6.839999999999999</v>
      </c>
    </row>
    <row r="1121" spans="1:6">
      <c r="A1121" s="211"/>
      <c r="B1121" s="15" t="s">
        <v>26</v>
      </c>
      <c r="C1121" s="84"/>
      <c r="D1121" s="85">
        <v>0.7</v>
      </c>
      <c r="E1121" s="85">
        <v>1.2</v>
      </c>
      <c r="F1121" s="238">
        <f t="shared" ref="F1121" si="44">D1121*E1121</f>
        <v>0.84</v>
      </c>
    </row>
    <row r="1122" spans="1:6">
      <c r="A1122" s="211"/>
      <c r="B1122" s="361" t="s">
        <v>14</v>
      </c>
      <c r="C1122" s="361"/>
      <c r="D1122" s="361"/>
      <c r="E1122" s="361"/>
      <c r="F1122" s="216">
        <f>F1118-F1119+F1120-F1121</f>
        <v>11.999999999999998</v>
      </c>
    </row>
    <row r="1123" spans="1:6">
      <c r="A1123" s="211"/>
      <c r="B1123" s="15" t="s">
        <v>499</v>
      </c>
      <c r="C1123" s="84" t="s">
        <v>16</v>
      </c>
      <c r="D1123" s="84" t="s">
        <v>19</v>
      </c>
      <c r="E1123" s="84" t="s">
        <v>18</v>
      </c>
      <c r="F1123" s="145" t="s">
        <v>8</v>
      </c>
    </row>
    <row r="1124" spans="1:6">
      <c r="A1124" s="211"/>
      <c r="B1124" s="15" t="s">
        <v>52</v>
      </c>
      <c r="C1124" s="84"/>
      <c r="D1124" s="85">
        <f>9.84+6.15+9.84+6.15</f>
        <v>31.979999999999997</v>
      </c>
      <c r="E1124" s="85">
        <v>1.2</v>
      </c>
      <c r="F1124" s="238">
        <f>E1124*D1124</f>
        <v>38.375999999999998</v>
      </c>
    </row>
    <row r="1125" spans="1:6">
      <c r="A1125" s="211"/>
      <c r="B1125" s="15" t="s">
        <v>99</v>
      </c>
      <c r="C1125" s="84"/>
      <c r="D1125" s="85">
        <f>(2*(2.6+0.15+2.6+0.7+1.23+0.7))</f>
        <v>15.959999999999999</v>
      </c>
      <c r="E1125" s="85">
        <v>0.85</v>
      </c>
      <c r="F1125" s="238">
        <f>E1125*D1125</f>
        <v>13.565999999999999</v>
      </c>
    </row>
    <row r="1126" spans="1:6">
      <c r="A1126" s="211"/>
      <c r="B1126" s="15" t="s">
        <v>100</v>
      </c>
      <c r="C1126" s="84"/>
      <c r="D1126" s="85">
        <f>(2*(1.6+0.15+1.6+0.15))</f>
        <v>7</v>
      </c>
      <c r="E1126" s="85">
        <v>0.85</v>
      </c>
      <c r="F1126" s="238">
        <f>E1126*D1126</f>
        <v>5.95</v>
      </c>
    </row>
    <row r="1127" spans="1:6">
      <c r="A1127" s="211"/>
      <c r="B1127" s="15" t="s">
        <v>26</v>
      </c>
      <c r="C1127" s="84"/>
      <c r="D1127" s="85">
        <v>0.9</v>
      </c>
      <c r="E1127" s="85">
        <v>1.2</v>
      </c>
      <c r="F1127" s="238">
        <f t="shared" ref="F1127:F1128" si="45">E1127*D1127</f>
        <v>1.08</v>
      </c>
    </row>
    <row r="1128" spans="1:6">
      <c r="A1128" s="211"/>
      <c r="B1128" s="15" t="s">
        <v>161</v>
      </c>
      <c r="C1128" s="84"/>
      <c r="D1128" s="85">
        <f>4*2.24</f>
        <v>8.9600000000000009</v>
      </c>
      <c r="E1128" s="85">
        <v>0.3</v>
      </c>
      <c r="F1128" s="238">
        <f t="shared" si="45"/>
        <v>2.6880000000000002</v>
      </c>
    </row>
    <row r="1129" spans="1:6">
      <c r="A1129" s="211"/>
      <c r="B1129" s="361" t="s">
        <v>14</v>
      </c>
      <c r="C1129" s="361"/>
      <c r="D1129" s="361"/>
      <c r="E1129" s="361"/>
      <c r="F1129" s="216">
        <f>F1124+F1126+F1125-F1127-F1128</f>
        <v>54.123999999999995</v>
      </c>
    </row>
    <row r="1130" spans="1:6">
      <c r="A1130" s="211"/>
      <c r="B1130" s="15" t="s">
        <v>64</v>
      </c>
      <c r="C1130" s="84" t="s">
        <v>16</v>
      </c>
      <c r="D1130" s="84" t="s">
        <v>19</v>
      </c>
      <c r="E1130" s="84" t="s">
        <v>18</v>
      </c>
      <c r="F1130" s="145" t="s">
        <v>8</v>
      </c>
    </row>
    <row r="1131" spans="1:6">
      <c r="A1131" s="211"/>
      <c r="B1131" s="15" t="s">
        <v>53</v>
      </c>
      <c r="C1131" s="84"/>
      <c r="D1131" s="85">
        <f>2.34+2.35+2.34+2.35</f>
        <v>9.379999999999999</v>
      </c>
      <c r="E1131" s="85">
        <v>1.2</v>
      </c>
      <c r="F1131" s="238">
        <f>E1131*D1131</f>
        <v>11.255999999999998</v>
      </c>
    </row>
    <row r="1132" spans="1:6">
      <c r="A1132" s="211"/>
      <c r="B1132" s="15" t="s">
        <v>26</v>
      </c>
      <c r="C1132" s="84"/>
      <c r="D1132" s="85">
        <v>0.9</v>
      </c>
      <c r="E1132" s="85">
        <v>1.2</v>
      </c>
      <c r="F1132" s="238">
        <f>E1132*D1132</f>
        <v>1.08</v>
      </c>
    </row>
    <row r="1133" spans="1:6">
      <c r="A1133" s="211"/>
      <c r="B1133" s="361" t="s">
        <v>14</v>
      </c>
      <c r="C1133" s="361"/>
      <c r="D1133" s="361"/>
      <c r="E1133" s="361"/>
      <c r="F1133" s="216">
        <f>F1131-F1132</f>
        <v>10.175999999999998</v>
      </c>
    </row>
    <row r="1134" spans="1:6">
      <c r="A1134" s="211"/>
      <c r="B1134" s="15" t="s">
        <v>34</v>
      </c>
      <c r="C1134" s="39" t="s">
        <v>16</v>
      </c>
      <c r="D1134" s="181" t="s">
        <v>19</v>
      </c>
      <c r="E1134" s="41" t="s">
        <v>18</v>
      </c>
      <c r="F1134" s="145" t="s">
        <v>8</v>
      </c>
    </row>
    <row r="1135" spans="1:6">
      <c r="A1135" s="211"/>
      <c r="B1135" s="15" t="s">
        <v>39</v>
      </c>
      <c r="C1135" s="18"/>
      <c r="D1135" s="179">
        <f>7.75+7.75</f>
        <v>15.5</v>
      </c>
      <c r="E1135" s="42">
        <v>1.2</v>
      </c>
      <c r="F1135" s="217">
        <f>E1135*D1135</f>
        <v>18.599999999999998</v>
      </c>
    </row>
    <row r="1136" spans="1:6">
      <c r="A1136" s="211"/>
      <c r="B1136" s="357" t="s">
        <v>14</v>
      </c>
      <c r="C1136" s="357"/>
      <c r="D1136" s="357"/>
      <c r="E1136" s="357"/>
      <c r="F1136" s="216">
        <f>F1135</f>
        <v>18.599999999999998</v>
      </c>
    </row>
    <row r="1137" spans="1:6">
      <c r="A1137" s="211"/>
      <c r="B1137" s="15" t="s">
        <v>65</v>
      </c>
      <c r="C1137" s="84" t="s">
        <v>16</v>
      </c>
      <c r="D1137" s="84" t="s">
        <v>19</v>
      </c>
      <c r="E1137" s="84" t="s">
        <v>18</v>
      </c>
      <c r="F1137" s="145" t="s">
        <v>8</v>
      </c>
    </row>
    <row r="1138" spans="1:6">
      <c r="A1138" s="211"/>
      <c r="B1138" s="15" t="s">
        <v>54</v>
      </c>
      <c r="C1138" s="84"/>
      <c r="D1138" s="85">
        <f>20.05+2.35+20.05</f>
        <v>42.45</v>
      </c>
      <c r="E1138" s="85">
        <v>1.2</v>
      </c>
      <c r="F1138" s="238">
        <f>E1138*D1138</f>
        <v>50.940000000000005</v>
      </c>
    </row>
    <row r="1139" spans="1:6">
      <c r="A1139" s="211"/>
      <c r="B1139" s="15" t="s">
        <v>55</v>
      </c>
      <c r="C1139" s="84"/>
      <c r="D1139" s="85">
        <f>8*0.9</f>
        <v>7.2</v>
      </c>
      <c r="E1139" s="85">
        <v>1.2</v>
      </c>
      <c r="F1139" s="238">
        <f t="shared" ref="F1139" si="46">D1139*E1139</f>
        <v>8.64</v>
      </c>
    </row>
    <row r="1140" spans="1:6">
      <c r="A1140" s="211"/>
      <c r="B1140" s="361" t="s">
        <v>14</v>
      </c>
      <c r="C1140" s="361"/>
      <c r="D1140" s="361"/>
      <c r="E1140" s="361"/>
      <c r="F1140" s="216">
        <f>F1138-F1139</f>
        <v>42.300000000000004</v>
      </c>
    </row>
    <row r="1141" spans="1:6">
      <c r="A1141" s="211"/>
      <c r="B1141" s="15" t="s">
        <v>66</v>
      </c>
      <c r="C1141" s="84" t="s">
        <v>16</v>
      </c>
      <c r="D1141" s="84" t="s">
        <v>19</v>
      </c>
      <c r="E1141" s="84" t="s">
        <v>18</v>
      </c>
      <c r="F1141" s="145" t="s">
        <v>8</v>
      </c>
    </row>
    <row r="1142" spans="1:6">
      <c r="A1142" s="211"/>
      <c r="B1142" s="15" t="s">
        <v>56</v>
      </c>
      <c r="C1142" s="84"/>
      <c r="D1142" s="85">
        <f>5.95+14.95+5.95+14.95</f>
        <v>41.8</v>
      </c>
      <c r="E1142" s="85">
        <v>1.2</v>
      </c>
      <c r="F1142" s="238">
        <f>E1142*D1142</f>
        <v>50.16</v>
      </c>
    </row>
    <row r="1143" spans="1:6">
      <c r="A1143" s="211"/>
      <c r="B1143" s="15" t="s">
        <v>26</v>
      </c>
      <c r="C1143" s="84"/>
      <c r="D1143" s="85">
        <v>0.9</v>
      </c>
      <c r="E1143" s="85">
        <v>1.2</v>
      </c>
      <c r="F1143" s="238">
        <f>E1143*D1143</f>
        <v>1.08</v>
      </c>
    </row>
    <row r="1144" spans="1:6">
      <c r="A1144" s="211"/>
      <c r="B1144" s="15" t="s">
        <v>194</v>
      </c>
      <c r="C1144" s="84"/>
      <c r="D1144" s="85">
        <f>5*2</f>
        <v>10</v>
      </c>
      <c r="E1144" s="85">
        <v>0.2</v>
      </c>
      <c r="F1144" s="238">
        <f>E1144*D1144</f>
        <v>2</v>
      </c>
    </row>
    <row r="1145" spans="1:6">
      <c r="A1145" s="211"/>
      <c r="B1145" s="361" t="s">
        <v>14</v>
      </c>
      <c r="C1145" s="361"/>
      <c r="D1145" s="361"/>
      <c r="E1145" s="361"/>
      <c r="F1145" s="216">
        <f>F1142-F1144-F1143</f>
        <v>47.08</v>
      </c>
    </row>
    <row r="1146" spans="1:6">
      <c r="A1146" s="211"/>
      <c r="B1146" s="20" t="s">
        <v>621</v>
      </c>
      <c r="C1146" s="39" t="s">
        <v>16</v>
      </c>
      <c r="D1146" s="45" t="s">
        <v>95</v>
      </c>
      <c r="E1146" s="45" t="s">
        <v>18</v>
      </c>
      <c r="F1146" s="145" t="s">
        <v>9</v>
      </c>
    </row>
    <row r="1147" spans="1:6">
      <c r="A1147" s="211"/>
      <c r="B1147" s="15" t="s">
        <v>170</v>
      </c>
      <c r="C1147" s="18"/>
      <c r="D1147" s="181">
        <v>25</v>
      </c>
      <c r="E1147" s="41">
        <v>1.2</v>
      </c>
      <c r="F1147" s="241">
        <f>E1147*D1147</f>
        <v>30</v>
      </c>
    </row>
    <row r="1148" spans="1:6">
      <c r="A1148" s="211"/>
      <c r="B1148" s="357" t="s">
        <v>14</v>
      </c>
      <c r="C1148" s="357"/>
      <c r="D1148" s="357"/>
      <c r="E1148" s="357"/>
      <c r="F1148" s="216">
        <f>F1147</f>
        <v>30</v>
      </c>
    </row>
    <row r="1149" spans="1:6">
      <c r="A1149" s="211"/>
      <c r="B1149" s="15" t="s">
        <v>622</v>
      </c>
      <c r="C1149" s="84"/>
      <c r="D1149" s="86"/>
      <c r="E1149" s="86"/>
      <c r="F1149" s="217"/>
    </row>
    <row r="1150" spans="1:6">
      <c r="A1150" s="211"/>
      <c r="B1150" s="15" t="s">
        <v>67</v>
      </c>
      <c r="C1150" s="84" t="s">
        <v>16</v>
      </c>
      <c r="D1150" s="84" t="s">
        <v>19</v>
      </c>
      <c r="E1150" s="84" t="s">
        <v>18</v>
      </c>
      <c r="F1150" s="145" t="s">
        <v>8</v>
      </c>
    </row>
    <row r="1151" spans="1:6">
      <c r="A1151" s="211"/>
      <c r="B1151" s="15" t="s">
        <v>68</v>
      </c>
      <c r="C1151" s="84"/>
      <c r="D1151" s="85">
        <f>6.15+7.36+6.15+7.36</f>
        <v>27.020000000000003</v>
      </c>
      <c r="E1151" s="85">
        <v>1.2</v>
      </c>
      <c r="F1151" s="238">
        <f>E1151*D1151</f>
        <v>32.423999999999999</v>
      </c>
    </row>
    <row r="1152" spans="1:6">
      <c r="A1152" s="211"/>
      <c r="B1152" s="15" t="s">
        <v>70</v>
      </c>
      <c r="C1152" s="84"/>
      <c r="D1152" s="85">
        <v>0.9</v>
      </c>
      <c r="E1152" s="85">
        <v>1.2</v>
      </c>
      <c r="F1152" s="238">
        <f>E1152*D1152</f>
        <v>1.08</v>
      </c>
    </row>
    <row r="1153" spans="1:6">
      <c r="A1153" s="211"/>
      <c r="B1153" s="15" t="s">
        <v>162</v>
      </c>
      <c r="C1153" s="84"/>
      <c r="D1153" s="85">
        <f>3*2.24</f>
        <v>6.7200000000000006</v>
      </c>
      <c r="E1153" s="85">
        <v>0.3</v>
      </c>
      <c r="F1153" s="238">
        <f>E1153*D1153</f>
        <v>2.016</v>
      </c>
    </row>
    <row r="1154" spans="1:6">
      <c r="A1154" s="211"/>
      <c r="B1154" s="361" t="s">
        <v>14</v>
      </c>
      <c r="C1154" s="361"/>
      <c r="D1154" s="361"/>
      <c r="E1154" s="361"/>
      <c r="F1154" s="216">
        <f>F1151-F1152-F1153</f>
        <v>29.328000000000003</v>
      </c>
    </row>
    <row r="1155" spans="1:6">
      <c r="A1155" s="211"/>
      <c r="B1155" s="15" t="s">
        <v>71</v>
      </c>
      <c r="C1155" s="84" t="s">
        <v>16</v>
      </c>
      <c r="D1155" s="84" t="s">
        <v>19</v>
      </c>
      <c r="E1155" s="84" t="s">
        <v>18</v>
      </c>
      <c r="F1155" s="145" t="s">
        <v>8</v>
      </c>
    </row>
    <row r="1156" spans="1:6">
      <c r="A1156" s="211"/>
      <c r="B1156" s="15" t="s">
        <v>68</v>
      </c>
      <c r="C1156" s="84"/>
      <c r="D1156" s="85">
        <f>6.15+7.36+6.15+7.36</f>
        <v>27.020000000000003</v>
      </c>
      <c r="E1156" s="85">
        <v>1.2</v>
      </c>
      <c r="F1156" s="238">
        <f>E1156*D1156</f>
        <v>32.423999999999999</v>
      </c>
    </row>
    <row r="1157" spans="1:6">
      <c r="A1157" s="211"/>
      <c r="B1157" s="15" t="s">
        <v>162</v>
      </c>
      <c r="C1157" s="84"/>
      <c r="D1157" s="85">
        <f>3*2.24</f>
        <v>6.7200000000000006</v>
      </c>
      <c r="E1157" s="85">
        <v>0.3</v>
      </c>
      <c r="F1157" s="238">
        <f>E1157*D1157</f>
        <v>2.016</v>
      </c>
    </row>
    <row r="1158" spans="1:6">
      <c r="A1158" s="211"/>
      <c r="B1158" s="15" t="s">
        <v>70</v>
      </c>
      <c r="C1158" s="84"/>
      <c r="D1158" s="85">
        <v>0.9</v>
      </c>
      <c r="E1158" s="85">
        <v>1.2</v>
      </c>
      <c r="F1158" s="238">
        <f>E1158*D1158</f>
        <v>1.08</v>
      </c>
    </row>
    <row r="1159" spans="1:6">
      <c r="A1159" s="211"/>
      <c r="B1159" s="361" t="s">
        <v>14</v>
      </c>
      <c r="C1159" s="361"/>
      <c r="D1159" s="361"/>
      <c r="E1159" s="361"/>
      <c r="F1159" s="216">
        <f>F1156-F1157-F1158</f>
        <v>29.328000000000003</v>
      </c>
    </row>
    <row r="1160" spans="1:6">
      <c r="A1160" s="211"/>
      <c r="B1160" s="15" t="s">
        <v>72</v>
      </c>
      <c r="C1160" s="84" t="s">
        <v>16</v>
      </c>
      <c r="D1160" s="84" t="s">
        <v>19</v>
      </c>
      <c r="E1160" s="84" t="s">
        <v>18</v>
      </c>
      <c r="F1160" s="145" t="s">
        <v>8</v>
      </c>
    </row>
    <row r="1161" spans="1:6">
      <c r="A1161" s="211"/>
      <c r="B1161" s="15" t="s">
        <v>68</v>
      </c>
      <c r="C1161" s="84"/>
      <c r="D1161" s="85">
        <f>6.15+7.36+6.15+7.36</f>
        <v>27.020000000000003</v>
      </c>
      <c r="E1161" s="85">
        <v>1.2</v>
      </c>
      <c r="F1161" s="238">
        <f>E1161*D1161</f>
        <v>32.423999999999999</v>
      </c>
    </row>
    <row r="1162" spans="1:6">
      <c r="A1162" s="211"/>
      <c r="B1162" s="15" t="s">
        <v>162</v>
      </c>
      <c r="C1162" s="84"/>
      <c r="D1162" s="85">
        <f>3*2.24</f>
        <v>6.7200000000000006</v>
      </c>
      <c r="E1162" s="85">
        <v>0.3</v>
      </c>
      <c r="F1162" s="238">
        <f>E1162*D1162</f>
        <v>2.016</v>
      </c>
    </row>
    <row r="1163" spans="1:6">
      <c r="A1163" s="211"/>
      <c r="B1163" s="15" t="s">
        <v>70</v>
      </c>
      <c r="C1163" s="84"/>
      <c r="D1163" s="85">
        <v>0.9</v>
      </c>
      <c r="E1163" s="85">
        <v>1.2</v>
      </c>
      <c r="F1163" s="238">
        <f>E1163*D1163</f>
        <v>1.08</v>
      </c>
    </row>
    <row r="1164" spans="1:6">
      <c r="A1164" s="211"/>
      <c r="B1164" s="361" t="s">
        <v>14</v>
      </c>
      <c r="C1164" s="361"/>
      <c r="D1164" s="361"/>
      <c r="E1164" s="361"/>
      <c r="F1164" s="216">
        <f>F1161-F1162-F1163</f>
        <v>29.328000000000003</v>
      </c>
    </row>
    <row r="1165" spans="1:6">
      <c r="A1165" s="211"/>
      <c r="B1165" s="15" t="s">
        <v>73</v>
      </c>
      <c r="C1165" s="84" t="s">
        <v>16</v>
      </c>
      <c r="D1165" s="84" t="s">
        <v>19</v>
      </c>
      <c r="E1165" s="84" t="s">
        <v>18</v>
      </c>
      <c r="F1165" s="145" t="s">
        <v>8</v>
      </c>
    </row>
    <row r="1166" spans="1:6">
      <c r="A1166" s="211"/>
      <c r="B1166" s="15" t="s">
        <v>68</v>
      </c>
      <c r="C1166" s="84"/>
      <c r="D1166" s="85">
        <f>6.15+7.36+6.15+7.36</f>
        <v>27.020000000000003</v>
      </c>
      <c r="E1166" s="85">
        <v>1.2</v>
      </c>
      <c r="F1166" s="238">
        <f>E1166*D1166</f>
        <v>32.423999999999999</v>
      </c>
    </row>
    <row r="1167" spans="1:6">
      <c r="A1167" s="211"/>
      <c r="B1167" s="15" t="s">
        <v>162</v>
      </c>
      <c r="C1167" s="84"/>
      <c r="D1167" s="85">
        <f>3*2.24</f>
        <v>6.7200000000000006</v>
      </c>
      <c r="E1167" s="85">
        <v>0.3</v>
      </c>
      <c r="F1167" s="238">
        <f>E1167*D1167</f>
        <v>2.016</v>
      </c>
    </row>
    <row r="1168" spans="1:6">
      <c r="A1168" s="211"/>
      <c r="B1168" s="15" t="s">
        <v>70</v>
      </c>
      <c r="C1168" s="84"/>
      <c r="D1168" s="85">
        <v>0.9</v>
      </c>
      <c r="E1168" s="85">
        <v>1.2</v>
      </c>
      <c r="F1168" s="238">
        <f>E1168*D1168</f>
        <v>1.08</v>
      </c>
    </row>
    <row r="1169" spans="1:6">
      <c r="A1169" s="211"/>
      <c r="B1169" s="361" t="s">
        <v>14</v>
      </c>
      <c r="C1169" s="361"/>
      <c r="D1169" s="361"/>
      <c r="E1169" s="361"/>
      <c r="F1169" s="216">
        <f>F1166-F1167-F1168</f>
        <v>29.328000000000003</v>
      </c>
    </row>
    <row r="1170" spans="1:6">
      <c r="A1170" s="211"/>
      <c r="B1170" s="15" t="s">
        <v>74</v>
      </c>
      <c r="C1170" s="84" t="s">
        <v>16</v>
      </c>
      <c r="D1170" s="84" t="s">
        <v>19</v>
      </c>
      <c r="E1170" s="84" t="s">
        <v>18</v>
      </c>
      <c r="F1170" s="145" t="s">
        <v>8</v>
      </c>
    </row>
    <row r="1171" spans="1:6">
      <c r="A1171" s="211"/>
      <c r="B1171" s="15" t="s">
        <v>68</v>
      </c>
      <c r="C1171" s="84"/>
      <c r="D1171" s="85">
        <f>6.15+7.36+6.15+7.36</f>
        <v>27.020000000000003</v>
      </c>
      <c r="E1171" s="85">
        <v>1.2</v>
      </c>
      <c r="F1171" s="238">
        <f>E1171*D1171</f>
        <v>32.423999999999999</v>
      </c>
    </row>
    <row r="1172" spans="1:6">
      <c r="A1172" s="211"/>
      <c r="B1172" s="15" t="s">
        <v>162</v>
      </c>
      <c r="C1172" s="84"/>
      <c r="D1172" s="85">
        <f>3*2.24</f>
        <v>6.7200000000000006</v>
      </c>
      <c r="E1172" s="85">
        <v>0.3</v>
      </c>
      <c r="F1172" s="238">
        <f>E1172*D1172</f>
        <v>2.016</v>
      </c>
    </row>
    <row r="1173" spans="1:6">
      <c r="A1173" s="211"/>
      <c r="B1173" s="15" t="s">
        <v>70</v>
      </c>
      <c r="C1173" s="84"/>
      <c r="D1173" s="85">
        <v>0.9</v>
      </c>
      <c r="E1173" s="85">
        <v>1.2</v>
      </c>
      <c r="F1173" s="238">
        <f>E1173*D1173</f>
        <v>1.08</v>
      </c>
    </row>
    <row r="1174" spans="1:6">
      <c r="A1174" s="211"/>
      <c r="B1174" s="361" t="s">
        <v>14</v>
      </c>
      <c r="C1174" s="361"/>
      <c r="D1174" s="361"/>
      <c r="E1174" s="361"/>
      <c r="F1174" s="216">
        <f>F1171-F1172-F1173</f>
        <v>29.328000000000003</v>
      </c>
    </row>
    <row r="1175" spans="1:6">
      <c r="A1175" s="211"/>
      <c r="B1175" s="15" t="s">
        <v>75</v>
      </c>
      <c r="C1175" s="84" t="s">
        <v>16</v>
      </c>
      <c r="D1175" s="84" t="s">
        <v>19</v>
      </c>
      <c r="E1175" s="84" t="s">
        <v>18</v>
      </c>
      <c r="F1175" s="145" t="s">
        <v>8</v>
      </c>
    </row>
    <row r="1176" spans="1:6">
      <c r="A1176" s="211"/>
      <c r="B1176" s="15" t="s">
        <v>68</v>
      </c>
      <c r="C1176" s="84"/>
      <c r="D1176" s="85">
        <f>6.15+7.36+6.15+7.36</f>
        <v>27.020000000000003</v>
      </c>
      <c r="E1176" s="85">
        <v>1.2</v>
      </c>
      <c r="F1176" s="238">
        <f>E1176*D1176</f>
        <v>32.423999999999999</v>
      </c>
    </row>
    <row r="1177" spans="1:6">
      <c r="A1177" s="211"/>
      <c r="B1177" s="15" t="s">
        <v>162</v>
      </c>
      <c r="C1177" s="84"/>
      <c r="D1177" s="85">
        <f>3*2.24</f>
        <v>6.7200000000000006</v>
      </c>
      <c r="E1177" s="85">
        <v>0.3</v>
      </c>
      <c r="F1177" s="238">
        <f>E1177*D1177</f>
        <v>2.016</v>
      </c>
    </row>
    <row r="1178" spans="1:6">
      <c r="A1178" s="211"/>
      <c r="B1178" s="15" t="s">
        <v>70</v>
      </c>
      <c r="C1178" s="84"/>
      <c r="D1178" s="85">
        <v>0.9</v>
      </c>
      <c r="E1178" s="85">
        <v>1.2</v>
      </c>
      <c r="F1178" s="238">
        <f>E1178*D1178</f>
        <v>1.08</v>
      </c>
    </row>
    <row r="1179" spans="1:6">
      <c r="A1179" s="211"/>
      <c r="B1179" s="361" t="s">
        <v>14</v>
      </c>
      <c r="C1179" s="361"/>
      <c r="D1179" s="361"/>
      <c r="E1179" s="361"/>
      <c r="F1179" s="216">
        <f>F1176-F1177-F1178</f>
        <v>29.328000000000003</v>
      </c>
    </row>
    <row r="1180" spans="1:6">
      <c r="A1180" s="211"/>
      <c r="B1180" s="15" t="s">
        <v>76</v>
      </c>
      <c r="C1180" s="84" t="s">
        <v>16</v>
      </c>
      <c r="D1180" s="84" t="s">
        <v>19</v>
      </c>
      <c r="E1180" s="84" t="s">
        <v>18</v>
      </c>
      <c r="F1180" s="145" t="s">
        <v>8</v>
      </c>
    </row>
    <row r="1181" spans="1:6">
      <c r="A1181" s="211"/>
      <c r="B1181" s="15" t="s">
        <v>68</v>
      </c>
      <c r="C1181" s="84"/>
      <c r="D1181" s="85">
        <f>6.15+7.36+6.15+7.36</f>
        <v>27.020000000000003</v>
      </c>
      <c r="E1181" s="85">
        <v>1.2</v>
      </c>
      <c r="F1181" s="238">
        <f>E1181*D1181</f>
        <v>32.423999999999999</v>
      </c>
    </row>
    <row r="1182" spans="1:6">
      <c r="A1182" s="211"/>
      <c r="B1182" s="15" t="s">
        <v>162</v>
      </c>
      <c r="C1182" s="84"/>
      <c r="D1182" s="85">
        <f>3*2.24</f>
        <v>6.7200000000000006</v>
      </c>
      <c r="E1182" s="85">
        <v>0.3</v>
      </c>
      <c r="F1182" s="238">
        <f>E1182*D1182</f>
        <v>2.016</v>
      </c>
    </row>
    <row r="1183" spans="1:6">
      <c r="A1183" s="211"/>
      <c r="B1183" s="15" t="s">
        <v>70</v>
      </c>
      <c r="C1183" s="84"/>
      <c r="D1183" s="85">
        <v>0.9</v>
      </c>
      <c r="E1183" s="85">
        <v>1.2</v>
      </c>
      <c r="F1183" s="238">
        <f>E1183*D1183</f>
        <v>1.08</v>
      </c>
    </row>
    <row r="1184" spans="1:6">
      <c r="A1184" s="211"/>
      <c r="B1184" s="361" t="s">
        <v>14</v>
      </c>
      <c r="C1184" s="361"/>
      <c r="D1184" s="361"/>
      <c r="E1184" s="361"/>
      <c r="F1184" s="216">
        <f>F1181-F1182-F1183</f>
        <v>29.328000000000003</v>
      </c>
    </row>
    <row r="1185" spans="1:6">
      <c r="A1185" s="211"/>
      <c r="B1185" s="15" t="s">
        <v>77</v>
      </c>
      <c r="C1185" s="84" t="s">
        <v>16</v>
      </c>
      <c r="D1185" s="84" t="s">
        <v>19</v>
      </c>
      <c r="E1185" s="84" t="s">
        <v>18</v>
      </c>
      <c r="F1185" s="145" t="s">
        <v>8</v>
      </c>
    </row>
    <row r="1186" spans="1:6">
      <c r="A1186" s="211"/>
      <c r="B1186" s="15" t="s">
        <v>68</v>
      </c>
      <c r="C1186" s="84"/>
      <c r="D1186" s="85">
        <f>6.15+7.36+6.15+7.36</f>
        <v>27.020000000000003</v>
      </c>
      <c r="E1186" s="85">
        <v>1.2</v>
      </c>
      <c r="F1186" s="238">
        <f>E1186*D1186</f>
        <v>32.423999999999999</v>
      </c>
    </row>
    <row r="1187" spans="1:6">
      <c r="A1187" s="211"/>
      <c r="B1187" s="15" t="s">
        <v>162</v>
      </c>
      <c r="C1187" s="84"/>
      <c r="D1187" s="85">
        <f>3*2.24</f>
        <v>6.7200000000000006</v>
      </c>
      <c r="E1187" s="85">
        <v>0.3</v>
      </c>
      <c r="F1187" s="238">
        <f>E1187*D1187</f>
        <v>2.016</v>
      </c>
    </row>
    <row r="1188" spans="1:6">
      <c r="A1188" s="211"/>
      <c r="B1188" s="15" t="s">
        <v>70</v>
      </c>
      <c r="C1188" s="84"/>
      <c r="D1188" s="85">
        <v>0.9</v>
      </c>
      <c r="E1188" s="85">
        <v>1.2</v>
      </c>
      <c r="F1188" s="238">
        <f>E1188*D1188</f>
        <v>1.08</v>
      </c>
    </row>
    <row r="1189" spans="1:6">
      <c r="A1189" s="211"/>
      <c r="B1189" s="361" t="s">
        <v>14</v>
      </c>
      <c r="C1189" s="361"/>
      <c r="D1189" s="361"/>
      <c r="E1189" s="361"/>
      <c r="F1189" s="216">
        <f>F1186-F1187-F1188</f>
        <v>29.328000000000003</v>
      </c>
    </row>
    <row r="1190" spans="1:6">
      <c r="A1190" s="211"/>
      <c r="B1190" s="15" t="s">
        <v>78</v>
      </c>
      <c r="C1190" s="84" t="s">
        <v>16</v>
      </c>
      <c r="D1190" s="84" t="s">
        <v>19</v>
      </c>
      <c r="E1190" s="84" t="s">
        <v>18</v>
      </c>
      <c r="F1190" s="145" t="s">
        <v>8</v>
      </c>
    </row>
    <row r="1191" spans="1:6">
      <c r="A1191" s="211"/>
      <c r="B1191" s="15" t="s">
        <v>68</v>
      </c>
      <c r="C1191" s="84"/>
      <c r="D1191" s="85">
        <f>6.15+7.36+6.15+7.36</f>
        <v>27.020000000000003</v>
      </c>
      <c r="E1191" s="85">
        <v>1.2</v>
      </c>
      <c r="F1191" s="238">
        <f>E1191*D1191</f>
        <v>32.423999999999999</v>
      </c>
    </row>
    <row r="1192" spans="1:6">
      <c r="A1192" s="211"/>
      <c r="B1192" s="15" t="s">
        <v>162</v>
      </c>
      <c r="C1192" s="84"/>
      <c r="D1192" s="85">
        <f>3*2.24</f>
        <v>6.7200000000000006</v>
      </c>
      <c r="E1192" s="85">
        <v>0.3</v>
      </c>
      <c r="F1192" s="238">
        <f>E1192*D1192</f>
        <v>2.016</v>
      </c>
    </row>
    <row r="1193" spans="1:6">
      <c r="A1193" s="211"/>
      <c r="B1193" s="15" t="s">
        <v>70</v>
      </c>
      <c r="C1193" s="84"/>
      <c r="D1193" s="85">
        <v>0.9</v>
      </c>
      <c r="E1193" s="85">
        <v>1.2</v>
      </c>
      <c r="F1193" s="238">
        <f>E1193*D1193</f>
        <v>1.08</v>
      </c>
    </row>
    <row r="1194" spans="1:6">
      <c r="A1194" s="211"/>
      <c r="B1194" s="361" t="s">
        <v>14</v>
      </c>
      <c r="C1194" s="361"/>
      <c r="D1194" s="361"/>
      <c r="E1194" s="361"/>
      <c r="F1194" s="216">
        <f>F1191-F1192-F1193</f>
        <v>29.328000000000003</v>
      </c>
    </row>
    <row r="1195" spans="1:6">
      <c r="A1195" s="211"/>
      <c r="B1195" s="15" t="s">
        <v>79</v>
      </c>
      <c r="C1195" s="84" t="s">
        <v>16</v>
      </c>
      <c r="D1195" s="84" t="s">
        <v>19</v>
      </c>
      <c r="E1195" s="84" t="s">
        <v>18</v>
      </c>
      <c r="F1195" s="145" t="s">
        <v>8</v>
      </c>
    </row>
    <row r="1196" spans="1:6">
      <c r="A1196" s="211"/>
      <c r="B1196" s="15" t="s">
        <v>68</v>
      </c>
      <c r="C1196" s="84"/>
      <c r="D1196" s="85">
        <f>6.15+7.36+6.15+7.36</f>
        <v>27.020000000000003</v>
      </c>
      <c r="E1196" s="85">
        <v>1.2</v>
      </c>
      <c r="F1196" s="238">
        <f>E1196*D1196</f>
        <v>32.423999999999999</v>
      </c>
    </row>
    <row r="1197" spans="1:6">
      <c r="A1197" s="211"/>
      <c r="B1197" s="15" t="s">
        <v>162</v>
      </c>
      <c r="C1197" s="84"/>
      <c r="D1197" s="85">
        <f>3*2.24</f>
        <v>6.7200000000000006</v>
      </c>
      <c r="E1197" s="85">
        <v>0.3</v>
      </c>
      <c r="F1197" s="238">
        <f>E1197*D1197</f>
        <v>2.016</v>
      </c>
    </row>
    <row r="1198" spans="1:6">
      <c r="A1198" s="211"/>
      <c r="B1198" s="15" t="s">
        <v>70</v>
      </c>
      <c r="C1198" s="84"/>
      <c r="D1198" s="85">
        <v>0.9</v>
      </c>
      <c r="E1198" s="85">
        <v>1.2</v>
      </c>
      <c r="F1198" s="238">
        <f>E1198*D1198</f>
        <v>1.08</v>
      </c>
    </row>
    <row r="1199" spans="1:6">
      <c r="A1199" s="211"/>
      <c r="B1199" s="361" t="s">
        <v>14</v>
      </c>
      <c r="C1199" s="361"/>
      <c r="D1199" s="361"/>
      <c r="E1199" s="361"/>
      <c r="F1199" s="216">
        <f>F1196-F1197-F1198</f>
        <v>29.328000000000003</v>
      </c>
    </row>
    <row r="1200" spans="1:6">
      <c r="A1200" s="211"/>
      <c r="B1200" s="15" t="s">
        <v>80</v>
      </c>
      <c r="C1200" s="84" t="s">
        <v>16</v>
      </c>
      <c r="D1200" s="84" t="s">
        <v>19</v>
      </c>
      <c r="E1200" s="84" t="s">
        <v>18</v>
      </c>
      <c r="F1200" s="145" t="s">
        <v>8</v>
      </c>
    </row>
    <row r="1201" spans="1:6">
      <c r="A1201" s="211"/>
      <c r="B1201" s="15" t="s">
        <v>68</v>
      </c>
      <c r="C1201" s="84"/>
      <c r="D1201" s="85">
        <f>6.15+7.36+6.15+7.36</f>
        <v>27.020000000000003</v>
      </c>
      <c r="E1201" s="85">
        <v>1.2</v>
      </c>
      <c r="F1201" s="238">
        <f>E1201*D1201</f>
        <v>32.423999999999999</v>
      </c>
    </row>
    <row r="1202" spans="1:6">
      <c r="A1202" s="211"/>
      <c r="B1202" s="15" t="s">
        <v>162</v>
      </c>
      <c r="C1202" s="84"/>
      <c r="D1202" s="85">
        <f>3*2.24</f>
        <v>6.7200000000000006</v>
      </c>
      <c r="E1202" s="85">
        <v>0.3</v>
      </c>
      <c r="F1202" s="238">
        <f>E1202*D1202</f>
        <v>2.016</v>
      </c>
    </row>
    <row r="1203" spans="1:6">
      <c r="A1203" s="211"/>
      <c r="B1203" s="15" t="s">
        <v>70</v>
      </c>
      <c r="C1203" s="84"/>
      <c r="D1203" s="85">
        <v>0.9</v>
      </c>
      <c r="E1203" s="85">
        <v>1.2</v>
      </c>
      <c r="F1203" s="238">
        <f>E1203*D1203</f>
        <v>1.08</v>
      </c>
    </row>
    <row r="1204" spans="1:6">
      <c r="A1204" s="211"/>
      <c r="B1204" s="361" t="s">
        <v>14</v>
      </c>
      <c r="C1204" s="361"/>
      <c r="D1204" s="361"/>
      <c r="E1204" s="361"/>
      <c r="F1204" s="216">
        <f>F1201-F1202-F1203</f>
        <v>29.328000000000003</v>
      </c>
    </row>
    <row r="1205" spans="1:6">
      <c r="A1205" s="211"/>
      <c r="B1205" s="15" t="s">
        <v>81</v>
      </c>
      <c r="C1205" s="84" t="s">
        <v>16</v>
      </c>
      <c r="D1205" s="84" t="s">
        <v>19</v>
      </c>
      <c r="E1205" s="84" t="s">
        <v>18</v>
      </c>
      <c r="F1205" s="145" t="s">
        <v>8</v>
      </c>
    </row>
    <row r="1206" spans="1:6">
      <c r="A1206" s="211"/>
      <c r="B1206" s="15" t="s">
        <v>68</v>
      </c>
      <c r="C1206" s="84"/>
      <c r="D1206" s="85">
        <f>6.15+7.36+6.15+7.36</f>
        <v>27.020000000000003</v>
      </c>
      <c r="E1206" s="85">
        <v>1.2</v>
      </c>
      <c r="F1206" s="238">
        <f>E1206*D1206</f>
        <v>32.423999999999999</v>
      </c>
    </row>
    <row r="1207" spans="1:6">
      <c r="A1207" s="211"/>
      <c r="B1207" s="15" t="s">
        <v>162</v>
      </c>
      <c r="C1207" s="84"/>
      <c r="D1207" s="85">
        <f>3*2.24</f>
        <v>6.7200000000000006</v>
      </c>
      <c r="E1207" s="85">
        <v>0.3</v>
      </c>
      <c r="F1207" s="238">
        <f>E1207*D1207</f>
        <v>2.016</v>
      </c>
    </row>
    <row r="1208" spans="1:6">
      <c r="A1208" s="211"/>
      <c r="B1208" s="15" t="s">
        <v>70</v>
      </c>
      <c r="C1208" s="84"/>
      <c r="D1208" s="85">
        <v>0.9</v>
      </c>
      <c r="E1208" s="85">
        <v>1.2</v>
      </c>
      <c r="F1208" s="238">
        <f>E1208*D1208</f>
        <v>1.08</v>
      </c>
    </row>
    <row r="1209" spans="1:6" ht="16.5" customHeight="1">
      <c r="A1209" s="211"/>
      <c r="B1209" s="361" t="s">
        <v>14</v>
      </c>
      <c r="C1209" s="361"/>
      <c r="D1209" s="361"/>
      <c r="E1209" s="361"/>
      <c r="F1209" s="216">
        <f>F1206-F1207-F1208</f>
        <v>29.328000000000003</v>
      </c>
    </row>
    <row r="1210" spans="1:6">
      <c r="A1210" s="211"/>
      <c r="B1210" s="15" t="s">
        <v>32</v>
      </c>
      <c r="C1210" s="84" t="s">
        <v>16</v>
      </c>
      <c r="D1210" s="84" t="s">
        <v>19</v>
      </c>
      <c r="E1210" s="84" t="s">
        <v>18</v>
      </c>
      <c r="F1210" s="145" t="s">
        <v>8</v>
      </c>
    </row>
    <row r="1211" spans="1:6">
      <c r="A1211" s="211"/>
      <c r="B1211" s="15" t="s">
        <v>82</v>
      </c>
      <c r="C1211" s="84"/>
      <c r="D1211" s="85">
        <f>4.86+2.35+4.86+2.35</f>
        <v>14.42</v>
      </c>
      <c r="E1211" s="85">
        <v>1.2</v>
      </c>
      <c r="F1211" s="238">
        <f>E1211*D1211</f>
        <v>17.303999999999998</v>
      </c>
    </row>
    <row r="1212" spans="1:6">
      <c r="A1212" s="211"/>
      <c r="B1212" s="15" t="s">
        <v>70</v>
      </c>
      <c r="C1212" s="84"/>
      <c r="D1212" s="85">
        <v>0.9</v>
      </c>
      <c r="E1212" s="85">
        <v>1.2</v>
      </c>
      <c r="F1212" s="238">
        <f>E1212*D1212</f>
        <v>1.08</v>
      </c>
    </row>
    <row r="1213" spans="1:6">
      <c r="A1213" s="211"/>
      <c r="B1213" s="361" t="s">
        <v>14</v>
      </c>
      <c r="C1213" s="361"/>
      <c r="D1213" s="361"/>
      <c r="E1213" s="361"/>
      <c r="F1213" s="216">
        <f>F1211-F1212</f>
        <v>16.223999999999997</v>
      </c>
    </row>
    <row r="1214" spans="1:6">
      <c r="A1214" s="211"/>
      <c r="B1214" s="15" t="s">
        <v>28</v>
      </c>
      <c r="C1214" s="84" t="s">
        <v>16</v>
      </c>
      <c r="D1214" s="84" t="s">
        <v>19</v>
      </c>
      <c r="E1214" s="84" t="s">
        <v>18</v>
      </c>
      <c r="F1214" s="145" t="s">
        <v>8</v>
      </c>
    </row>
    <row r="1215" spans="1:6">
      <c r="A1215" s="211"/>
      <c r="B1215" s="15" t="s">
        <v>83</v>
      </c>
      <c r="C1215" s="84"/>
      <c r="D1215" s="85">
        <f>17.55+2.35+17.55</f>
        <v>37.450000000000003</v>
      </c>
      <c r="E1215" s="85">
        <v>1.2</v>
      </c>
      <c r="F1215" s="238">
        <f>E1215*D1215</f>
        <v>44.940000000000005</v>
      </c>
    </row>
    <row r="1216" spans="1:6">
      <c r="A1216" s="211"/>
      <c r="B1216" s="15" t="s">
        <v>84</v>
      </c>
      <c r="C1216" s="84"/>
      <c r="D1216" s="85">
        <f>7*0.9</f>
        <v>6.3</v>
      </c>
      <c r="E1216" s="85">
        <v>1.2</v>
      </c>
      <c r="F1216" s="238">
        <f>E1216*D1216</f>
        <v>7.56</v>
      </c>
    </row>
    <row r="1217" spans="1:6">
      <c r="A1217" s="211"/>
      <c r="B1217" s="361" t="s">
        <v>14</v>
      </c>
      <c r="C1217" s="361"/>
      <c r="D1217" s="361"/>
      <c r="E1217" s="361"/>
      <c r="F1217" s="216">
        <f>F1215-F1216</f>
        <v>37.380000000000003</v>
      </c>
    </row>
    <row r="1218" spans="1:6">
      <c r="A1218" s="211"/>
      <c r="B1218" s="15" t="s">
        <v>46</v>
      </c>
      <c r="C1218" s="84" t="s">
        <v>16</v>
      </c>
      <c r="D1218" s="84" t="s">
        <v>19</v>
      </c>
      <c r="E1218" s="84" t="s">
        <v>18</v>
      </c>
      <c r="F1218" s="145" t="s">
        <v>8</v>
      </c>
    </row>
    <row r="1219" spans="1:6">
      <c r="A1219" s="211"/>
      <c r="B1219" s="15" t="s">
        <v>85</v>
      </c>
      <c r="C1219" s="84"/>
      <c r="D1219" s="85">
        <f>6.15+7.35+2.08+2.5+4.07+4.85</f>
        <v>27</v>
      </c>
      <c r="E1219" s="85">
        <v>1.2</v>
      </c>
      <c r="F1219" s="238">
        <f>E1219*D1219</f>
        <v>32.4</v>
      </c>
    </row>
    <row r="1220" spans="1:6">
      <c r="A1220" s="211"/>
      <c r="B1220" s="15" t="s">
        <v>162</v>
      </c>
      <c r="C1220" s="84"/>
      <c r="D1220" s="85">
        <f>3*2.24</f>
        <v>6.7200000000000006</v>
      </c>
      <c r="E1220" s="85">
        <v>0.3</v>
      </c>
      <c r="F1220" s="238">
        <f>E1220*D1220</f>
        <v>2.016</v>
      </c>
    </row>
    <row r="1221" spans="1:6">
      <c r="A1221" s="211"/>
      <c r="B1221" s="15" t="s">
        <v>70</v>
      </c>
      <c r="C1221" s="84"/>
      <c r="D1221" s="85">
        <v>0.9</v>
      </c>
      <c r="E1221" s="85">
        <v>1.2</v>
      </c>
      <c r="F1221" s="238">
        <f>E1221*D1221</f>
        <v>1.08</v>
      </c>
    </row>
    <row r="1222" spans="1:6">
      <c r="A1222" s="211"/>
      <c r="B1222" s="361" t="s">
        <v>14</v>
      </c>
      <c r="C1222" s="361"/>
      <c r="D1222" s="361"/>
      <c r="E1222" s="361"/>
      <c r="F1222" s="216">
        <f>F1219-F1220-F1221</f>
        <v>29.304000000000002</v>
      </c>
    </row>
    <row r="1223" spans="1:6">
      <c r="A1223" s="211"/>
      <c r="B1223" s="15" t="s">
        <v>620</v>
      </c>
      <c r="C1223" s="84" t="s">
        <v>16</v>
      </c>
      <c r="D1223" s="84" t="s">
        <v>19</v>
      </c>
      <c r="E1223" s="84" t="s">
        <v>18</v>
      </c>
      <c r="F1223" s="145" t="s">
        <v>8</v>
      </c>
    </row>
    <row r="1224" spans="1:6">
      <c r="A1224" s="211"/>
      <c r="B1224" s="15" t="s">
        <v>86</v>
      </c>
      <c r="C1224" s="84"/>
      <c r="D1224" s="85">
        <f>6.5+7.35+6.5+7.28+4.09+2.35+4.09</f>
        <v>38.159999999999997</v>
      </c>
      <c r="E1224" s="85">
        <v>1.2</v>
      </c>
      <c r="F1224" s="241">
        <f>D1224*E1224</f>
        <v>45.791999999999994</v>
      </c>
    </row>
    <row r="1225" spans="1:6">
      <c r="A1225" s="211"/>
      <c r="B1225" s="15" t="s">
        <v>87</v>
      </c>
      <c r="C1225" s="84"/>
      <c r="D1225" s="85">
        <v>0.9</v>
      </c>
      <c r="E1225" s="85">
        <v>1.2</v>
      </c>
      <c r="F1225" s="238">
        <f>E1225*D1225</f>
        <v>1.08</v>
      </c>
    </row>
    <row r="1226" spans="1:6">
      <c r="A1226" s="211"/>
      <c r="B1226" s="15" t="s">
        <v>88</v>
      </c>
      <c r="C1226" s="84"/>
      <c r="D1226" s="85">
        <f>3*2.24</f>
        <v>6.7200000000000006</v>
      </c>
      <c r="E1226" s="85">
        <v>1.2</v>
      </c>
      <c r="F1226" s="238">
        <f>E1226*D1226</f>
        <v>8.0640000000000001</v>
      </c>
    </row>
    <row r="1227" spans="1:6">
      <c r="A1227" s="211"/>
      <c r="B1227" s="70" t="s">
        <v>319</v>
      </c>
      <c r="C1227" s="62"/>
      <c r="D1227" s="188">
        <f>0.3+0.3+0.9</f>
        <v>1.5</v>
      </c>
      <c r="E1227" s="63">
        <v>1.2</v>
      </c>
      <c r="F1227" s="219">
        <f>E1227*D1227</f>
        <v>1.7999999999999998</v>
      </c>
    </row>
    <row r="1228" spans="1:6">
      <c r="A1228" s="211"/>
      <c r="B1228" s="70" t="s">
        <v>214</v>
      </c>
      <c r="C1228" s="62"/>
      <c r="D1228" s="188">
        <v>0.7</v>
      </c>
      <c r="E1228" s="63">
        <v>0.85</v>
      </c>
      <c r="F1228" s="219">
        <f>E1228*D1228</f>
        <v>0.59499999999999997</v>
      </c>
    </row>
    <row r="1229" spans="1:6">
      <c r="A1229" s="211"/>
      <c r="B1229" s="361" t="s">
        <v>14</v>
      </c>
      <c r="C1229" s="361"/>
      <c r="D1229" s="361"/>
      <c r="E1229" s="361"/>
      <c r="F1229" s="216">
        <f>F1224-F1225-F1226+F1227-F1228</f>
        <v>37.852999999999994</v>
      </c>
    </row>
    <row r="1230" spans="1:6">
      <c r="A1230" s="211"/>
      <c r="B1230" s="15" t="s">
        <v>34</v>
      </c>
      <c r="C1230" s="84" t="s">
        <v>16</v>
      </c>
      <c r="D1230" s="84" t="s">
        <v>19</v>
      </c>
      <c r="E1230" s="84" t="s">
        <v>18</v>
      </c>
      <c r="F1230" s="145" t="s">
        <v>8</v>
      </c>
    </row>
    <row r="1231" spans="1:6">
      <c r="A1231" s="211"/>
      <c r="B1231" s="15" t="s">
        <v>89</v>
      </c>
      <c r="C1231" s="84"/>
      <c r="D1231" s="85">
        <f xml:space="preserve"> 20.17+20.17+2.35</f>
        <v>42.690000000000005</v>
      </c>
      <c r="E1231" s="85">
        <v>1.2</v>
      </c>
      <c r="F1231" s="241">
        <f>D1231*E1231</f>
        <v>51.228000000000002</v>
      </c>
    </row>
    <row r="1232" spans="1:6">
      <c r="A1232" s="211"/>
      <c r="B1232" s="15" t="s">
        <v>90</v>
      </c>
      <c r="C1232" s="84"/>
      <c r="D1232" s="85">
        <f>7*0.9</f>
        <v>6.3</v>
      </c>
      <c r="E1232" s="85">
        <v>1.2</v>
      </c>
      <c r="F1232" s="238">
        <f>E1232*D1232</f>
        <v>7.56</v>
      </c>
    </row>
    <row r="1233" spans="1:6">
      <c r="A1233" s="211"/>
      <c r="B1233" s="361" t="s">
        <v>14</v>
      </c>
      <c r="C1233" s="361"/>
      <c r="D1233" s="361"/>
      <c r="E1233" s="361"/>
      <c r="F1233" s="216">
        <f>F1231-F1232</f>
        <v>43.667999999999999</v>
      </c>
    </row>
    <row r="1234" spans="1:6">
      <c r="A1234" s="211"/>
      <c r="B1234" s="15" t="s">
        <v>31</v>
      </c>
      <c r="C1234" s="84" t="s">
        <v>16</v>
      </c>
      <c r="D1234" s="84" t="s">
        <v>19</v>
      </c>
      <c r="E1234" s="84" t="s">
        <v>18</v>
      </c>
      <c r="F1234" s="145" t="s">
        <v>8</v>
      </c>
    </row>
    <row r="1235" spans="1:6">
      <c r="A1235" s="211"/>
      <c r="B1235" s="15" t="s">
        <v>27</v>
      </c>
      <c r="C1235" s="84"/>
      <c r="D1235" s="85">
        <f>2.35+2.35+2.35+2.35</f>
        <v>9.4</v>
      </c>
      <c r="E1235" s="85">
        <v>1.2</v>
      </c>
      <c r="F1235" s="241">
        <f>D1235*E1235</f>
        <v>11.28</v>
      </c>
    </row>
    <row r="1236" spans="1:6">
      <c r="A1236" s="211"/>
      <c r="B1236" s="15" t="s">
        <v>91</v>
      </c>
      <c r="C1236" s="84"/>
      <c r="D1236" s="85">
        <v>0.9</v>
      </c>
      <c r="E1236" s="85">
        <v>1.2</v>
      </c>
      <c r="F1236" s="241">
        <f>D1236*E1236</f>
        <v>1.08</v>
      </c>
    </row>
    <row r="1237" spans="1:6">
      <c r="A1237" s="211"/>
      <c r="B1237" s="361" t="s">
        <v>14</v>
      </c>
      <c r="C1237" s="361"/>
      <c r="D1237" s="361"/>
      <c r="E1237" s="361"/>
      <c r="F1237" s="216">
        <f>F1235-F1236</f>
        <v>10.199999999999999</v>
      </c>
    </row>
    <row r="1238" spans="1:6">
      <c r="A1238" s="211"/>
      <c r="B1238" s="20" t="s">
        <v>171</v>
      </c>
      <c r="C1238" s="174"/>
      <c r="D1238" s="174"/>
      <c r="E1238" s="174"/>
      <c r="F1238" s="216"/>
    </row>
    <row r="1239" spans="1:6">
      <c r="A1239" s="211"/>
      <c r="B1239" s="15" t="s">
        <v>168</v>
      </c>
      <c r="C1239" s="39" t="s">
        <v>16</v>
      </c>
      <c r="D1239" s="45" t="s">
        <v>95</v>
      </c>
      <c r="E1239" s="45" t="s">
        <v>18</v>
      </c>
      <c r="F1239" s="145" t="s">
        <v>9</v>
      </c>
    </row>
    <row r="1240" spans="1:6">
      <c r="A1240" s="14"/>
      <c r="B1240" s="15" t="s">
        <v>172</v>
      </c>
      <c r="C1240" s="18"/>
      <c r="D1240" s="181">
        <v>3</v>
      </c>
      <c r="E1240" s="41">
        <v>1.2</v>
      </c>
      <c r="F1240" s="241">
        <f>E1240*D1240</f>
        <v>3.5999999999999996</v>
      </c>
    </row>
    <row r="1241" spans="1:6">
      <c r="A1241" s="211"/>
      <c r="B1241" s="437" t="s">
        <v>14</v>
      </c>
      <c r="C1241" s="438"/>
      <c r="D1241" s="438"/>
      <c r="E1241" s="391"/>
      <c r="F1241" s="216">
        <f>F1240</f>
        <v>3.5999999999999996</v>
      </c>
    </row>
    <row r="1242" spans="1:6">
      <c r="A1242" s="211"/>
      <c r="B1242" s="15" t="s">
        <v>885</v>
      </c>
      <c r="C1242" s="39" t="s">
        <v>16</v>
      </c>
      <c r="D1242" s="45" t="s">
        <v>19</v>
      </c>
      <c r="E1242" s="45" t="s">
        <v>18</v>
      </c>
      <c r="F1242" s="145" t="s">
        <v>9</v>
      </c>
    </row>
    <row r="1243" spans="1:6">
      <c r="A1243" s="211"/>
      <c r="B1243" s="142" t="s">
        <v>887</v>
      </c>
      <c r="C1243" s="18"/>
      <c r="D1243" s="181">
        <f>5+(0.5*0.5)</f>
        <v>5.25</v>
      </c>
      <c r="E1243" s="41">
        <v>2.1</v>
      </c>
      <c r="F1243" s="241">
        <f>D1243*E1243+(0.5*0.5)</f>
        <v>11.275</v>
      </c>
    </row>
    <row r="1244" spans="1:6">
      <c r="A1244" s="211"/>
      <c r="B1244" s="357" t="s">
        <v>14</v>
      </c>
      <c r="C1244" s="357"/>
      <c r="D1244" s="357"/>
      <c r="E1244" s="357"/>
      <c r="F1244" s="216">
        <f>F1243</f>
        <v>11.275</v>
      </c>
    </row>
    <row r="1245" spans="1:6">
      <c r="A1245" s="416" t="s">
        <v>181</v>
      </c>
      <c r="B1245" s="417"/>
      <c r="C1245" s="417"/>
      <c r="D1245" s="417"/>
      <c r="E1245" s="417"/>
      <c r="F1245" s="216">
        <v>1805.23</v>
      </c>
    </row>
    <row r="1246" spans="1:6">
      <c r="A1246" s="233" t="str">
        <f>ORÇAMENTO!A109</f>
        <v>16.2</v>
      </c>
      <c r="B1246" s="102" t="s">
        <v>788</v>
      </c>
      <c r="C1246" s="189" t="s">
        <v>16</v>
      </c>
      <c r="D1246" s="189" t="s">
        <v>19</v>
      </c>
      <c r="E1246" s="189" t="s">
        <v>18</v>
      </c>
      <c r="F1246" s="252" t="s">
        <v>8</v>
      </c>
    </row>
    <row r="1247" spans="1:6">
      <c r="A1247" s="211"/>
      <c r="B1247" s="365" t="s">
        <v>678</v>
      </c>
      <c r="C1247" s="365"/>
      <c r="D1247" s="365"/>
      <c r="E1247" s="365"/>
      <c r="F1247" s="366"/>
    </row>
    <row r="1248" spans="1:6">
      <c r="A1248" s="201"/>
      <c r="B1248" s="168" t="s">
        <v>679</v>
      </c>
      <c r="C1248" s="174"/>
      <c r="D1248" s="174"/>
      <c r="E1248" s="174"/>
      <c r="F1248" s="213"/>
    </row>
    <row r="1249" spans="1:6">
      <c r="A1249" s="201"/>
      <c r="B1249" s="15" t="s">
        <v>585</v>
      </c>
      <c r="C1249" s="48" t="s">
        <v>16</v>
      </c>
      <c r="D1249" s="181" t="s">
        <v>19</v>
      </c>
      <c r="E1249" s="41" t="s">
        <v>18</v>
      </c>
      <c r="F1249" s="242" t="s">
        <v>8</v>
      </c>
    </row>
    <row r="1250" spans="1:6">
      <c r="A1250" s="201"/>
      <c r="B1250" s="15" t="s">
        <v>680</v>
      </c>
      <c r="C1250" s="18"/>
      <c r="D1250" s="179">
        <f>5.6+4.85+2+5.25+2+2.35+2+12.74+2.15+2.41+5.75+27.4</f>
        <v>74.5</v>
      </c>
      <c r="E1250" s="179">
        <v>1.8</v>
      </c>
      <c r="F1250" s="237">
        <f>D1250*E1250</f>
        <v>134.1</v>
      </c>
    </row>
    <row r="1251" spans="1:6">
      <c r="A1251" s="201"/>
      <c r="B1251" s="32" t="s">
        <v>681</v>
      </c>
      <c r="C1251" s="72"/>
      <c r="D1251" s="187">
        <f>18*2.24</f>
        <v>40.320000000000007</v>
      </c>
      <c r="E1251" s="187">
        <v>0.35</v>
      </c>
      <c r="F1251" s="237">
        <f>D1251*E1251</f>
        <v>14.112000000000002</v>
      </c>
    </row>
    <row r="1252" spans="1:6">
      <c r="A1252" s="201"/>
      <c r="B1252" s="100" t="s">
        <v>682</v>
      </c>
      <c r="C1252" s="16"/>
      <c r="D1252" s="172">
        <f>2.25</f>
        <v>2.25</v>
      </c>
      <c r="E1252" s="172">
        <v>1</v>
      </c>
      <c r="F1252" s="237">
        <f>E1252*D1252</f>
        <v>2.25</v>
      </c>
    </row>
    <row r="1253" spans="1:6">
      <c r="A1253" s="201"/>
      <c r="B1253" s="15" t="s">
        <v>683</v>
      </c>
      <c r="C1253" s="18"/>
      <c r="D1253" s="172">
        <f>9*0.9</f>
        <v>8.1</v>
      </c>
      <c r="E1253" s="42">
        <v>1.8</v>
      </c>
      <c r="F1253" s="237">
        <f>D1253*E1253</f>
        <v>14.58</v>
      </c>
    </row>
    <row r="1254" spans="1:6">
      <c r="A1254" s="201"/>
      <c r="B1254" s="100" t="s">
        <v>614</v>
      </c>
      <c r="C1254" s="16"/>
      <c r="D1254" s="172">
        <f>2.25</f>
        <v>2.25</v>
      </c>
      <c r="E1254" s="172">
        <v>1.8</v>
      </c>
      <c r="F1254" s="237">
        <f>E1254*D1254</f>
        <v>4.05</v>
      </c>
    </row>
    <row r="1255" spans="1:6">
      <c r="A1255" s="201"/>
      <c r="B1255" s="15" t="s">
        <v>583</v>
      </c>
      <c r="C1255" s="18"/>
      <c r="D1255" s="172">
        <f>2*0.7</f>
        <v>1.4</v>
      </c>
      <c r="E1255" s="42">
        <v>1.8</v>
      </c>
      <c r="F1255" s="237">
        <f>D1255*E1255</f>
        <v>2.52</v>
      </c>
    </row>
    <row r="1256" spans="1:6">
      <c r="A1256" s="201"/>
      <c r="B1256" s="357" t="s">
        <v>14</v>
      </c>
      <c r="C1256" s="357"/>
      <c r="D1256" s="357"/>
      <c r="E1256" s="357"/>
      <c r="F1256" s="213">
        <f>F1250-F1252-F1253-F1254-F1255-F1251</f>
        <v>96.587999999999994</v>
      </c>
    </row>
    <row r="1257" spans="1:6">
      <c r="A1257" s="201"/>
      <c r="B1257" s="15" t="s">
        <v>600</v>
      </c>
      <c r="C1257" s="48" t="s">
        <v>16</v>
      </c>
      <c r="D1257" s="181" t="s">
        <v>19</v>
      </c>
      <c r="E1257" s="41" t="s">
        <v>18</v>
      </c>
      <c r="F1257" s="242" t="s">
        <v>8</v>
      </c>
    </row>
    <row r="1258" spans="1:6">
      <c r="A1258" s="201"/>
      <c r="B1258" s="15" t="s">
        <v>599</v>
      </c>
      <c r="C1258" s="18"/>
      <c r="D1258" s="179">
        <f>1.8+4.85+1.8+4.85</f>
        <v>13.299999999999999</v>
      </c>
      <c r="E1258" s="42">
        <v>1.8</v>
      </c>
      <c r="F1258" s="237">
        <f>D1258*E1258</f>
        <v>23.939999999999998</v>
      </c>
    </row>
    <row r="1259" spans="1:6">
      <c r="A1259" s="201"/>
      <c r="B1259" s="32" t="s">
        <v>322</v>
      </c>
      <c r="C1259" s="72"/>
      <c r="D1259" s="187">
        <f>2*2.24</f>
        <v>4.4800000000000004</v>
      </c>
      <c r="E1259" s="187">
        <v>0.35</v>
      </c>
      <c r="F1259" s="237">
        <f>D1259*E1259</f>
        <v>1.5680000000000001</v>
      </c>
    </row>
    <row r="1260" spans="1:6">
      <c r="A1260" s="201"/>
      <c r="B1260" s="100" t="s">
        <v>682</v>
      </c>
      <c r="C1260" s="16"/>
      <c r="D1260" s="172">
        <f>2.25</f>
        <v>2.25</v>
      </c>
      <c r="E1260" s="172">
        <v>1</v>
      </c>
      <c r="F1260" s="237">
        <f>E1260*D1260</f>
        <v>2.25</v>
      </c>
    </row>
    <row r="1261" spans="1:6">
      <c r="A1261" s="201"/>
      <c r="B1261" s="15" t="s">
        <v>608</v>
      </c>
      <c r="C1261" s="18"/>
      <c r="D1261" s="179">
        <v>0.9</v>
      </c>
      <c r="E1261" s="42">
        <v>1.8</v>
      </c>
      <c r="F1261" s="237">
        <f>D1261*E1261</f>
        <v>1.62</v>
      </c>
    </row>
    <row r="1262" spans="1:6">
      <c r="A1262" s="201"/>
      <c r="B1262" s="357" t="s">
        <v>14</v>
      </c>
      <c r="C1262" s="357"/>
      <c r="D1262" s="357"/>
      <c r="E1262" s="357"/>
      <c r="F1262" s="213">
        <f>F1258-F1260-F1261-F1259</f>
        <v>18.501999999999995</v>
      </c>
    </row>
    <row r="1263" spans="1:6">
      <c r="A1263" s="201"/>
      <c r="B1263" s="15" t="s">
        <v>605</v>
      </c>
      <c r="C1263" s="48" t="s">
        <v>16</v>
      </c>
      <c r="D1263" s="181" t="s">
        <v>19</v>
      </c>
      <c r="E1263" s="41" t="s">
        <v>18</v>
      </c>
      <c r="F1263" s="242" t="s">
        <v>8</v>
      </c>
    </row>
    <row r="1264" spans="1:6">
      <c r="A1264" s="201"/>
      <c r="B1264" s="15" t="s">
        <v>684</v>
      </c>
      <c r="C1264" s="18"/>
      <c r="D1264" s="179">
        <f>2.35+4.25+2.35+4.25</f>
        <v>13.2</v>
      </c>
      <c r="E1264" s="42">
        <v>1.8</v>
      </c>
      <c r="F1264" s="237">
        <f>D1264*E1264</f>
        <v>23.759999999999998</v>
      </c>
    </row>
    <row r="1265" spans="1:6">
      <c r="A1265" s="201"/>
      <c r="B1265" s="100" t="s">
        <v>611</v>
      </c>
      <c r="C1265" s="16"/>
      <c r="D1265" s="172">
        <v>2.2400000000000002</v>
      </c>
      <c r="E1265" s="172">
        <v>1.3</v>
      </c>
      <c r="F1265" s="237">
        <f>E1265*D1265</f>
        <v>2.9120000000000004</v>
      </c>
    </row>
    <row r="1266" spans="1:6">
      <c r="A1266" s="201"/>
      <c r="B1266" s="32" t="s">
        <v>685</v>
      </c>
      <c r="C1266" s="72"/>
      <c r="D1266" s="187">
        <v>2.2400000000000002</v>
      </c>
      <c r="E1266" s="187">
        <v>0.35</v>
      </c>
      <c r="F1266" s="237">
        <f>D1266*E1266</f>
        <v>0.78400000000000003</v>
      </c>
    </row>
    <row r="1267" spans="1:6">
      <c r="A1267" s="201"/>
      <c r="B1267" s="15" t="s">
        <v>608</v>
      </c>
      <c r="C1267" s="18"/>
      <c r="D1267" s="179">
        <v>0.9</v>
      </c>
      <c r="E1267" s="42">
        <v>1.8</v>
      </c>
      <c r="F1267" s="237">
        <f>D1267*E1267</f>
        <v>1.62</v>
      </c>
    </row>
    <row r="1268" spans="1:6">
      <c r="A1268" s="201"/>
      <c r="B1268" s="357" t="s">
        <v>14</v>
      </c>
      <c r="C1268" s="357"/>
      <c r="D1268" s="357"/>
      <c r="E1268" s="357"/>
      <c r="F1268" s="213">
        <f>F1264-F1265-F1267-F1266</f>
        <v>18.443999999999999</v>
      </c>
    </row>
    <row r="1269" spans="1:6">
      <c r="A1269" s="201"/>
      <c r="B1269" s="15" t="s">
        <v>603</v>
      </c>
      <c r="C1269" s="48" t="s">
        <v>16</v>
      </c>
      <c r="D1269" s="181" t="s">
        <v>19</v>
      </c>
      <c r="E1269" s="41" t="s">
        <v>18</v>
      </c>
      <c r="F1269" s="242" t="s">
        <v>8</v>
      </c>
    </row>
    <row r="1270" spans="1:6">
      <c r="A1270" s="201"/>
      <c r="B1270" s="15" t="s">
        <v>686</v>
      </c>
      <c r="C1270" s="18"/>
      <c r="D1270" s="179">
        <f>3+2.35+3+2.35</f>
        <v>10.7</v>
      </c>
      <c r="E1270" s="42">
        <v>1.8</v>
      </c>
      <c r="F1270" s="237">
        <f>D1270*E1270</f>
        <v>19.259999999999998</v>
      </c>
    </row>
    <row r="1271" spans="1:6">
      <c r="A1271" s="201"/>
      <c r="B1271" s="100" t="s">
        <v>611</v>
      </c>
      <c r="C1271" s="16"/>
      <c r="D1271" s="172">
        <v>2.2400000000000002</v>
      </c>
      <c r="E1271" s="172">
        <v>1.3</v>
      </c>
      <c r="F1271" s="237">
        <f>E1271*D1271</f>
        <v>2.9120000000000004</v>
      </c>
    </row>
    <row r="1272" spans="1:6">
      <c r="A1272" s="201"/>
      <c r="B1272" s="32" t="s">
        <v>685</v>
      </c>
      <c r="C1272" s="72"/>
      <c r="D1272" s="187">
        <v>2.2400000000000002</v>
      </c>
      <c r="E1272" s="187">
        <v>0.35</v>
      </c>
      <c r="F1272" s="237">
        <f>D1272*E1272</f>
        <v>0.78400000000000003</v>
      </c>
    </row>
    <row r="1273" spans="1:6">
      <c r="A1273" s="201"/>
      <c r="B1273" s="15" t="s">
        <v>608</v>
      </c>
      <c r="C1273" s="18"/>
      <c r="D1273" s="179">
        <v>0.9</v>
      </c>
      <c r="E1273" s="42">
        <v>1.8</v>
      </c>
      <c r="F1273" s="237">
        <f>D1273*E1273</f>
        <v>1.62</v>
      </c>
    </row>
    <row r="1274" spans="1:6">
      <c r="A1274" s="201"/>
      <c r="B1274" s="357" t="s">
        <v>14</v>
      </c>
      <c r="C1274" s="357"/>
      <c r="D1274" s="357"/>
      <c r="E1274" s="357"/>
      <c r="F1274" s="213">
        <f>F1270-F1271-F1273-F1272</f>
        <v>13.943999999999997</v>
      </c>
    </row>
    <row r="1275" spans="1:6">
      <c r="A1275" s="201"/>
      <c r="B1275" s="15" t="s">
        <v>598</v>
      </c>
      <c r="C1275" s="48" t="s">
        <v>16</v>
      </c>
      <c r="D1275" s="181" t="s">
        <v>19</v>
      </c>
      <c r="E1275" s="41" t="s">
        <v>18</v>
      </c>
      <c r="F1275" s="242" t="s">
        <v>8</v>
      </c>
    </row>
    <row r="1276" spans="1:6">
      <c r="A1276" s="201"/>
      <c r="B1276" s="15" t="s">
        <v>687</v>
      </c>
      <c r="C1276" s="18"/>
      <c r="D1276" s="179">
        <f>2.35+3+2.35+3</f>
        <v>10.7</v>
      </c>
      <c r="E1276" s="42">
        <v>1.8</v>
      </c>
      <c r="F1276" s="237">
        <f>D1276*E1276</f>
        <v>19.259999999999998</v>
      </c>
    </row>
    <row r="1277" spans="1:6">
      <c r="A1277" s="201"/>
      <c r="B1277" s="100" t="s">
        <v>611</v>
      </c>
      <c r="C1277" s="16"/>
      <c r="D1277" s="172">
        <v>2.2400000000000002</v>
      </c>
      <c r="E1277" s="172">
        <v>1.3</v>
      </c>
      <c r="F1277" s="237">
        <f>E1277*D1277</f>
        <v>2.9120000000000004</v>
      </c>
    </row>
    <row r="1278" spans="1:6">
      <c r="A1278" s="201"/>
      <c r="B1278" s="32" t="s">
        <v>685</v>
      </c>
      <c r="C1278" s="72"/>
      <c r="D1278" s="187">
        <v>2.2400000000000002</v>
      </c>
      <c r="E1278" s="187">
        <v>0.35</v>
      </c>
      <c r="F1278" s="237">
        <f>D1278*E1278</f>
        <v>0.78400000000000003</v>
      </c>
    </row>
    <row r="1279" spans="1:6">
      <c r="A1279" s="201"/>
      <c r="B1279" s="15" t="s">
        <v>608</v>
      </c>
      <c r="C1279" s="18"/>
      <c r="D1279" s="179">
        <v>0.9</v>
      </c>
      <c r="E1279" s="42">
        <v>1.8</v>
      </c>
      <c r="F1279" s="237">
        <f>D1279*E1279</f>
        <v>1.62</v>
      </c>
    </row>
    <row r="1280" spans="1:6">
      <c r="A1280" s="201"/>
      <c r="B1280" s="357" t="s">
        <v>14</v>
      </c>
      <c r="C1280" s="357"/>
      <c r="D1280" s="357"/>
      <c r="E1280" s="357"/>
      <c r="F1280" s="213">
        <f>F1276-F1277-F1279-F1278</f>
        <v>13.943999999999997</v>
      </c>
    </row>
    <row r="1281" spans="1:6">
      <c r="A1281" s="201"/>
      <c r="B1281" s="15" t="s">
        <v>596</v>
      </c>
      <c r="C1281" s="48" t="s">
        <v>16</v>
      </c>
      <c r="D1281" s="181" t="s">
        <v>19</v>
      </c>
      <c r="E1281" s="41" t="s">
        <v>18</v>
      </c>
      <c r="F1281" s="242" t="s">
        <v>8</v>
      </c>
    </row>
    <row r="1282" spans="1:6">
      <c r="A1282" s="201"/>
      <c r="B1282" s="15" t="s">
        <v>688</v>
      </c>
      <c r="C1282" s="18"/>
      <c r="D1282" s="179">
        <f>3.05+2.35+3.05+2.35</f>
        <v>10.799999999999999</v>
      </c>
      <c r="E1282" s="42">
        <v>1.8</v>
      </c>
      <c r="F1282" s="237">
        <f>D1282*E1282</f>
        <v>19.439999999999998</v>
      </c>
    </row>
    <row r="1283" spans="1:6">
      <c r="A1283" s="201"/>
      <c r="B1283" s="32" t="s">
        <v>685</v>
      </c>
      <c r="C1283" s="72"/>
      <c r="D1283" s="187">
        <v>2.2400000000000002</v>
      </c>
      <c r="E1283" s="187">
        <v>0.35</v>
      </c>
      <c r="F1283" s="237">
        <f>D1283*E1283</f>
        <v>0.78400000000000003</v>
      </c>
    </row>
    <row r="1284" spans="1:6">
      <c r="A1284" s="201"/>
      <c r="B1284" s="15" t="s">
        <v>629</v>
      </c>
      <c r="C1284" s="18"/>
      <c r="D1284" s="179">
        <v>0.9</v>
      </c>
      <c r="E1284" s="42">
        <v>1.8</v>
      </c>
      <c r="F1284" s="237">
        <f>D1284*E1284</f>
        <v>1.62</v>
      </c>
    </row>
    <row r="1285" spans="1:6">
      <c r="A1285" s="201"/>
      <c r="B1285" s="357" t="s">
        <v>14</v>
      </c>
      <c r="C1285" s="357"/>
      <c r="D1285" s="357"/>
      <c r="E1285" s="357"/>
      <c r="F1285" s="213">
        <f>F1282-F1284-F1283</f>
        <v>17.035999999999998</v>
      </c>
    </row>
    <row r="1286" spans="1:6">
      <c r="A1286" s="201"/>
      <c r="B1286" s="15" t="s">
        <v>689</v>
      </c>
      <c r="C1286" s="48" t="s">
        <v>16</v>
      </c>
      <c r="D1286" s="181" t="s">
        <v>19</v>
      </c>
      <c r="E1286" s="41" t="s">
        <v>18</v>
      </c>
      <c r="F1286" s="242" t="s">
        <v>8</v>
      </c>
    </row>
    <row r="1287" spans="1:6">
      <c r="A1287" s="201"/>
      <c r="B1287" s="15" t="s">
        <v>690</v>
      </c>
      <c r="C1287" s="18"/>
      <c r="D1287" s="179">
        <f>2.35+6.2+2.35+6.2</f>
        <v>17.100000000000001</v>
      </c>
      <c r="E1287" s="42">
        <v>1.8</v>
      </c>
      <c r="F1287" s="237">
        <f>D1287*E1287</f>
        <v>30.780000000000005</v>
      </c>
    </row>
    <row r="1288" spans="1:6">
      <c r="A1288" s="201"/>
      <c r="B1288" s="100" t="s">
        <v>611</v>
      </c>
      <c r="C1288" s="16"/>
      <c r="D1288" s="172">
        <v>2.2400000000000002</v>
      </c>
      <c r="E1288" s="172">
        <v>1.3</v>
      </c>
      <c r="F1288" s="237">
        <f>E1288*D1288</f>
        <v>2.9120000000000004</v>
      </c>
    </row>
    <row r="1289" spans="1:6">
      <c r="A1289" s="201"/>
      <c r="B1289" s="32" t="s">
        <v>322</v>
      </c>
      <c r="C1289" s="72"/>
      <c r="D1289" s="187">
        <f>2*2.24</f>
        <v>4.4800000000000004</v>
      </c>
      <c r="E1289" s="187">
        <v>0.35</v>
      </c>
      <c r="F1289" s="237">
        <f>D1289*E1289</f>
        <v>1.5680000000000001</v>
      </c>
    </row>
    <row r="1290" spans="1:6">
      <c r="A1290" s="201"/>
      <c r="B1290" s="15" t="s">
        <v>610</v>
      </c>
      <c r="C1290" s="18"/>
      <c r="D1290" s="179">
        <v>0.9</v>
      </c>
      <c r="E1290" s="42">
        <v>1.8</v>
      </c>
      <c r="F1290" s="237">
        <f>D1290*E1290</f>
        <v>1.62</v>
      </c>
    </row>
    <row r="1291" spans="1:6">
      <c r="A1291" s="201"/>
      <c r="B1291" s="357" t="s">
        <v>14</v>
      </c>
      <c r="C1291" s="357"/>
      <c r="D1291" s="357"/>
      <c r="E1291" s="357"/>
      <c r="F1291" s="213">
        <f>F1287-F1288-F1290-F1289</f>
        <v>24.680000000000003</v>
      </c>
    </row>
    <row r="1292" spans="1:6">
      <c r="A1292" s="201"/>
      <c r="B1292" s="15" t="s">
        <v>691</v>
      </c>
      <c r="C1292" s="48" t="s">
        <v>16</v>
      </c>
      <c r="D1292" s="181" t="s">
        <v>19</v>
      </c>
      <c r="E1292" s="41" t="s">
        <v>18</v>
      </c>
      <c r="F1292" s="242" t="s">
        <v>8</v>
      </c>
    </row>
    <row r="1293" spans="1:6">
      <c r="A1293" s="201"/>
      <c r="B1293" s="15" t="s">
        <v>692</v>
      </c>
      <c r="C1293" s="18"/>
      <c r="D1293" s="179">
        <f>2.35+6.2+2.35+6.2</f>
        <v>17.100000000000001</v>
      </c>
      <c r="E1293" s="42">
        <v>1.8</v>
      </c>
      <c r="F1293" s="237">
        <f>D1293*E1293</f>
        <v>30.780000000000005</v>
      </c>
    </row>
    <row r="1294" spans="1:6">
      <c r="A1294" s="201"/>
      <c r="B1294" s="100" t="s">
        <v>611</v>
      </c>
      <c r="C1294" s="16"/>
      <c r="D1294" s="172">
        <v>2.2400000000000002</v>
      </c>
      <c r="E1294" s="172">
        <v>1.3</v>
      </c>
      <c r="F1294" s="237">
        <f>E1294*D1294</f>
        <v>2.9120000000000004</v>
      </c>
    </row>
    <row r="1295" spans="1:6">
      <c r="A1295" s="201"/>
      <c r="B1295" s="32" t="s">
        <v>322</v>
      </c>
      <c r="C1295" s="72"/>
      <c r="D1295" s="187">
        <f>2*2.24</f>
        <v>4.4800000000000004</v>
      </c>
      <c r="E1295" s="187">
        <v>0.35</v>
      </c>
      <c r="F1295" s="237">
        <f>D1295*E1295</f>
        <v>1.5680000000000001</v>
      </c>
    </row>
    <row r="1296" spans="1:6">
      <c r="A1296" s="201"/>
      <c r="B1296" s="15" t="s">
        <v>608</v>
      </c>
      <c r="C1296" s="18"/>
      <c r="D1296" s="179">
        <v>0.9</v>
      </c>
      <c r="E1296" s="42">
        <v>1.8</v>
      </c>
      <c r="F1296" s="237">
        <f>D1296*E1296</f>
        <v>1.62</v>
      </c>
    </row>
    <row r="1297" spans="1:6">
      <c r="A1297" s="201"/>
      <c r="B1297" s="357" t="s">
        <v>14</v>
      </c>
      <c r="C1297" s="357"/>
      <c r="D1297" s="357"/>
      <c r="E1297" s="357"/>
      <c r="F1297" s="213">
        <f>F1293-F1294-F1296-F1295</f>
        <v>24.680000000000003</v>
      </c>
    </row>
    <row r="1298" spans="1:6">
      <c r="A1298" s="201"/>
      <c r="B1298" s="15" t="s">
        <v>592</v>
      </c>
      <c r="C1298" s="48" t="s">
        <v>16</v>
      </c>
      <c r="D1298" s="181" t="s">
        <v>19</v>
      </c>
      <c r="E1298" s="41" t="s">
        <v>18</v>
      </c>
      <c r="F1298" s="242" t="s">
        <v>8</v>
      </c>
    </row>
    <row r="1299" spans="1:6">
      <c r="A1299" s="201"/>
      <c r="B1299" s="15" t="s">
        <v>589</v>
      </c>
      <c r="C1299" s="18"/>
      <c r="D1299" s="179">
        <f>4.25+4.85+4.25+4.85</f>
        <v>18.2</v>
      </c>
      <c r="E1299" s="42">
        <v>1.8</v>
      </c>
      <c r="F1299" s="237">
        <f>D1299*E1299</f>
        <v>32.76</v>
      </c>
    </row>
    <row r="1300" spans="1:6">
      <c r="A1300" s="201"/>
      <c r="B1300" s="100" t="s">
        <v>588</v>
      </c>
      <c r="C1300" s="16"/>
      <c r="D1300" s="172">
        <f>2*2.24</f>
        <v>4.4800000000000004</v>
      </c>
      <c r="E1300" s="172">
        <v>1.3</v>
      </c>
      <c r="F1300" s="237">
        <f>E1300*D1300</f>
        <v>5.8240000000000007</v>
      </c>
    </row>
    <row r="1301" spans="1:6">
      <c r="A1301" s="201"/>
      <c r="B1301" s="32" t="s">
        <v>322</v>
      </c>
      <c r="C1301" s="72"/>
      <c r="D1301" s="187">
        <f>2*2.24</f>
        <v>4.4800000000000004</v>
      </c>
      <c r="E1301" s="187">
        <v>0.35</v>
      </c>
      <c r="F1301" s="237">
        <f>D1301*E1301</f>
        <v>1.5680000000000001</v>
      </c>
    </row>
    <row r="1302" spans="1:6">
      <c r="A1302" s="201"/>
      <c r="B1302" s="15" t="s">
        <v>608</v>
      </c>
      <c r="C1302" s="18"/>
      <c r="D1302" s="179">
        <v>0.9</v>
      </c>
      <c r="E1302" s="42">
        <v>1.8</v>
      </c>
      <c r="F1302" s="237">
        <f>D1302*E1302</f>
        <v>1.62</v>
      </c>
    </row>
    <row r="1303" spans="1:6">
      <c r="A1303" s="201"/>
      <c r="B1303" s="15" t="s">
        <v>632</v>
      </c>
      <c r="C1303" s="18"/>
      <c r="D1303" s="179">
        <v>0.7</v>
      </c>
      <c r="E1303" s="42">
        <v>1.8</v>
      </c>
      <c r="F1303" s="237">
        <f>D1303*E1303</f>
        <v>1.26</v>
      </c>
    </row>
    <row r="1304" spans="1:6">
      <c r="A1304" s="201"/>
      <c r="B1304" s="357" t="s">
        <v>14</v>
      </c>
      <c r="C1304" s="357"/>
      <c r="D1304" s="357"/>
      <c r="E1304" s="357"/>
      <c r="F1304" s="213">
        <f>F1299-F1300-F1302-F1303-F1301</f>
        <v>22.487999999999992</v>
      </c>
    </row>
    <row r="1305" spans="1:6">
      <c r="A1305" s="201"/>
      <c r="B1305" s="15" t="s">
        <v>693</v>
      </c>
      <c r="C1305" s="48" t="s">
        <v>16</v>
      </c>
      <c r="D1305" s="181" t="s">
        <v>19</v>
      </c>
      <c r="E1305" s="41" t="s">
        <v>18</v>
      </c>
      <c r="F1305" s="242" t="s">
        <v>8</v>
      </c>
    </row>
    <row r="1306" spans="1:6">
      <c r="A1306" s="201"/>
      <c r="B1306" s="15" t="s">
        <v>586</v>
      </c>
      <c r="C1306" s="18"/>
      <c r="D1306" s="179">
        <f>1.8+1.1+1.8+1.1</f>
        <v>5.8000000000000007</v>
      </c>
      <c r="E1306" s="42">
        <v>1.8</v>
      </c>
      <c r="F1306" s="237">
        <f>D1306*E1306</f>
        <v>10.440000000000001</v>
      </c>
    </row>
    <row r="1307" spans="1:6">
      <c r="A1307" s="201"/>
      <c r="B1307" s="32" t="s">
        <v>694</v>
      </c>
      <c r="C1307" s="72"/>
      <c r="D1307" s="187">
        <v>1.1200000000000001</v>
      </c>
      <c r="E1307" s="187">
        <v>0.35</v>
      </c>
      <c r="F1307" s="237">
        <f>D1307*E1307</f>
        <v>0.39200000000000002</v>
      </c>
    </row>
    <row r="1308" spans="1:6">
      <c r="A1308" s="201"/>
      <c r="B1308" s="15" t="s">
        <v>632</v>
      </c>
      <c r="C1308" s="18"/>
      <c r="D1308" s="179">
        <v>0.7</v>
      </c>
      <c r="E1308" s="42">
        <v>1.8</v>
      </c>
      <c r="F1308" s="237">
        <f>D1308*E1308</f>
        <v>1.26</v>
      </c>
    </row>
    <row r="1309" spans="1:6">
      <c r="A1309" s="201"/>
      <c r="B1309" s="357" t="s">
        <v>14</v>
      </c>
      <c r="C1309" s="357"/>
      <c r="D1309" s="357"/>
      <c r="E1309" s="357"/>
      <c r="F1309" s="213">
        <f>F1306-F1308-F1307</f>
        <v>8.788000000000002</v>
      </c>
    </row>
    <row r="1310" spans="1:6">
      <c r="A1310" s="201"/>
      <c r="B1310" s="15" t="s">
        <v>695</v>
      </c>
      <c r="C1310" s="48" t="s">
        <v>16</v>
      </c>
      <c r="D1310" s="181" t="s">
        <v>19</v>
      </c>
      <c r="E1310" s="41" t="s">
        <v>18</v>
      </c>
      <c r="F1310" s="242" t="s">
        <v>8</v>
      </c>
    </row>
    <row r="1311" spans="1:6">
      <c r="A1311" s="201"/>
      <c r="B1311" s="15" t="s">
        <v>586</v>
      </c>
      <c r="C1311" s="18"/>
      <c r="D1311" s="179">
        <f>1.8+1.1+1.8+1.1</f>
        <v>5.8000000000000007</v>
      </c>
      <c r="E1311" s="42">
        <v>1.8</v>
      </c>
      <c r="F1311" s="237">
        <f>D1311*E1311</f>
        <v>10.440000000000001</v>
      </c>
    </row>
    <row r="1312" spans="1:6">
      <c r="A1312" s="201"/>
      <c r="B1312" s="32" t="s">
        <v>694</v>
      </c>
      <c r="C1312" s="72"/>
      <c r="D1312" s="187">
        <v>1.1200000000000001</v>
      </c>
      <c r="E1312" s="187">
        <v>0.35</v>
      </c>
      <c r="F1312" s="237">
        <f>D1312*E1312</f>
        <v>0.39200000000000002</v>
      </c>
    </row>
    <row r="1313" spans="1:6">
      <c r="A1313" s="201"/>
      <c r="B1313" s="15" t="s">
        <v>632</v>
      </c>
      <c r="C1313" s="18"/>
      <c r="D1313" s="179">
        <v>0.7</v>
      </c>
      <c r="E1313" s="42">
        <v>1.8</v>
      </c>
      <c r="F1313" s="237">
        <f>D1313*E1313</f>
        <v>1.26</v>
      </c>
    </row>
    <row r="1314" spans="1:6">
      <c r="A1314" s="201"/>
      <c r="B1314" s="357" t="s">
        <v>14</v>
      </c>
      <c r="C1314" s="357"/>
      <c r="D1314" s="357"/>
      <c r="E1314" s="357"/>
      <c r="F1314" s="213">
        <f>F1311-F1313-F1312</f>
        <v>8.788000000000002</v>
      </c>
    </row>
    <row r="1315" spans="1:6">
      <c r="A1315" s="201"/>
      <c r="B1315" s="32" t="s">
        <v>696</v>
      </c>
      <c r="C1315" s="48" t="s">
        <v>16</v>
      </c>
      <c r="D1315" s="181" t="s">
        <v>19</v>
      </c>
      <c r="E1315" s="41" t="s">
        <v>18</v>
      </c>
      <c r="F1315" s="242" t="s">
        <v>8</v>
      </c>
    </row>
    <row r="1316" spans="1:6">
      <c r="A1316" s="201"/>
      <c r="B1316" s="15" t="s">
        <v>697</v>
      </c>
      <c r="C1316" s="18"/>
      <c r="D1316" s="179">
        <f>4.25+4.85+4.25+4.85</f>
        <v>18.2</v>
      </c>
      <c r="E1316" s="42">
        <v>1.8</v>
      </c>
      <c r="F1316" s="237">
        <f>D1316*E1316</f>
        <v>32.76</v>
      </c>
    </row>
    <row r="1317" spans="1:6">
      <c r="A1317" s="201"/>
      <c r="B1317" s="100" t="s">
        <v>588</v>
      </c>
      <c r="C1317" s="16"/>
      <c r="D1317" s="172">
        <f>2*2.24</f>
        <v>4.4800000000000004</v>
      </c>
      <c r="E1317" s="172">
        <v>1.3</v>
      </c>
      <c r="F1317" s="237">
        <f>E1317*D1317</f>
        <v>5.8240000000000007</v>
      </c>
    </row>
    <row r="1318" spans="1:6">
      <c r="A1318" s="201"/>
      <c r="B1318" s="32" t="s">
        <v>322</v>
      </c>
      <c r="C1318" s="72"/>
      <c r="D1318" s="187">
        <f>2*2.24</f>
        <v>4.4800000000000004</v>
      </c>
      <c r="E1318" s="187">
        <v>0.35</v>
      </c>
      <c r="F1318" s="237">
        <f>D1318*E1318</f>
        <v>1.5680000000000001</v>
      </c>
    </row>
    <row r="1319" spans="1:6">
      <c r="A1319" s="201"/>
      <c r="B1319" s="15" t="s">
        <v>608</v>
      </c>
      <c r="C1319" s="18"/>
      <c r="D1319" s="179">
        <v>0.9</v>
      </c>
      <c r="E1319" s="42">
        <v>1.8</v>
      </c>
      <c r="F1319" s="237">
        <f>D1319*E1319</f>
        <v>1.62</v>
      </c>
    </row>
    <row r="1320" spans="1:6">
      <c r="A1320" s="201"/>
      <c r="B1320" s="15" t="s">
        <v>632</v>
      </c>
      <c r="C1320" s="18"/>
      <c r="D1320" s="179">
        <v>0.7</v>
      </c>
      <c r="E1320" s="42">
        <v>1.8</v>
      </c>
      <c r="F1320" s="237">
        <f>D1320*E1320</f>
        <v>1.26</v>
      </c>
    </row>
    <row r="1321" spans="1:6">
      <c r="A1321" s="201"/>
      <c r="B1321" s="357" t="s">
        <v>14</v>
      </c>
      <c r="C1321" s="357"/>
      <c r="D1321" s="357"/>
      <c r="E1321" s="357"/>
      <c r="F1321" s="213">
        <f>F1316-F1317-F1319-F1320-F1318</f>
        <v>22.487999999999992</v>
      </c>
    </row>
    <row r="1322" spans="1:6">
      <c r="A1322" s="201"/>
      <c r="B1322" s="15" t="s">
        <v>698</v>
      </c>
      <c r="C1322" s="48" t="s">
        <v>16</v>
      </c>
      <c r="D1322" s="181" t="s">
        <v>19</v>
      </c>
      <c r="E1322" s="41" t="s">
        <v>18</v>
      </c>
      <c r="F1322" s="242" t="s">
        <v>8</v>
      </c>
    </row>
    <row r="1323" spans="1:6">
      <c r="A1323" s="201"/>
      <c r="B1323" s="15" t="s">
        <v>699</v>
      </c>
      <c r="C1323" s="18"/>
      <c r="D1323" s="179">
        <f>1.8+1.1+1.8+1.1</f>
        <v>5.8000000000000007</v>
      </c>
      <c r="E1323" s="42">
        <v>1.2</v>
      </c>
      <c r="F1323" s="237">
        <f>D1323*E1323</f>
        <v>6.9600000000000009</v>
      </c>
    </row>
    <row r="1324" spans="1:6">
      <c r="A1324" s="201"/>
      <c r="B1324" s="32" t="s">
        <v>694</v>
      </c>
      <c r="C1324" s="72"/>
      <c r="D1324" s="187">
        <v>1.1200000000000001</v>
      </c>
      <c r="E1324" s="187">
        <v>0.35</v>
      </c>
      <c r="F1324" s="237">
        <f>D1324*E1324</f>
        <v>0.39200000000000002</v>
      </c>
    </row>
    <row r="1325" spans="1:6">
      <c r="A1325" s="201"/>
      <c r="B1325" s="15" t="s">
        <v>632</v>
      </c>
      <c r="C1325" s="18"/>
      <c r="D1325" s="179">
        <v>0.7</v>
      </c>
      <c r="E1325" s="42">
        <v>1.2</v>
      </c>
      <c r="F1325" s="237">
        <f>D1325*E1325</f>
        <v>0.84</v>
      </c>
    </row>
    <row r="1326" spans="1:6">
      <c r="A1326" s="201"/>
      <c r="B1326" s="357" t="s">
        <v>14</v>
      </c>
      <c r="C1326" s="357"/>
      <c r="D1326" s="357"/>
      <c r="E1326" s="357"/>
      <c r="F1326" s="213">
        <f>F1323-F1325-F1324</f>
        <v>5.7280000000000006</v>
      </c>
    </row>
    <row r="1327" spans="1:6">
      <c r="A1327" s="201"/>
      <c r="B1327" s="15" t="s">
        <v>700</v>
      </c>
      <c r="C1327" s="48" t="s">
        <v>16</v>
      </c>
      <c r="D1327" s="181" t="s">
        <v>19</v>
      </c>
      <c r="E1327" s="41" t="s">
        <v>18</v>
      </c>
      <c r="F1327" s="242" t="s">
        <v>8</v>
      </c>
    </row>
    <row r="1328" spans="1:6">
      <c r="A1328" s="201"/>
      <c r="B1328" s="15" t="s">
        <v>699</v>
      </c>
      <c r="C1328" s="18"/>
      <c r="D1328" s="179">
        <f>1.8+1.1+1.8+1.1</f>
        <v>5.8000000000000007</v>
      </c>
      <c r="E1328" s="42">
        <v>1.2</v>
      </c>
      <c r="F1328" s="237">
        <f>D1328*E1328</f>
        <v>6.9600000000000009</v>
      </c>
    </row>
    <row r="1329" spans="1:6">
      <c r="A1329" s="201"/>
      <c r="B1329" s="32" t="s">
        <v>694</v>
      </c>
      <c r="C1329" s="72"/>
      <c r="D1329" s="187">
        <v>1.1200000000000001</v>
      </c>
      <c r="E1329" s="187">
        <v>0.35</v>
      </c>
      <c r="F1329" s="237">
        <f>D1329*E1329</f>
        <v>0.39200000000000002</v>
      </c>
    </row>
    <row r="1330" spans="1:6">
      <c r="A1330" s="201"/>
      <c r="B1330" s="15" t="s">
        <v>632</v>
      </c>
      <c r="C1330" s="18"/>
      <c r="D1330" s="179">
        <v>0.7</v>
      </c>
      <c r="E1330" s="42">
        <v>1.2</v>
      </c>
      <c r="F1330" s="237">
        <f>D1330*E1330</f>
        <v>0.84</v>
      </c>
    </row>
    <row r="1331" spans="1:6">
      <c r="A1331" s="201"/>
      <c r="B1331" s="357" t="s">
        <v>14</v>
      </c>
      <c r="C1331" s="357"/>
      <c r="D1331" s="357"/>
      <c r="E1331" s="357"/>
      <c r="F1331" s="213">
        <f>F1328-F1330-F1329</f>
        <v>5.7280000000000006</v>
      </c>
    </row>
    <row r="1332" spans="1:6">
      <c r="A1332" s="201"/>
      <c r="B1332" s="15" t="s">
        <v>701</v>
      </c>
      <c r="C1332" s="48" t="s">
        <v>16</v>
      </c>
      <c r="D1332" s="181" t="s">
        <v>19</v>
      </c>
      <c r="E1332" s="41" t="s">
        <v>18</v>
      </c>
      <c r="F1332" s="242" t="s">
        <v>8</v>
      </c>
    </row>
    <row r="1333" spans="1:6">
      <c r="A1333" s="201"/>
      <c r="B1333" s="15" t="s">
        <v>697</v>
      </c>
      <c r="C1333" s="18"/>
      <c r="D1333" s="179">
        <f>4.25+4.85+4.25+4.85</f>
        <v>18.2</v>
      </c>
      <c r="E1333" s="42">
        <v>1.8</v>
      </c>
      <c r="F1333" s="237">
        <f>D1333*E1333</f>
        <v>32.76</v>
      </c>
    </row>
    <row r="1334" spans="1:6">
      <c r="A1334" s="201"/>
      <c r="B1334" s="100" t="s">
        <v>588</v>
      </c>
      <c r="C1334" s="16"/>
      <c r="D1334" s="172">
        <f>2*2.24</f>
        <v>4.4800000000000004</v>
      </c>
      <c r="E1334" s="172">
        <v>1.3</v>
      </c>
      <c r="F1334" s="237">
        <f>E1334*D1334</f>
        <v>5.8240000000000007</v>
      </c>
    </row>
    <row r="1335" spans="1:6">
      <c r="A1335" s="201"/>
      <c r="B1335" s="32" t="s">
        <v>322</v>
      </c>
      <c r="C1335" s="72"/>
      <c r="D1335" s="187">
        <f>2*2.24</f>
        <v>4.4800000000000004</v>
      </c>
      <c r="E1335" s="187">
        <v>0.35</v>
      </c>
      <c r="F1335" s="237">
        <f>D1335*E1335</f>
        <v>1.5680000000000001</v>
      </c>
    </row>
    <row r="1336" spans="1:6">
      <c r="A1336" s="201"/>
      <c r="B1336" s="15" t="s">
        <v>608</v>
      </c>
      <c r="C1336" s="18"/>
      <c r="D1336" s="179">
        <v>0.9</v>
      </c>
      <c r="E1336" s="42">
        <v>1.8</v>
      </c>
      <c r="F1336" s="237">
        <f>D1336*E1336</f>
        <v>1.62</v>
      </c>
    </row>
    <row r="1337" spans="1:6">
      <c r="A1337" s="201"/>
      <c r="B1337" s="15" t="s">
        <v>702</v>
      </c>
      <c r="C1337" s="18"/>
      <c r="D1337" s="179">
        <f>2*0.7</f>
        <v>1.4</v>
      </c>
      <c r="E1337" s="42">
        <v>1.8</v>
      </c>
      <c r="F1337" s="237">
        <f>D1337*E1337</f>
        <v>2.52</v>
      </c>
    </row>
    <row r="1338" spans="1:6">
      <c r="A1338" s="201"/>
      <c r="B1338" s="357" t="s">
        <v>14</v>
      </c>
      <c r="C1338" s="357"/>
      <c r="D1338" s="357"/>
      <c r="E1338" s="357"/>
      <c r="F1338" s="213">
        <f>F1333-F1334-F1336-F1337-F1335</f>
        <v>21.227999999999994</v>
      </c>
    </row>
    <row r="1339" spans="1:6">
      <c r="A1339" s="201"/>
      <c r="B1339" s="15" t="s">
        <v>703</v>
      </c>
      <c r="C1339" s="48" t="s">
        <v>16</v>
      </c>
      <c r="D1339" s="181" t="s">
        <v>19</v>
      </c>
      <c r="E1339" s="41" t="s">
        <v>18</v>
      </c>
      <c r="F1339" s="242" t="s">
        <v>8</v>
      </c>
    </row>
    <row r="1340" spans="1:6">
      <c r="A1340" s="201"/>
      <c r="B1340" s="15" t="s">
        <v>699</v>
      </c>
      <c r="C1340" s="18"/>
      <c r="D1340" s="179">
        <f>1.8+1.1+1.8+1.1</f>
        <v>5.8000000000000007</v>
      </c>
      <c r="E1340" s="42">
        <v>1.8</v>
      </c>
      <c r="F1340" s="237">
        <f>D1340*E1340</f>
        <v>10.440000000000001</v>
      </c>
    </row>
    <row r="1341" spans="1:6">
      <c r="A1341" s="201"/>
      <c r="B1341" s="32" t="s">
        <v>694</v>
      </c>
      <c r="C1341" s="72"/>
      <c r="D1341" s="187">
        <v>1.1200000000000001</v>
      </c>
      <c r="E1341" s="187">
        <v>0.35</v>
      </c>
      <c r="F1341" s="237">
        <f>D1341*E1341</f>
        <v>0.39200000000000002</v>
      </c>
    </row>
    <row r="1342" spans="1:6">
      <c r="A1342" s="201"/>
      <c r="B1342" s="15" t="s">
        <v>632</v>
      </c>
      <c r="C1342" s="18"/>
      <c r="D1342" s="179">
        <v>0.7</v>
      </c>
      <c r="E1342" s="42">
        <v>1.8</v>
      </c>
      <c r="F1342" s="237">
        <f>D1342*E1342</f>
        <v>1.26</v>
      </c>
    </row>
    <row r="1343" spans="1:6">
      <c r="A1343" s="201"/>
      <c r="B1343" s="357" t="s">
        <v>14</v>
      </c>
      <c r="C1343" s="357"/>
      <c r="D1343" s="357"/>
      <c r="E1343" s="357"/>
      <c r="F1343" s="213">
        <f>F1340-F1342-F1341</f>
        <v>8.788000000000002</v>
      </c>
    </row>
    <row r="1344" spans="1:6">
      <c r="A1344" s="201"/>
      <c r="B1344" s="15" t="s">
        <v>704</v>
      </c>
      <c r="C1344" s="48" t="s">
        <v>16</v>
      </c>
      <c r="D1344" s="181" t="s">
        <v>19</v>
      </c>
      <c r="E1344" s="41" t="s">
        <v>18</v>
      </c>
      <c r="F1344" s="242" t="s">
        <v>8</v>
      </c>
    </row>
    <row r="1345" spans="1:6">
      <c r="A1345" s="201"/>
      <c r="B1345" s="15" t="s">
        <v>699</v>
      </c>
      <c r="C1345" s="18"/>
      <c r="D1345" s="179">
        <f>1.8+1.1+1.8+1.1</f>
        <v>5.8000000000000007</v>
      </c>
      <c r="E1345" s="42">
        <v>1.8</v>
      </c>
      <c r="F1345" s="237">
        <f>D1345*E1345</f>
        <v>10.440000000000001</v>
      </c>
    </row>
    <row r="1346" spans="1:6">
      <c r="A1346" s="201"/>
      <c r="B1346" s="32" t="s">
        <v>694</v>
      </c>
      <c r="C1346" s="72"/>
      <c r="D1346" s="187">
        <v>1.1200000000000001</v>
      </c>
      <c r="E1346" s="187">
        <v>0.35</v>
      </c>
      <c r="F1346" s="237">
        <f>D1346*E1346</f>
        <v>0.39200000000000002</v>
      </c>
    </row>
    <row r="1347" spans="1:6">
      <c r="A1347" s="201"/>
      <c r="B1347" s="15" t="s">
        <v>632</v>
      </c>
      <c r="C1347" s="18"/>
      <c r="D1347" s="179">
        <v>0.7</v>
      </c>
      <c r="E1347" s="42">
        <v>1.8</v>
      </c>
      <c r="F1347" s="237">
        <f>D1347*E1347</f>
        <v>1.26</v>
      </c>
    </row>
    <row r="1348" spans="1:6">
      <c r="A1348" s="201"/>
      <c r="B1348" s="357" t="s">
        <v>14</v>
      </c>
      <c r="C1348" s="357"/>
      <c r="D1348" s="357"/>
      <c r="E1348" s="357"/>
      <c r="F1348" s="213">
        <f>F1345-F1347-F1346</f>
        <v>8.788000000000002</v>
      </c>
    </row>
    <row r="1349" spans="1:6">
      <c r="A1349" s="201"/>
      <c r="B1349" s="15" t="s">
        <v>606</v>
      </c>
      <c r="C1349" s="48" t="s">
        <v>16</v>
      </c>
      <c r="D1349" s="181" t="s">
        <v>19</v>
      </c>
      <c r="E1349" s="41" t="s">
        <v>18</v>
      </c>
      <c r="F1349" s="242" t="s">
        <v>8</v>
      </c>
    </row>
    <row r="1350" spans="1:6">
      <c r="A1350" s="201"/>
      <c r="B1350" s="15" t="s">
        <v>706</v>
      </c>
      <c r="C1350" s="18"/>
      <c r="D1350" s="179">
        <f>2.4+2.35+2.4+2.35</f>
        <v>9.5</v>
      </c>
      <c r="E1350" s="42">
        <v>1.8</v>
      </c>
      <c r="F1350" s="237">
        <f>D1350*E1350</f>
        <v>17.100000000000001</v>
      </c>
    </row>
    <row r="1351" spans="1:6">
      <c r="A1351" s="201"/>
      <c r="B1351" s="32" t="s">
        <v>322</v>
      </c>
      <c r="C1351" s="72"/>
      <c r="D1351" s="187">
        <f>2*2.24</f>
        <v>4.4800000000000004</v>
      </c>
      <c r="E1351" s="187">
        <v>0.35</v>
      </c>
      <c r="F1351" s="237">
        <f>D1351*E1351</f>
        <v>1.5680000000000001</v>
      </c>
    </row>
    <row r="1352" spans="1:6">
      <c r="A1352" s="201"/>
      <c r="B1352" s="15" t="s">
        <v>608</v>
      </c>
      <c r="C1352" s="18"/>
      <c r="D1352" s="179">
        <v>0.9</v>
      </c>
      <c r="E1352" s="42">
        <v>1.8</v>
      </c>
      <c r="F1352" s="237">
        <f>D1352*E1352</f>
        <v>1.62</v>
      </c>
    </row>
    <row r="1353" spans="1:6">
      <c r="A1353" s="201"/>
      <c r="B1353" s="357" t="s">
        <v>14</v>
      </c>
      <c r="C1353" s="357"/>
      <c r="D1353" s="357"/>
      <c r="E1353" s="357"/>
      <c r="F1353" s="213">
        <f>F1350-F1352-F1351</f>
        <v>13.912000000000001</v>
      </c>
    </row>
    <row r="1354" spans="1:6">
      <c r="A1354" s="201"/>
      <c r="B1354" s="37" t="s">
        <v>582</v>
      </c>
      <c r="C1354" s="111" t="s">
        <v>16</v>
      </c>
      <c r="D1354" s="111" t="s">
        <v>19</v>
      </c>
      <c r="E1354" s="111" t="s">
        <v>18</v>
      </c>
      <c r="F1354" s="145" t="s">
        <v>8</v>
      </c>
    </row>
    <row r="1355" spans="1:6">
      <c r="A1355" s="201"/>
      <c r="B1355" s="37" t="s">
        <v>581</v>
      </c>
      <c r="C1355" s="111"/>
      <c r="D1355" s="175">
        <f>0.25+0.25+0.25+0.25</f>
        <v>1</v>
      </c>
      <c r="E1355" s="175">
        <v>1.8</v>
      </c>
      <c r="F1355" s="215">
        <f>D1355*E1355</f>
        <v>1.8</v>
      </c>
    </row>
    <row r="1356" spans="1:6">
      <c r="A1356" s="201"/>
      <c r="B1356" s="357" t="s">
        <v>14</v>
      </c>
      <c r="C1356" s="357"/>
      <c r="D1356" s="357"/>
      <c r="E1356" s="357"/>
      <c r="F1356" s="216">
        <f>F1355</f>
        <v>1.8</v>
      </c>
    </row>
    <row r="1357" spans="1:6">
      <c r="A1357" s="211"/>
      <c r="B1357" s="365" t="s">
        <v>705</v>
      </c>
      <c r="C1357" s="365"/>
      <c r="D1357" s="365"/>
      <c r="E1357" s="365"/>
      <c r="F1357" s="366"/>
    </row>
    <row r="1358" spans="1:6">
      <c r="A1358" s="211"/>
      <c r="B1358" s="110" t="s">
        <v>952</v>
      </c>
      <c r="C1358" s="48" t="s">
        <v>16</v>
      </c>
      <c r="D1358" s="45" t="s">
        <v>19</v>
      </c>
      <c r="E1358" s="45" t="s">
        <v>18</v>
      </c>
      <c r="F1358" s="242" t="s">
        <v>8</v>
      </c>
    </row>
    <row r="1359" spans="1:6">
      <c r="A1359" s="211"/>
      <c r="B1359" s="120" t="s">
        <v>948</v>
      </c>
      <c r="C1359" s="16"/>
      <c r="D1359" s="46">
        <f>2.35+17.5+2.35+17.5</f>
        <v>39.700000000000003</v>
      </c>
      <c r="E1359" s="46">
        <v>1.8</v>
      </c>
      <c r="F1359" s="237">
        <f>D1359*E1359</f>
        <v>71.460000000000008</v>
      </c>
    </row>
    <row r="1360" spans="1:6">
      <c r="A1360" s="211"/>
      <c r="B1360" s="120" t="s">
        <v>953</v>
      </c>
      <c r="C1360" s="16"/>
      <c r="D1360" s="172">
        <f>14*2.24</f>
        <v>31.360000000000003</v>
      </c>
      <c r="E1360" s="172">
        <v>0.35</v>
      </c>
      <c r="F1360" s="237">
        <f>E1360*D1360</f>
        <v>10.976000000000001</v>
      </c>
    </row>
    <row r="1361" spans="1:6">
      <c r="A1361" s="211"/>
      <c r="B1361" s="120" t="s">
        <v>949</v>
      </c>
      <c r="C1361" s="16"/>
      <c r="D1361" s="172">
        <f>2*2.25</f>
        <v>4.5</v>
      </c>
      <c r="E1361" s="172">
        <v>1.8</v>
      </c>
      <c r="F1361" s="237">
        <f>E1361*D1361</f>
        <v>8.1</v>
      </c>
    </row>
    <row r="1362" spans="1:6">
      <c r="A1362" s="211"/>
      <c r="B1362" s="120" t="s">
        <v>950</v>
      </c>
      <c r="C1362" s="16"/>
      <c r="D1362" s="46">
        <f>4*0.9</f>
        <v>3.6</v>
      </c>
      <c r="E1362" s="46">
        <v>1.8</v>
      </c>
      <c r="F1362" s="237">
        <f>E1362*D1362</f>
        <v>6.48</v>
      </c>
    </row>
    <row r="1363" spans="1:6">
      <c r="A1363" s="211"/>
      <c r="B1363" s="120" t="s">
        <v>583</v>
      </c>
      <c r="C1363" s="16"/>
      <c r="D1363" s="172">
        <f>2*0.7</f>
        <v>1.4</v>
      </c>
      <c r="E1363" s="172">
        <v>1.8</v>
      </c>
      <c r="F1363" s="237">
        <f>E1363*D1363</f>
        <v>2.52</v>
      </c>
    </row>
    <row r="1364" spans="1:6">
      <c r="A1364" s="211"/>
      <c r="B1364" s="391" t="s">
        <v>14</v>
      </c>
      <c r="C1364" s="357"/>
      <c r="D1364" s="357"/>
      <c r="E1364" s="357"/>
      <c r="F1364" s="213">
        <f>F1359-F1361-F1362-F1363</f>
        <v>54.360000000000007</v>
      </c>
    </row>
    <row r="1365" spans="1:6">
      <c r="A1365" s="201"/>
      <c r="B1365" s="15" t="s">
        <v>707</v>
      </c>
      <c r="C1365" s="84" t="s">
        <v>16</v>
      </c>
      <c r="D1365" s="84" t="s">
        <v>19</v>
      </c>
      <c r="E1365" s="84" t="s">
        <v>18</v>
      </c>
      <c r="F1365" s="145" t="s">
        <v>8</v>
      </c>
    </row>
    <row r="1366" spans="1:6">
      <c r="A1366" s="201"/>
      <c r="B1366" s="100" t="s">
        <v>708</v>
      </c>
      <c r="C1366" s="84"/>
      <c r="D1366" s="46">
        <f>8.65+ 7.36+ 8.65+7.36</f>
        <v>32.020000000000003</v>
      </c>
      <c r="E1366" s="85">
        <v>1.8</v>
      </c>
      <c r="F1366" s="237">
        <f>D1366*E1366</f>
        <v>57.63600000000001</v>
      </c>
    </row>
    <row r="1367" spans="1:6">
      <c r="A1367" s="201"/>
      <c r="B1367" s="32" t="s">
        <v>709</v>
      </c>
      <c r="C1367" s="72"/>
      <c r="D1367" s="187">
        <f>6*2.24</f>
        <v>13.440000000000001</v>
      </c>
      <c r="E1367" s="187">
        <v>0.35</v>
      </c>
      <c r="F1367" s="237">
        <f>D1367*E1367</f>
        <v>4.7039999999999997</v>
      </c>
    </row>
    <row r="1368" spans="1:6">
      <c r="A1368" s="201"/>
      <c r="B1368" s="15" t="s">
        <v>710</v>
      </c>
      <c r="C1368" s="84"/>
      <c r="D1368" s="85">
        <f>2*2.24</f>
        <v>4.4800000000000004</v>
      </c>
      <c r="E1368" s="85">
        <v>1.3</v>
      </c>
      <c r="F1368" s="237">
        <f>E1368*D1368</f>
        <v>5.8240000000000007</v>
      </c>
    </row>
    <row r="1369" spans="1:6">
      <c r="A1369" s="201"/>
      <c r="B1369" s="100" t="s">
        <v>626</v>
      </c>
      <c r="C1369" s="16"/>
      <c r="D1369" s="46">
        <v>2.25</v>
      </c>
      <c r="E1369" s="46">
        <v>1.8</v>
      </c>
      <c r="F1369" s="237">
        <f>E1369*D1369</f>
        <v>4.05</v>
      </c>
    </row>
    <row r="1370" spans="1:6">
      <c r="A1370" s="201"/>
      <c r="B1370" s="118" t="s">
        <v>627</v>
      </c>
      <c r="C1370" s="119"/>
      <c r="D1370" s="71">
        <v>3</v>
      </c>
      <c r="E1370" s="71">
        <v>1.8</v>
      </c>
      <c r="F1370" s="237">
        <f>E1370*D1370</f>
        <v>5.4</v>
      </c>
    </row>
    <row r="1371" spans="1:6">
      <c r="A1371" s="201"/>
      <c r="B1371" s="100" t="s">
        <v>608</v>
      </c>
      <c r="C1371" s="16"/>
      <c r="D1371" s="46">
        <f>0.9</f>
        <v>0.9</v>
      </c>
      <c r="E1371" s="46">
        <v>1.8</v>
      </c>
      <c r="F1371" s="237">
        <f>E1371*D1371</f>
        <v>1.62</v>
      </c>
    </row>
    <row r="1372" spans="1:6">
      <c r="A1372" s="201"/>
      <c r="B1372" s="329" t="s">
        <v>14</v>
      </c>
      <c r="C1372" s="329"/>
      <c r="D1372" s="329"/>
      <c r="E1372" s="329"/>
      <c r="F1372" s="213">
        <f>F1366-F1367-F1368-F1369-F1370-F1371</f>
        <v>36.038000000000018</v>
      </c>
    </row>
    <row r="1373" spans="1:6">
      <c r="A1373" s="201"/>
      <c r="B1373" s="15" t="s">
        <v>32</v>
      </c>
      <c r="C1373" s="48" t="s">
        <v>16</v>
      </c>
      <c r="D1373" s="45" t="s">
        <v>19</v>
      </c>
      <c r="E1373" s="45" t="s">
        <v>18</v>
      </c>
      <c r="F1373" s="242" t="s">
        <v>8</v>
      </c>
    </row>
    <row r="1374" spans="1:6">
      <c r="A1374" s="201"/>
      <c r="B1374" s="100" t="s">
        <v>628</v>
      </c>
      <c r="C1374" s="16"/>
      <c r="D1374" s="172">
        <f>2.35+4.25+2.35+4.25</f>
        <v>13.2</v>
      </c>
      <c r="E1374" s="172">
        <v>1.8</v>
      </c>
      <c r="F1374" s="237">
        <f>D1374*E1374</f>
        <v>23.759999999999998</v>
      </c>
    </row>
    <row r="1375" spans="1:6">
      <c r="A1375" s="201"/>
      <c r="B1375" s="100" t="s">
        <v>611</v>
      </c>
      <c r="C1375" s="16"/>
      <c r="D1375" s="172">
        <f>2.24</f>
        <v>2.2400000000000002</v>
      </c>
      <c r="E1375" s="172">
        <v>1.3</v>
      </c>
      <c r="F1375" s="237">
        <f>E1375*D1375</f>
        <v>2.9120000000000004</v>
      </c>
    </row>
    <row r="1376" spans="1:6">
      <c r="A1376" s="201"/>
      <c r="B1376" s="32" t="s">
        <v>685</v>
      </c>
      <c r="C1376" s="72"/>
      <c r="D1376" s="187">
        <v>2.2400000000000002</v>
      </c>
      <c r="E1376" s="187">
        <v>0.35</v>
      </c>
      <c r="F1376" s="237">
        <f>D1376*E1376</f>
        <v>0.78400000000000003</v>
      </c>
    </row>
    <row r="1377" spans="1:6">
      <c r="A1377" s="201"/>
      <c r="B1377" s="100" t="s">
        <v>629</v>
      </c>
      <c r="C1377" s="16"/>
      <c r="D1377" s="46">
        <f>2*0.9</f>
        <v>1.8</v>
      </c>
      <c r="E1377" s="46">
        <v>1.8</v>
      </c>
      <c r="F1377" s="237">
        <f>E1377*D1377</f>
        <v>3.24</v>
      </c>
    </row>
    <row r="1378" spans="1:6">
      <c r="A1378" s="201"/>
      <c r="B1378" s="329" t="s">
        <v>14</v>
      </c>
      <c r="C1378" s="329"/>
      <c r="D1378" s="329"/>
      <c r="E1378" s="329"/>
      <c r="F1378" s="213">
        <f>F1374-F1375-F1377-F1376</f>
        <v>16.823999999999998</v>
      </c>
    </row>
    <row r="1379" spans="1:6">
      <c r="A1379" s="201"/>
      <c r="B1379" s="15" t="s">
        <v>67</v>
      </c>
      <c r="C1379" s="48" t="s">
        <v>16</v>
      </c>
      <c r="D1379" s="45" t="s">
        <v>19</v>
      </c>
      <c r="E1379" s="45" t="s">
        <v>18</v>
      </c>
      <c r="F1379" s="242" t="s">
        <v>8</v>
      </c>
    </row>
    <row r="1380" spans="1:6">
      <c r="A1380" s="201"/>
      <c r="B1380" s="100" t="s">
        <v>711</v>
      </c>
      <c r="C1380" s="16"/>
      <c r="D1380" s="46">
        <f>6.15+4.85+6.15+4.85</f>
        <v>22</v>
      </c>
      <c r="E1380" s="46">
        <v>1.8</v>
      </c>
      <c r="F1380" s="237">
        <f>D1380*E1380</f>
        <v>39.6</v>
      </c>
    </row>
    <row r="1381" spans="1:6">
      <c r="A1381" s="201"/>
      <c r="B1381" s="100" t="s">
        <v>609</v>
      </c>
      <c r="C1381" s="16"/>
      <c r="D1381" s="172">
        <f>2.24</f>
        <v>2.2400000000000002</v>
      </c>
      <c r="E1381" s="172">
        <v>1.3</v>
      </c>
      <c r="F1381" s="237">
        <f>E1381*D1381</f>
        <v>2.9120000000000004</v>
      </c>
    </row>
    <row r="1382" spans="1:6">
      <c r="A1382" s="201"/>
      <c r="B1382" s="100" t="s">
        <v>625</v>
      </c>
      <c r="C1382" s="16"/>
      <c r="D1382" s="172">
        <f>1.35</f>
        <v>1.35</v>
      </c>
      <c r="E1382" s="172">
        <v>1.3</v>
      </c>
      <c r="F1382" s="237">
        <f>E1382*D1382</f>
        <v>1.7550000000000001</v>
      </c>
    </row>
    <row r="1383" spans="1:6">
      <c r="A1383" s="201"/>
      <c r="B1383" s="32" t="s">
        <v>712</v>
      </c>
      <c r="C1383" s="72"/>
      <c r="D1383" s="187">
        <f>4*2.24</f>
        <v>8.9600000000000009</v>
      </c>
      <c r="E1383" s="187">
        <v>0.35</v>
      </c>
      <c r="F1383" s="237">
        <f>D1383*E1383</f>
        <v>3.1360000000000001</v>
      </c>
    </row>
    <row r="1384" spans="1:6">
      <c r="A1384" s="201"/>
      <c r="B1384" s="100" t="s">
        <v>635</v>
      </c>
      <c r="C1384" s="16"/>
      <c r="D1384" s="172">
        <f>3*0.9</f>
        <v>2.7</v>
      </c>
      <c r="E1384" s="172">
        <v>1.8</v>
      </c>
      <c r="F1384" s="237">
        <f>E1384*D1384</f>
        <v>4.8600000000000003</v>
      </c>
    </row>
    <row r="1385" spans="1:6">
      <c r="A1385" s="201"/>
      <c r="B1385" s="357" t="s">
        <v>14</v>
      </c>
      <c r="C1385" s="357"/>
      <c r="D1385" s="357"/>
      <c r="E1385" s="357"/>
      <c r="F1385" s="213">
        <f>F1380-F1381-F1384-F1382-F1383</f>
        <v>26.937000000000005</v>
      </c>
    </row>
    <row r="1386" spans="1:6">
      <c r="A1386" s="201"/>
      <c r="B1386" s="15" t="s">
        <v>31</v>
      </c>
      <c r="C1386" s="48" t="s">
        <v>16</v>
      </c>
      <c r="D1386" s="45" t="s">
        <v>19</v>
      </c>
      <c r="E1386" s="45" t="s">
        <v>18</v>
      </c>
      <c r="F1386" s="242" t="s">
        <v>8</v>
      </c>
    </row>
    <row r="1387" spans="1:6">
      <c r="A1387" s="201"/>
      <c r="B1387" s="100" t="s">
        <v>636</v>
      </c>
      <c r="C1387" s="16"/>
      <c r="D1387" s="172">
        <f>6.15+2.35+6.15+2.35</f>
        <v>17</v>
      </c>
      <c r="E1387" s="172">
        <v>1.8</v>
      </c>
      <c r="F1387" s="237">
        <f>D1387*E1387</f>
        <v>30.6</v>
      </c>
    </row>
    <row r="1388" spans="1:6">
      <c r="A1388" s="201"/>
      <c r="B1388" s="100" t="s">
        <v>611</v>
      </c>
      <c r="C1388" s="16"/>
      <c r="D1388" s="172">
        <f>2.24</f>
        <v>2.2400000000000002</v>
      </c>
      <c r="E1388" s="172">
        <v>1.3</v>
      </c>
      <c r="F1388" s="237">
        <f>E1388*D1388</f>
        <v>2.9120000000000004</v>
      </c>
    </row>
    <row r="1389" spans="1:6">
      <c r="A1389" s="201"/>
      <c r="B1389" s="32" t="s">
        <v>322</v>
      </c>
      <c r="C1389" s="72"/>
      <c r="D1389" s="187">
        <f>2*2.24</f>
        <v>4.4800000000000004</v>
      </c>
      <c r="E1389" s="187">
        <v>0.35</v>
      </c>
      <c r="F1389" s="237">
        <f>D1389*E1389</f>
        <v>1.5680000000000001</v>
      </c>
    </row>
    <row r="1390" spans="1:6">
      <c r="A1390" s="201"/>
      <c r="B1390" s="100" t="s">
        <v>608</v>
      </c>
      <c r="C1390" s="16"/>
      <c r="D1390" s="46">
        <f>0.9</f>
        <v>0.9</v>
      </c>
      <c r="E1390" s="46">
        <v>1.8</v>
      </c>
      <c r="F1390" s="237">
        <f>E1390*D1390</f>
        <v>1.62</v>
      </c>
    </row>
    <row r="1391" spans="1:6">
      <c r="A1391" s="201"/>
      <c r="B1391" s="329" t="s">
        <v>14</v>
      </c>
      <c r="C1391" s="329"/>
      <c r="D1391" s="329"/>
      <c r="E1391" s="329"/>
      <c r="F1391" s="213">
        <f>F1387-F1388-F1390-F1389</f>
        <v>24.5</v>
      </c>
    </row>
    <row r="1392" spans="1:6">
      <c r="A1392" s="201"/>
      <c r="B1392" s="15" t="s">
        <v>71</v>
      </c>
      <c r="C1392" s="48" t="s">
        <v>16</v>
      </c>
      <c r="D1392" s="45" t="s">
        <v>19</v>
      </c>
      <c r="E1392" s="45" t="s">
        <v>18</v>
      </c>
      <c r="F1392" s="242" t="s">
        <v>8</v>
      </c>
    </row>
    <row r="1393" spans="1:6">
      <c r="A1393" s="201"/>
      <c r="B1393" s="100" t="s">
        <v>45</v>
      </c>
      <c r="C1393" s="16"/>
      <c r="D1393" s="46">
        <f>6.15+4.85+6.15+4.85</f>
        <v>22</v>
      </c>
      <c r="E1393" s="46">
        <v>1.8</v>
      </c>
      <c r="F1393" s="237">
        <f>D1393*E1393</f>
        <v>39.6</v>
      </c>
    </row>
    <row r="1394" spans="1:6">
      <c r="A1394" s="201"/>
      <c r="B1394" s="100" t="s">
        <v>588</v>
      </c>
      <c r="C1394" s="16"/>
      <c r="D1394" s="172">
        <f>2*2.24</f>
        <v>4.4800000000000004</v>
      </c>
      <c r="E1394" s="172">
        <v>1.3</v>
      </c>
      <c r="F1394" s="237">
        <f>E1394*D1394</f>
        <v>5.8240000000000007</v>
      </c>
    </row>
    <row r="1395" spans="1:6">
      <c r="A1395" s="201"/>
      <c r="B1395" s="32" t="s">
        <v>712</v>
      </c>
      <c r="C1395" s="72"/>
      <c r="D1395" s="187">
        <f>4*2.24</f>
        <v>8.9600000000000009</v>
      </c>
      <c r="E1395" s="187">
        <v>0.35</v>
      </c>
      <c r="F1395" s="237">
        <f>D1395*E1395</f>
        <v>3.1360000000000001</v>
      </c>
    </row>
    <row r="1396" spans="1:6">
      <c r="A1396" s="201"/>
      <c r="B1396" s="100" t="s">
        <v>608</v>
      </c>
      <c r="C1396" s="16"/>
      <c r="D1396" s="172">
        <v>0.9</v>
      </c>
      <c r="E1396" s="172">
        <v>1.8</v>
      </c>
      <c r="F1396" s="237">
        <f>E1396*D1396</f>
        <v>1.62</v>
      </c>
    </row>
    <row r="1397" spans="1:6">
      <c r="A1397" s="201"/>
      <c r="B1397" s="357" t="s">
        <v>14</v>
      </c>
      <c r="C1397" s="357"/>
      <c r="D1397" s="357"/>
      <c r="E1397" s="357"/>
      <c r="F1397" s="213">
        <f>F1393-F1394-F1396-F1395</f>
        <v>29.020000000000007</v>
      </c>
    </row>
    <row r="1398" spans="1:6">
      <c r="A1398" s="201"/>
      <c r="B1398" s="15" t="s">
        <v>72</v>
      </c>
      <c r="C1398" s="48" t="s">
        <v>16</v>
      </c>
      <c r="D1398" s="45" t="s">
        <v>19</v>
      </c>
      <c r="E1398" s="45" t="s">
        <v>18</v>
      </c>
      <c r="F1398" s="242" t="s">
        <v>8</v>
      </c>
    </row>
    <row r="1399" spans="1:6">
      <c r="A1399" s="201"/>
      <c r="B1399" s="100" t="s">
        <v>711</v>
      </c>
      <c r="C1399" s="16"/>
      <c r="D1399" s="46">
        <f>6.15+4.85+6.15+4.85</f>
        <v>22</v>
      </c>
      <c r="E1399" s="46">
        <v>1.8</v>
      </c>
      <c r="F1399" s="237">
        <f>D1399*E1399</f>
        <v>39.6</v>
      </c>
    </row>
    <row r="1400" spans="1:6">
      <c r="A1400" s="201"/>
      <c r="B1400" s="100" t="s">
        <v>588</v>
      </c>
      <c r="C1400" s="16"/>
      <c r="D1400" s="172">
        <f>2*2.24</f>
        <v>4.4800000000000004</v>
      </c>
      <c r="E1400" s="172">
        <v>1.3</v>
      </c>
      <c r="F1400" s="237">
        <f>E1400*D1400</f>
        <v>5.8240000000000007</v>
      </c>
    </row>
    <row r="1401" spans="1:6">
      <c r="A1401" s="201"/>
      <c r="B1401" s="32" t="s">
        <v>712</v>
      </c>
      <c r="C1401" s="72"/>
      <c r="D1401" s="187">
        <f>4*2.24</f>
        <v>8.9600000000000009</v>
      </c>
      <c r="E1401" s="187">
        <v>0.35</v>
      </c>
      <c r="F1401" s="237">
        <f>D1401*E1401</f>
        <v>3.1360000000000001</v>
      </c>
    </row>
    <row r="1402" spans="1:6">
      <c r="A1402" s="201"/>
      <c r="B1402" s="100" t="s">
        <v>608</v>
      </c>
      <c r="C1402" s="16"/>
      <c r="D1402" s="172">
        <v>0.9</v>
      </c>
      <c r="E1402" s="172">
        <v>1.8</v>
      </c>
      <c r="F1402" s="237">
        <f>E1402*D1402</f>
        <v>1.62</v>
      </c>
    </row>
    <row r="1403" spans="1:6">
      <c r="A1403" s="201"/>
      <c r="B1403" s="357" t="s">
        <v>14</v>
      </c>
      <c r="C1403" s="357"/>
      <c r="D1403" s="357"/>
      <c r="E1403" s="357"/>
      <c r="F1403" s="213">
        <f>F1399-F1400-F1402-F1401</f>
        <v>29.020000000000007</v>
      </c>
    </row>
    <row r="1404" spans="1:6">
      <c r="A1404" s="201"/>
      <c r="B1404" s="15" t="s">
        <v>73</v>
      </c>
      <c r="C1404" s="48" t="s">
        <v>16</v>
      </c>
      <c r="D1404" s="45" t="s">
        <v>19</v>
      </c>
      <c r="E1404" s="45" t="s">
        <v>18</v>
      </c>
      <c r="F1404" s="242" t="s">
        <v>8</v>
      </c>
    </row>
    <row r="1405" spans="1:6">
      <c r="A1405" s="201"/>
      <c r="B1405" s="100" t="s">
        <v>45</v>
      </c>
      <c r="C1405" s="16"/>
      <c r="D1405" s="46">
        <f>6.15+4.85+6.15+4.85</f>
        <v>22</v>
      </c>
      <c r="E1405" s="46">
        <v>1.8</v>
      </c>
      <c r="F1405" s="237">
        <f>D1405*E1405</f>
        <v>39.6</v>
      </c>
    </row>
    <row r="1406" spans="1:6">
      <c r="A1406" s="201"/>
      <c r="B1406" s="100" t="s">
        <v>588</v>
      </c>
      <c r="C1406" s="16"/>
      <c r="D1406" s="172">
        <f>2*2.24</f>
        <v>4.4800000000000004</v>
      </c>
      <c r="E1406" s="172">
        <v>1.3</v>
      </c>
      <c r="F1406" s="237">
        <f>E1406*D1406</f>
        <v>5.8240000000000007</v>
      </c>
    </row>
    <row r="1407" spans="1:6">
      <c r="A1407" s="201"/>
      <c r="B1407" s="32" t="s">
        <v>712</v>
      </c>
      <c r="C1407" s="72"/>
      <c r="D1407" s="187">
        <f>4*2.24</f>
        <v>8.9600000000000009</v>
      </c>
      <c r="E1407" s="187">
        <v>0.35</v>
      </c>
      <c r="F1407" s="237">
        <f>D1407*E1407</f>
        <v>3.1360000000000001</v>
      </c>
    </row>
    <row r="1408" spans="1:6">
      <c r="A1408" s="201"/>
      <c r="B1408" s="100" t="s">
        <v>608</v>
      </c>
      <c r="C1408" s="16"/>
      <c r="D1408" s="172">
        <f>0.9</f>
        <v>0.9</v>
      </c>
      <c r="E1408" s="172">
        <v>1.8</v>
      </c>
      <c r="F1408" s="237">
        <f>E1408*D1408</f>
        <v>1.62</v>
      </c>
    </row>
    <row r="1409" spans="1:6">
      <c r="A1409" s="201"/>
      <c r="B1409" s="357" t="s">
        <v>14</v>
      </c>
      <c r="C1409" s="357"/>
      <c r="D1409" s="357"/>
      <c r="E1409" s="357"/>
      <c r="F1409" s="213">
        <f>F1405-F1406-F1408-F1407</f>
        <v>29.020000000000007</v>
      </c>
    </row>
    <row r="1410" spans="1:6">
      <c r="A1410" s="201"/>
      <c r="B1410" s="15" t="s">
        <v>638</v>
      </c>
      <c r="C1410" s="48" t="s">
        <v>16</v>
      </c>
      <c r="D1410" s="45" t="s">
        <v>19</v>
      </c>
      <c r="E1410" s="45" t="s">
        <v>18</v>
      </c>
      <c r="F1410" s="242" t="s">
        <v>8</v>
      </c>
    </row>
    <row r="1411" spans="1:6">
      <c r="A1411" s="201"/>
      <c r="B1411" s="100" t="s">
        <v>713</v>
      </c>
      <c r="C1411" s="16"/>
      <c r="D1411" s="46">
        <f>6.15+4.85+6.15+4.85</f>
        <v>22</v>
      </c>
      <c r="E1411" s="46">
        <v>1.8</v>
      </c>
      <c r="F1411" s="237">
        <f>D1411*E1411</f>
        <v>39.6</v>
      </c>
    </row>
    <row r="1412" spans="1:6">
      <c r="A1412" s="201"/>
      <c r="B1412" s="100" t="s">
        <v>588</v>
      </c>
      <c r="C1412" s="16"/>
      <c r="D1412" s="172">
        <f>2*2.24</f>
        <v>4.4800000000000004</v>
      </c>
      <c r="E1412" s="172">
        <v>1.3</v>
      </c>
      <c r="F1412" s="237">
        <f>E1412*D1412</f>
        <v>5.8240000000000007</v>
      </c>
    </row>
    <row r="1413" spans="1:6">
      <c r="A1413" s="201"/>
      <c r="B1413" s="32" t="s">
        <v>712</v>
      </c>
      <c r="C1413" s="72"/>
      <c r="D1413" s="187">
        <f>4*2.24</f>
        <v>8.9600000000000009</v>
      </c>
      <c r="E1413" s="187">
        <v>0.35</v>
      </c>
      <c r="F1413" s="237">
        <f>D1413*E1413</f>
        <v>3.1360000000000001</v>
      </c>
    </row>
    <row r="1414" spans="1:6">
      <c r="A1414" s="201"/>
      <c r="B1414" s="100" t="s">
        <v>637</v>
      </c>
      <c r="C1414" s="16"/>
      <c r="D1414" s="172">
        <f>0.9</f>
        <v>0.9</v>
      </c>
      <c r="E1414" s="172">
        <v>1.8</v>
      </c>
      <c r="F1414" s="237">
        <f>E1414*D1414</f>
        <v>1.62</v>
      </c>
    </row>
    <row r="1415" spans="1:6">
      <c r="A1415" s="201"/>
      <c r="B1415" s="357" t="s">
        <v>14</v>
      </c>
      <c r="C1415" s="357"/>
      <c r="D1415" s="357"/>
      <c r="E1415" s="357"/>
      <c r="F1415" s="213">
        <f>F1411-F1412-F1414-F1413</f>
        <v>29.020000000000007</v>
      </c>
    </row>
    <row r="1416" spans="1:6">
      <c r="A1416" s="201"/>
      <c r="B1416" s="100" t="s">
        <v>639</v>
      </c>
      <c r="C1416" s="48" t="s">
        <v>16</v>
      </c>
      <c r="D1416" s="45" t="s">
        <v>19</v>
      </c>
      <c r="E1416" s="45" t="s">
        <v>18</v>
      </c>
      <c r="F1416" s="242" t="s">
        <v>8</v>
      </c>
    </row>
    <row r="1417" spans="1:6">
      <c r="A1417" s="201"/>
      <c r="B1417" s="100" t="s">
        <v>714</v>
      </c>
      <c r="C1417" s="16"/>
      <c r="D1417" s="46">
        <f>6.35+12.35+6.35+3.85+9.85+3.8+2.7+2.3</f>
        <v>47.55</v>
      </c>
      <c r="E1417" s="46">
        <v>1.8</v>
      </c>
      <c r="F1417" s="237">
        <f>D1417*E1417</f>
        <v>85.59</v>
      </c>
    </row>
    <row r="1418" spans="1:6">
      <c r="A1418" s="201"/>
      <c r="B1418" s="100" t="s">
        <v>641</v>
      </c>
      <c r="C1418" s="16"/>
      <c r="D1418" s="172">
        <f>5*2.24</f>
        <v>11.200000000000001</v>
      </c>
      <c r="E1418" s="172">
        <v>1.3</v>
      </c>
      <c r="F1418" s="237">
        <f>E1418*D1418</f>
        <v>14.560000000000002</v>
      </c>
    </row>
    <row r="1419" spans="1:6">
      <c r="A1419" s="201"/>
      <c r="B1419" s="32" t="s">
        <v>715</v>
      </c>
      <c r="C1419" s="72"/>
      <c r="D1419" s="187">
        <f>10*2.24</f>
        <v>22.400000000000002</v>
      </c>
      <c r="E1419" s="187">
        <v>0.35</v>
      </c>
      <c r="F1419" s="237">
        <f>D1419*E1419</f>
        <v>7.84</v>
      </c>
    </row>
    <row r="1420" spans="1:6">
      <c r="A1420" s="201"/>
      <c r="B1420" s="100" t="s">
        <v>716</v>
      </c>
      <c r="C1420" s="16"/>
      <c r="D1420" s="172">
        <f>2*0.9</f>
        <v>1.8</v>
      </c>
      <c r="E1420" s="172">
        <v>1.8</v>
      </c>
      <c r="F1420" s="237">
        <f>E1420*D1420</f>
        <v>3.24</v>
      </c>
    </row>
    <row r="1421" spans="1:6">
      <c r="A1421" s="201"/>
      <c r="B1421" s="100" t="s">
        <v>717</v>
      </c>
      <c r="C1421" s="16"/>
      <c r="D1421" s="172">
        <v>2.25</v>
      </c>
      <c r="E1421" s="172">
        <v>1.8</v>
      </c>
      <c r="F1421" s="237">
        <f>E1421*D1421</f>
        <v>4.05</v>
      </c>
    </row>
    <row r="1422" spans="1:6">
      <c r="A1422" s="201"/>
      <c r="B1422" s="357" t="s">
        <v>14</v>
      </c>
      <c r="C1422" s="357"/>
      <c r="D1422" s="357"/>
      <c r="E1422" s="357"/>
      <c r="F1422" s="213">
        <f>F1417-F1418-F1419-F1420-F1421</f>
        <v>55.9</v>
      </c>
    </row>
    <row r="1423" spans="1:6">
      <c r="A1423" s="201"/>
      <c r="B1423" s="100" t="s">
        <v>644</v>
      </c>
      <c r="C1423" s="48" t="s">
        <v>16</v>
      </c>
      <c r="D1423" s="45" t="s">
        <v>19</v>
      </c>
      <c r="E1423" s="45" t="s">
        <v>18</v>
      </c>
      <c r="F1423" s="242" t="s">
        <v>8</v>
      </c>
    </row>
    <row r="1424" spans="1:6">
      <c r="A1424" s="201"/>
      <c r="B1424" s="100" t="s">
        <v>718</v>
      </c>
      <c r="C1424" s="16"/>
      <c r="D1424" s="46">
        <f>3.65+2.35+3.65+2.35</f>
        <v>12</v>
      </c>
      <c r="E1424" s="46">
        <v>1.8</v>
      </c>
      <c r="F1424" s="237">
        <f>D1424*E1424</f>
        <v>21.6</v>
      </c>
    </row>
    <row r="1425" spans="1:6">
      <c r="A1425" s="201"/>
      <c r="B1425" s="32" t="s">
        <v>322</v>
      </c>
      <c r="C1425" s="72"/>
      <c r="D1425" s="187">
        <f>2*2.24</f>
        <v>4.4800000000000004</v>
      </c>
      <c r="E1425" s="187">
        <v>0.35</v>
      </c>
      <c r="F1425" s="237">
        <f>D1425*E1425</f>
        <v>1.5680000000000001</v>
      </c>
    </row>
    <row r="1426" spans="1:6">
      <c r="A1426" s="201"/>
      <c r="B1426" s="100" t="s">
        <v>637</v>
      </c>
      <c r="C1426" s="16"/>
      <c r="D1426" s="172">
        <f>0.9</f>
        <v>0.9</v>
      </c>
      <c r="E1426" s="172">
        <v>1.8</v>
      </c>
      <c r="F1426" s="237">
        <f>E1426*D1426</f>
        <v>1.62</v>
      </c>
    </row>
    <row r="1427" spans="1:6">
      <c r="A1427" s="201"/>
      <c r="B1427" s="357" t="s">
        <v>14</v>
      </c>
      <c r="C1427" s="357"/>
      <c r="D1427" s="357"/>
      <c r="E1427" s="357"/>
      <c r="F1427" s="213">
        <f>F1424-F1426-F1425</f>
        <v>18.411999999999999</v>
      </c>
    </row>
    <row r="1428" spans="1:6">
      <c r="A1428" s="201"/>
      <c r="B1428" s="100" t="s">
        <v>646</v>
      </c>
      <c r="C1428" s="48" t="s">
        <v>16</v>
      </c>
      <c r="D1428" s="45" t="s">
        <v>19</v>
      </c>
      <c r="E1428" s="45" t="s">
        <v>18</v>
      </c>
      <c r="F1428" s="242" t="s">
        <v>8</v>
      </c>
    </row>
    <row r="1429" spans="1:6">
      <c r="A1429" s="201"/>
      <c r="B1429" s="100" t="s">
        <v>718</v>
      </c>
      <c r="C1429" s="16"/>
      <c r="D1429" s="46">
        <v>12</v>
      </c>
      <c r="E1429" s="46">
        <v>1.8</v>
      </c>
      <c r="F1429" s="237">
        <f>D1429*E1429</f>
        <v>21.6</v>
      </c>
    </row>
    <row r="1430" spans="1:6">
      <c r="A1430" s="201"/>
      <c r="B1430" s="32" t="s">
        <v>322</v>
      </c>
      <c r="C1430" s="72"/>
      <c r="D1430" s="187">
        <f>2*2.24</f>
        <v>4.4800000000000004</v>
      </c>
      <c r="E1430" s="187">
        <v>0.35</v>
      </c>
      <c r="F1430" s="237">
        <f>D1430*E1430</f>
        <v>1.5680000000000001</v>
      </c>
    </row>
    <row r="1431" spans="1:6">
      <c r="A1431" s="201"/>
      <c r="B1431" s="100" t="s">
        <v>637</v>
      </c>
      <c r="C1431" s="16"/>
      <c r="D1431" s="172">
        <f>0.9</f>
        <v>0.9</v>
      </c>
      <c r="E1431" s="172">
        <v>1.8</v>
      </c>
      <c r="F1431" s="237">
        <f>E1431*D1431</f>
        <v>1.62</v>
      </c>
    </row>
    <row r="1432" spans="1:6">
      <c r="A1432" s="201"/>
      <c r="B1432" s="357" t="s">
        <v>14</v>
      </c>
      <c r="C1432" s="357"/>
      <c r="D1432" s="357"/>
      <c r="E1432" s="357"/>
      <c r="F1432" s="213">
        <f>F1429-F1431-F1430</f>
        <v>18.411999999999999</v>
      </c>
    </row>
    <row r="1433" spans="1:6">
      <c r="A1433" s="201"/>
      <c r="B1433" s="15" t="s">
        <v>647</v>
      </c>
      <c r="C1433" s="48" t="s">
        <v>16</v>
      </c>
      <c r="D1433" s="45" t="s">
        <v>19</v>
      </c>
      <c r="E1433" s="45" t="s">
        <v>18</v>
      </c>
      <c r="F1433" s="242" t="s">
        <v>8</v>
      </c>
    </row>
    <row r="1434" spans="1:6">
      <c r="A1434" s="201"/>
      <c r="B1434" s="100" t="s">
        <v>719</v>
      </c>
      <c r="C1434" s="16"/>
      <c r="D1434" s="46">
        <f>8.85+2.35+6.5+2.35</f>
        <v>20.05</v>
      </c>
      <c r="E1434" s="46">
        <v>1.8</v>
      </c>
      <c r="F1434" s="237">
        <f>D1434*E1434</f>
        <v>36.090000000000003</v>
      </c>
    </row>
    <row r="1435" spans="1:6">
      <c r="A1435" s="201"/>
      <c r="B1435" s="32" t="s">
        <v>322</v>
      </c>
      <c r="C1435" s="72"/>
      <c r="D1435" s="187">
        <f>2*2.24</f>
        <v>4.4800000000000004</v>
      </c>
      <c r="E1435" s="187">
        <v>0.35</v>
      </c>
      <c r="F1435" s="237">
        <f>D1435*E1435</f>
        <v>1.5680000000000001</v>
      </c>
    </row>
    <row r="1436" spans="1:6">
      <c r="A1436" s="201"/>
      <c r="B1436" s="100" t="s">
        <v>626</v>
      </c>
      <c r="C1436" s="16"/>
      <c r="D1436" s="172">
        <v>2.25</v>
      </c>
      <c r="E1436" s="172">
        <v>1.8</v>
      </c>
      <c r="F1436" s="237">
        <f>E1436*D1436</f>
        <v>4.05</v>
      </c>
    </row>
    <row r="1437" spans="1:6">
      <c r="A1437" s="201"/>
      <c r="B1437" s="357" t="s">
        <v>14</v>
      </c>
      <c r="C1437" s="357"/>
      <c r="D1437" s="357"/>
      <c r="E1437" s="357"/>
      <c r="F1437" s="213">
        <f>F1434-F1436-F1435</f>
        <v>30.472000000000005</v>
      </c>
    </row>
    <row r="1438" spans="1:6">
      <c r="A1438" s="201"/>
      <c r="B1438" s="15" t="s">
        <v>649</v>
      </c>
      <c r="C1438" s="48" t="s">
        <v>16</v>
      </c>
      <c r="D1438" s="45" t="s">
        <v>19</v>
      </c>
      <c r="E1438" s="45" t="s">
        <v>18</v>
      </c>
      <c r="F1438" s="242" t="s">
        <v>8</v>
      </c>
    </row>
    <row r="1439" spans="1:6">
      <c r="A1439" s="201"/>
      <c r="B1439" s="100" t="s">
        <v>720</v>
      </c>
      <c r="C1439" s="16"/>
      <c r="D1439" s="46">
        <f>6.2+24.85+6.2+24.85</f>
        <v>62.1</v>
      </c>
      <c r="E1439" s="46">
        <v>1.8</v>
      </c>
      <c r="F1439" s="237">
        <f>D1439*E1439</f>
        <v>111.78</v>
      </c>
    </row>
    <row r="1440" spans="1:6">
      <c r="A1440" s="201"/>
      <c r="B1440" s="100" t="s">
        <v>651</v>
      </c>
      <c r="C1440" s="16"/>
      <c r="D1440" s="172">
        <f>9*2.24</f>
        <v>20.160000000000004</v>
      </c>
      <c r="E1440" s="172">
        <v>1.3</v>
      </c>
      <c r="F1440" s="237">
        <f>E1440*D1440</f>
        <v>26.208000000000006</v>
      </c>
    </row>
    <row r="1441" spans="1:6">
      <c r="A1441" s="201"/>
      <c r="B1441" s="32" t="s">
        <v>721</v>
      </c>
      <c r="C1441" s="72"/>
      <c r="D1441" s="187">
        <f>20*2.24</f>
        <v>44.800000000000004</v>
      </c>
      <c r="E1441" s="187">
        <v>0.35</v>
      </c>
      <c r="F1441" s="237">
        <f>D1441*E1441</f>
        <v>15.68</v>
      </c>
    </row>
    <row r="1442" spans="1:6">
      <c r="A1442" s="201"/>
      <c r="B1442" s="100" t="s">
        <v>652</v>
      </c>
      <c r="C1442" s="16"/>
      <c r="D1442" s="172">
        <v>1.25</v>
      </c>
      <c r="E1442" s="172">
        <v>1.3</v>
      </c>
      <c r="F1442" s="237">
        <f>E1442*D1442</f>
        <v>1.625</v>
      </c>
    </row>
    <row r="1443" spans="1:6">
      <c r="A1443" s="201"/>
      <c r="B1443" s="100" t="s">
        <v>626</v>
      </c>
      <c r="C1443" s="16"/>
      <c r="D1443" s="172">
        <v>2.25</v>
      </c>
      <c r="E1443" s="172">
        <v>1.8</v>
      </c>
      <c r="F1443" s="237">
        <f>E1443*D1443</f>
        <v>4.05</v>
      </c>
    </row>
    <row r="1444" spans="1:6">
      <c r="A1444" s="201"/>
      <c r="B1444" s="100" t="s">
        <v>653</v>
      </c>
      <c r="C1444" s="16"/>
      <c r="D1444" s="172">
        <v>1</v>
      </c>
      <c r="E1444" s="172">
        <v>1.8</v>
      </c>
      <c r="F1444" s="237">
        <f>E1444*D1444</f>
        <v>1.8</v>
      </c>
    </row>
    <row r="1445" spans="1:6">
      <c r="A1445" s="201"/>
      <c r="B1445" s="100" t="s">
        <v>716</v>
      </c>
      <c r="C1445" s="16"/>
      <c r="D1445" s="172">
        <f>2*0.9</f>
        <v>1.8</v>
      </c>
      <c r="E1445" s="172">
        <v>1.8</v>
      </c>
      <c r="F1445" s="237">
        <f>E1445*D1445</f>
        <v>3.24</v>
      </c>
    </row>
    <row r="1446" spans="1:6">
      <c r="A1446" s="201"/>
      <c r="B1446" s="100" t="s">
        <v>722</v>
      </c>
      <c r="C1446" s="16"/>
      <c r="D1446" s="172">
        <f>2*0.7</f>
        <v>1.4</v>
      </c>
      <c r="E1446" s="172">
        <v>1.8</v>
      </c>
      <c r="F1446" s="237">
        <f>E1446*D1446</f>
        <v>2.52</v>
      </c>
    </row>
    <row r="1447" spans="1:6">
      <c r="A1447" s="201"/>
      <c r="B1447" s="357" t="s">
        <v>14</v>
      </c>
      <c r="C1447" s="357"/>
      <c r="D1447" s="357"/>
      <c r="E1447" s="357"/>
      <c r="F1447" s="213">
        <f>F1439-F1440-F1441-F1443-F1445-F1446-F1442-F1444</f>
        <v>56.656999999999996</v>
      </c>
    </row>
    <row r="1448" spans="1:6">
      <c r="A1448" s="201"/>
      <c r="B1448" s="15" t="s">
        <v>654</v>
      </c>
      <c r="C1448" s="48" t="s">
        <v>16</v>
      </c>
      <c r="D1448" s="181" t="s">
        <v>19</v>
      </c>
      <c r="E1448" s="41" t="s">
        <v>18</v>
      </c>
      <c r="F1448" s="242" t="s">
        <v>8</v>
      </c>
    </row>
    <row r="1449" spans="1:6">
      <c r="A1449" s="201"/>
      <c r="B1449" s="15" t="s">
        <v>634</v>
      </c>
      <c r="C1449" s="18"/>
      <c r="D1449" s="179">
        <f>1.1+1.75+1.1+1.75</f>
        <v>5.7</v>
      </c>
      <c r="E1449" s="42">
        <v>1.8</v>
      </c>
      <c r="F1449" s="237">
        <f>D1449*E1449</f>
        <v>10.26</v>
      </c>
    </row>
    <row r="1450" spans="1:6">
      <c r="A1450" s="201"/>
      <c r="B1450" s="32" t="s">
        <v>694</v>
      </c>
      <c r="C1450" s="72"/>
      <c r="D1450" s="187">
        <v>1.1200000000000001</v>
      </c>
      <c r="E1450" s="187">
        <v>0.35</v>
      </c>
      <c r="F1450" s="237">
        <f>D1450*E1450</f>
        <v>0.39200000000000002</v>
      </c>
    </row>
    <row r="1451" spans="1:6">
      <c r="A1451" s="201"/>
      <c r="B1451" s="15" t="s">
        <v>632</v>
      </c>
      <c r="C1451" s="18"/>
      <c r="D1451" s="179">
        <v>0.7</v>
      </c>
      <c r="E1451" s="42">
        <v>1.8</v>
      </c>
      <c r="F1451" s="237">
        <f>D1451*E1451</f>
        <v>1.26</v>
      </c>
    </row>
    <row r="1452" spans="1:6">
      <c r="A1452" s="201"/>
      <c r="B1452" s="357" t="s">
        <v>14</v>
      </c>
      <c r="C1452" s="357"/>
      <c r="D1452" s="357"/>
      <c r="E1452" s="357"/>
      <c r="F1452" s="213">
        <f>F1449-F1451-F1450</f>
        <v>8.6080000000000005</v>
      </c>
    </row>
    <row r="1453" spans="1:6">
      <c r="A1453" s="201"/>
      <c r="B1453" s="15" t="s">
        <v>655</v>
      </c>
      <c r="C1453" s="48" t="s">
        <v>16</v>
      </c>
      <c r="D1453" s="181" t="s">
        <v>19</v>
      </c>
      <c r="E1453" s="41" t="s">
        <v>18</v>
      </c>
      <c r="F1453" s="242" t="s">
        <v>8</v>
      </c>
    </row>
    <row r="1454" spans="1:6">
      <c r="A1454" s="201"/>
      <c r="B1454" s="15" t="s">
        <v>631</v>
      </c>
      <c r="C1454" s="18"/>
      <c r="D1454" s="179">
        <f>1.1+1.75+1.1+1.75</f>
        <v>5.7</v>
      </c>
      <c r="E1454" s="42">
        <v>1.8</v>
      </c>
      <c r="F1454" s="237">
        <f>D1454*E1454</f>
        <v>10.26</v>
      </c>
    </row>
    <row r="1455" spans="1:6">
      <c r="A1455" s="201"/>
      <c r="B1455" s="32" t="s">
        <v>694</v>
      </c>
      <c r="C1455" s="72"/>
      <c r="D1455" s="187">
        <v>1.1200000000000001</v>
      </c>
      <c r="E1455" s="187">
        <v>0.35</v>
      </c>
      <c r="F1455" s="237">
        <f>D1455*E1455</f>
        <v>0.39200000000000002</v>
      </c>
    </row>
    <row r="1456" spans="1:6">
      <c r="A1456" s="201"/>
      <c r="B1456" s="15" t="s">
        <v>632</v>
      </c>
      <c r="C1456" s="18"/>
      <c r="D1456" s="179">
        <v>0.7</v>
      </c>
      <c r="E1456" s="42">
        <v>1.8</v>
      </c>
      <c r="F1456" s="237">
        <f>D1456*E1456</f>
        <v>1.26</v>
      </c>
    </row>
    <row r="1457" spans="1:6">
      <c r="A1457" s="201"/>
      <c r="B1457" s="357" t="s">
        <v>14</v>
      </c>
      <c r="C1457" s="357"/>
      <c r="D1457" s="357"/>
      <c r="E1457" s="357"/>
      <c r="F1457" s="213">
        <f>F1454-F1456-F1455</f>
        <v>8.6080000000000005</v>
      </c>
    </row>
    <row r="1458" spans="1:6">
      <c r="A1458" s="201"/>
      <c r="B1458" s="15" t="s">
        <v>74</v>
      </c>
      <c r="C1458" s="48" t="s">
        <v>16</v>
      </c>
      <c r="D1458" s="45" t="s">
        <v>19</v>
      </c>
      <c r="E1458" s="45" t="s">
        <v>18</v>
      </c>
      <c r="F1458" s="242" t="s">
        <v>8</v>
      </c>
    </row>
    <row r="1459" spans="1:6">
      <c r="A1459" s="201"/>
      <c r="B1459" s="100" t="s">
        <v>723</v>
      </c>
      <c r="C1459" s="16"/>
      <c r="D1459" s="46">
        <f>3.65+7.35+3.65+7.35</f>
        <v>22</v>
      </c>
      <c r="E1459" s="46">
        <v>1.8</v>
      </c>
      <c r="F1459" s="237">
        <f>D1459*E1459</f>
        <v>39.6</v>
      </c>
    </row>
    <row r="1460" spans="1:6">
      <c r="A1460" s="201"/>
      <c r="B1460" s="100" t="s">
        <v>611</v>
      </c>
      <c r="C1460" s="16"/>
      <c r="D1460" s="172">
        <f>2.24</f>
        <v>2.2400000000000002</v>
      </c>
      <c r="E1460" s="172">
        <v>1.3</v>
      </c>
      <c r="F1460" s="237">
        <f>E1460*D1460</f>
        <v>2.9120000000000004</v>
      </c>
    </row>
    <row r="1461" spans="1:6">
      <c r="A1461" s="201"/>
      <c r="B1461" s="32" t="s">
        <v>709</v>
      </c>
      <c r="C1461" s="72"/>
      <c r="D1461" s="187">
        <f>6*1.12</f>
        <v>6.7200000000000006</v>
      </c>
      <c r="E1461" s="187">
        <v>0.35</v>
      </c>
      <c r="F1461" s="237">
        <f>D1461*E1461</f>
        <v>2.3519999999999999</v>
      </c>
    </row>
    <row r="1462" spans="1:6">
      <c r="A1462" s="201"/>
      <c r="B1462" s="100" t="s">
        <v>724</v>
      </c>
      <c r="C1462" s="16"/>
      <c r="D1462" s="172">
        <f>0.9*2</f>
        <v>1.8</v>
      </c>
      <c r="E1462" s="172">
        <v>1.8</v>
      </c>
      <c r="F1462" s="237">
        <f>E1462*D1462</f>
        <v>3.24</v>
      </c>
    </row>
    <row r="1463" spans="1:6">
      <c r="A1463" s="201"/>
      <c r="B1463" s="357" t="s">
        <v>14</v>
      </c>
      <c r="C1463" s="357"/>
      <c r="D1463" s="357"/>
      <c r="E1463" s="357"/>
      <c r="F1463" s="213">
        <f>F1459-F1460-F1462-F1461</f>
        <v>31.096</v>
      </c>
    </row>
    <row r="1464" spans="1:6">
      <c r="A1464" s="201"/>
      <c r="B1464" s="15" t="s">
        <v>65</v>
      </c>
      <c r="C1464" s="48" t="s">
        <v>16</v>
      </c>
      <c r="D1464" s="45" t="s">
        <v>19</v>
      </c>
      <c r="E1464" s="45" t="s">
        <v>18</v>
      </c>
      <c r="F1464" s="242" t="s">
        <v>8</v>
      </c>
    </row>
    <row r="1465" spans="1:6">
      <c r="A1465" s="201"/>
      <c r="B1465" s="100" t="s">
        <v>725</v>
      </c>
      <c r="C1465" s="16"/>
      <c r="D1465" s="46">
        <f>2.35+10+10</f>
        <v>22.35</v>
      </c>
      <c r="E1465" s="46">
        <v>1.8</v>
      </c>
      <c r="F1465" s="237">
        <f>D1465*E1465</f>
        <v>40.230000000000004</v>
      </c>
    </row>
    <row r="1466" spans="1:6">
      <c r="A1466" s="201"/>
      <c r="B1466" s="32" t="s">
        <v>726</v>
      </c>
      <c r="C1466" s="72"/>
      <c r="D1466" s="187">
        <f>8*1.12</f>
        <v>8.9600000000000009</v>
      </c>
      <c r="E1466" s="187">
        <v>0.35</v>
      </c>
      <c r="F1466" s="237">
        <f>D1466*E1466</f>
        <v>3.1360000000000001</v>
      </c>
    </row>
    <row r="1467" spans="1:6">
      <c r="A1467" s="201"/>
      <c r="B1467" s="100" t="s">
        <v>626</v>
      </c>
      <c r="C1467" s="16"/>
      <c r="D1467" s="172">
        <v>2.25</v>
      </c>
      <c r="E1467" s="172">
        <v>1.8</v>
      </c>
      <c r="F1467" s="237">
        <f>E1467*D1467</f>
        <v>4.05</v>
      </c>
    </row>
    <row r="1468" spans="1:6">
      <c r="A1468" s="201"/>
      <c r="B1468" s="100" t="s">
        <v>658</v>
      </c>
      <c r="C1468" s="16"/>
      <c r="D1468" s="46">
        <f>3*0.9</f>
        <v>2.7</v>
      </c>
      <c r="E1468" s="46">
        <v>1.8</v>
      </c>
      <c r="F1468" s="237">
        <f>E1468*D1468</f>
        <v>4.8600000000000003</v>
      </c>
    </row>
    <row r="1469" spans="1:6">
      <c r="A1469" s="201"/>
      <c r="B1469" s="15" t="s">
        <v>583</v>
      </c>
      <c r="C1469" s="18"/>
      <c r="D1469" s="179">
        <f>2*0.7</f>
        <v>1.4</v>
      </c>
      <c r="E1469" s="42">
        <v>1.8</v>
      </c>
      <c r="F1469" s="237">
        <f>D1469*E1469</f>
        <v>2.52</v>
      </c>
    </row>
    <row r="1470" spans="1:6">
      <c r="A1470" s="201"/>
      <c r="B1470" s="357" t="s">
        <v>14</v>
      </c>
      <c r="C1470" s="357"/>
      <c r="D1470" s="357"/>
      <c r="E1470" s="357"/>
      <c r="F1470" s="213">
        <f>F1465-F1467-F1468-F1469-F1466</f>
        <v>25.664000000000009</v>
      </c>
    </row>
    <row r="1471" spans="1:6">
      <c r="A1471" s="201"/>
      <c r="B1471" s="15" t="s">
        <v>659</v>
      </c>
      <c r="C1471" s="48" t="s">
        <v>16</v>
      </c>
      <c r="D1471" s="181" t="s">
        <v>19</v>
      </c>
      <c r="E1471" s="41" t="s">
        <v>18</v>
      </c>
      <c r="F1471" s="242" t="s">
        <v>8</v>
      </c>
    </row>
    <row r="1472" spans="1:6">
      <c r="A1472" s="201"/>
      <c r="B1472" s="15" t="s">
        <v>634</v>
      </c>
      <c r="C1472" s="18"/>
      <c r="D1472" s="179">
        <f>1.1+1.75+1.1+1.75</f>
        <v>5.7</v>
      </c>
      <c r="E1472" s="42">
        <v>1.8</v>
      </c>
      <c r="F1472" s="237">
        <f>D1472*E1472</f>
        <v>10.26</v>
      </c>
    </row>
    <row r="1473" spans="1:6">
      <c r="A1473" s="201"/>
      <c r="B1473" s="32" t="s">
        <v>694</v>
      </c>
      <c r="C1473" s="72"/>
      <c r="D1473" s="187">
        <v>1.1200000000000001</v>
      </c>
      <c r="E1473" s="187">
        <v>0.35</v>
      </c>
      <c r="F1473" s="237">
        <f>D1473*E1473</f>
        <v>0.39200000000000002</v>
      </c>
    </row>
    <row r="1474" spans="1:6">
      <c r="A1474" s="201"/>
      <c r="B1474" s="15" t="s">
        <v>632</v>
      </c>
      <c r="C1474" s="18"/>
      <c r="D1474" s="179">
        <v>0.7</v>
      </c>
      <c r="E1474" s="42">
        <v>1.8</v>
      </c>
      <c r="F1474" s="237">
        <f>D1474*E1474</f>
        <v>1.26</v>
      </c>
    </row>
    <row r="1475" spans="1:6">
      <c r="A1475" s="201"/>
      <c r="B1475" s="357" t="s">
        <v>14</v>
      </c>
      <c r="C1475" s="357"/>
      <c r="D1475" s="357"/>
      <c r="E1475" s="357"/>
      <c r="F1475" s="213">
        <f>F1472-F1474-F1473</f>
        <v>8.6080000000000005</v>
      </c>
    </row>
    <row r="1476" spans="1:6">
      <c r="A1476" s="201"/>
      <c r="B1476" s="15" t="s">
        <v>660</v>
      </c>
      <c r="C1476" s="48" t="s">
        <v>16</v>
      </c>
      <c r="D1476" s="181" t="s">
        <v>19</v>
      </c>
      <c r="E1476" s="41" t="s">
        <v>18</v>
      </c>
      <c r="F1476" s="242" t="s">
        <v>8</v>
      </c>
    </row>
    <row r="1477" spans="1:6">
      <c r="A1477" s="201"/>
      <c r="B1477" s="15" t="s">
        <v>631</v>
      </c>
      <c r="C1477" s="18"/>
      <c r="D1477" s="179">
        <f>1.1+1.75+1.1+1.75</f>
        <v>5.7</v>
      </c>
      <c r="E1477" s="42">
        <v>1.8</v>
      </c>
      <c r="F1477" s="237">
        <f>D1477*E1477</f>
        <v>10.26</v>
      </c>
    </row>
    <row r="1478" spans="1:6">
      <c r="A1478" s="201"/>
      <c r="B1478" s="32" t="s">
        <v>694</v>
      </c>
      <c r="C1478" s="72"/>
      <c r="D1478" s="187">
        <v>1.1200000000000001</v>
      </c>
      <c r="E1478" s="187">
        <v>0.35</v>
      </c>
      <c r="F1478" s="237">
        <f>D1478*E1478</f>
        <v>0.39200000000000002</v>
      </c>
    </row>
    <row r="1479" spans="1:6">
      <c r="A1479" s="201"/>
      <c r="B1479" s="15" t="s">
        <v>632</v>
      </c>
      <c r="C1479" s="18"/>
      <c r="D1479" s="179">
        <v>0.7</v>
      </c>
      <c r="E1479" s="42">
        <v>1.8</v>
      </c>
      <c r="F1479" s="237">
        <f>D1479*E1479</f>
        <v>1.26</v>
      </c>
    </row>
    <row r="1480" spans="1:6">
      <c r="A1480" s="201"/>
      <c r="B1480" s="357" t="s">
        <v>14</v>
      </c>
      <c r="C1480" s="357"/>
      <c r="D1480" s="357"/>
      <c r="E1480" s="357"/>
      <c r="F1480" s="213">
        <f>F1477-F1479-F1478</f>
        <v>8.6080000000000005</v>
      </c>
    </row>
    <row r="1481" spans="1:6">
      <c r="A1481" s="201"/>
      <c r="B1481" s="15" t="s">
        <v>727</v>
      </c>
      <c r="C1481" s="48" t="s">
        <v>16</v>
      </c>
      <c r="D1481" s="45" t="s">
        <v>19</v>
      </c>
      <c r="E1481" s="45" t="s">
        <v>18</v>
      </c>
      <c r="F1481" s="242" t="s">
        <v>8</v>
      </c>
    </row>
    <row r="1482" spans="1:6">
      <c r="A1482" s="211"/>
      <c r="B1482" s="100" t="s">
        <v>728</v>
      </c>
      <c r="C1482" s="16"/>
      <c r="D1482" s="46">
        <f>2.35+6.5+10.35+2.35+6.55+2.55+3.85+2.3+2.7+6.5</f>
        <v>46</v>
      </c>
      <c r="E1482" s="46">
        <v>1.8</v>
      </c>
      <c r="F1482" s="237">
        <f>D1482*E1482</f>
        <v>82.8</v>
      </c>
    </row>
    <row r="1483" spans="1:6">
      <c r="A1483" s="211"/>
      <c r="B1483" s="32" t="s">
        <v>712</v>
      </c>
      <c r="C1483" s="72"/>
      <c r="D1483" s="187">
        <f>4*2.24</f>
        <v>8.9600000000000009</v>
      </c>
      <c r="E1483" s="187">
        <v>0.35</v>
      </c>
      <c r="F1483" s="237">
        <f>D1483*E1483</f>
        <v>3.1360000000000001</v>
      </c>
    </row>
    <row r="1484" spans="1:6">
      <c r="A1484" s="211"/>
      <c r="B1484" s="100" t="s">
        <v>729</v>
      </c>
      <c r="C1484" s="16"/>
      <c r="D1484" s="172">
        <f>3*2.25</f>
        <v>6.75</v>
      </c>
      <c r="E1484" s="172">
        <v>1.8</v>
      </c>
      <c r="F1484" s="237">
        <f>E1484*D1484</f>
        <v>12.15</v>
      </c>
    </row>
    <row r="1485" spans="1:6">
      <c r="A1485" s="211"/>
      <c r="B1485" s="100" t="s">
        <v>730</v>
      </c>
      <c r="C1485" s="16"/>
      <c r="D1485" s="46">
        <f>2*0.9</f>
        <v>1.8</v>
      </c>
      <c r="E1485" s="46">
        <v>1.8</v>
      </c>
      <c r="F1485" s="237">
        <f>E1485*D1485</f>
        <v>3.24</v>
      </c>
    </row>
    <row r="1486" spans="1:6">
      <c r="A1486" s="201"/>
      <c r="B1486" s="357" t="s">
        <v>14</v>
      </c>
      <c r="C1486" s="357"/>
      <c r="D1486" s="357"/>
      <c r="E1486" s="357"/>
      <c r="F1486" s="213">
        <f>F1482-F1484-F1485-F1483</f>
        <v>64.274000000000001</v>
      </c>
    </row>
    <row r="1487" spans="1:6">
      <c r="A1487" s="201"/>
      <c r="B1487" s="15" t="s">
        <v>171</v>
      </c>
      <c r="C1487" s="48" t="s">
        <v>16</v>
      </c>
      <c r="D1487" s="181" t="s">
        <v>95</v>
      </c>
      <c r="E1487" s="41" t="s">
        <v>18</v>
      </c>
      <c r="F1487" s="242" t="s">
        <v>8</v>
      </c>
    </row>
    <row r="1488" spans="1:6">
      <c r="A1488" s="201"/>
      <c r="B1488" s="15" t="s">
        <v>951</v>
      </c>
      <c r="C1488" s="18"/>
      <c r="D1488" s="179">
        <v>8</v>
      </c>
      <c r="E1488" s="42">
        <v>1.8</v>
      </c>
      <c r="F1488" s="237">
        <f>D1488*E1488</f>
        <v>14.4</v>
      </c>
    </row>
    <row r="1489" spans="1:6">
      <c r="A1489" s="201"/>
      <c r="B1489" s="357" t="s">
        <v>14</v>
      </c>
      <c r="C1489" s="357"/>
      <c r="D1489" s="357"/>
      <c r="E1489" s="357"/>
      <c r="F1489" s="213">
        <f>F1488</f>
        <v>14.4</v>
      </c>
    </row>
    <row r="1490" spans="1:6">
      <c r="A1490" s="211"/>
      <c r="B1490" s="365" t="s">
        <v>731</v>
      </c>
      <c r="C1490" s="365"/>
      <c r="D1490" s="365"/>
      <c r="E1490" s="365"/>
      <c r="F1490" s="366"/>
    </row>
    <row r="1491" spans="1:6">
      <c r="A1491" s="203"/>
      <c r="B1491" s="15" t="s">
        <v>21</v>
      </c>
      <c r="C1491" s="39" t="s">
        <v>16</v>
      </c>
      <c r="D1491" s="181" t="s">
        <v>19</v>
      </c>
      <c r="E1491" s="41" t="s">
        <v>18</v>
      </c>
      <c r="F1491" s="145" t="s">
        <v>8</v>
      </c>
    </row>
    <row r="1492" spans="1:6" ht="30">
      <c r="A1492" s="14"/>
      <c r="B1492" s="15" t="s">
        <v>323</v>
      </c>
      <c r="C1492" s="18"/>
      <c r="D1492" s="181">
        <f>6.05+2.53+2.5+1.35+0.15+1.35+7.22+1.35+4.65+6.37+0.6+0.15+0.6+0.6+0.6+0.15+0.6</f>
        <v>36.82</v>
      </c>
      <c r="E1492" s="41">
        <v>1.8</v>
      </c>
      <c r="F1492" s="238">
        <f>E1492*D1492</f>
        <v>66.275999999999996</v>
      </c>
    </row>
    <row r="1493" spans="1:6" ht="15" customHeight="1">
      <c r="A1493" s="14"/>
      <c r="B1493" s="15" t="s">
        <v>29</v>
      </c>
      <c r="C1493" s="18"/>
      <c r="D1493" s="179">
        <v>0.9</v>
      </c>
      <c r="E1493" s="42">
        <v>1.8</v>
      </c>
      <c r="F1493" s="238">
        <f>E1493*D1493</f>
        <v>1.62</v>
      </c>
    </row>
    <row r="1494" spans="1:6" ht="15" customHeight="1">
      <c r="A1494" s="14"/>
      <c r="B1494" s="15" t="s">
        <v>29</v>
      </c>
      <c r="C1494" s="18"/>
      <c r="D1494" s="39">
        <v>1.2</v>
      </c>
      <c r="E1494" s="179">
        <v>1.8</v>
      </c>
      <c r="F1494" s="238">
        <f>E1494*D1494</f>
        <v>2.16</v>
      </c>
    </row>
    <row r="1495" spans="1:6">
      <c r="A1495" s="203"/>
      <c r="B1495" s="15" t="s">
        <v>163</v>
      </c>
      <c r="C1495" s="18"/>
      <c r="D1495" s="39">
        <f>2*2.24</f>
        <v>4.4800000000000004</v>
      </c>
      <c r="E1495" s="179">
        <v>1.3</v>
      </c>
      <c r="F1495" s="238">
        <f>E1495*D1495</f>
        <v>5.8240000000000007</v>
      </c>
    </row>
    <row r="1496" spans="1:6">
      <c r="A1496" s="203"/>
      <c r="B1496" s="357" t="s">
        <v>14</v>
      </c>
      <c r="C1496" s="357"/>
      <c r="D1496" s="357"/>
      <c r="E1496" s="357"/>
      <c r="F1496" s="216">
        <f>F1492-F1493-F1494-F1495</f>
        <v>56.671999999999997</v>
      </c>
    </row>
    <row r="1497" spans="1:6">
      <c r="A1497" s="203"/>
      <c r="B1497" s="15" t="s">
        <v>33</v>
      </c>
      <c r="C1497" s="39" t="s">
        <v>16</v>
      </c>
      <c r="D1497" s="181" t="s">
        <v>19</v>
      </c>
      <c r="E1497" s="41" t="s">
        <v>18</v>
      </c>
      <c r="F1497" s="145" t="s">
        <v>8</v>
      </c>
    </row>
    <row r="1498" spans="1:6" ht="15" customHeight="1">
      <c r="A1498" s="203"/>
      <c r="B1498" s="15" t="s">
        <v>37</v>
      </c>
      <c r="C1498" s="18"/>
      <c r="D1498" s="179">
        <f>12.43+6.05+12.36+6.05</f>
        <v>36.89</v>
      </c>
      <c r="E1498" s="42">
        <v>1.8</v>
      </c>
      <c r="F1498" s="217">
        <f>E1498*D1498</f>
        <v>66.402000000000001</v>
      </c>
    </row>
    <row r="1499" spans="1:6">
      <c r="A1499" s="203"/>
      <c r="B1499" s="15" t="s">
        <v>38</v>
      </c>
      <c r="C1499" s="18"/>
      <c r="D1499" s="179">
        <f>4*0.9</f>
        <v>3.6</v>
      </c>
      <c r="E1499" s="42">
        <v>1.8</v>
      </c>
      <c r="F1499" s="217">
        <f>E1499*D1499</f>
        <v>6.48</v>
      </c>
    </row>
    <row r="1500" spans="1:6">
      <c r="A1500" s="203"/>
      <c r="B1500" s="15" t="s">
        <v>346</v>
      </c>
      <c r="C1500" s="18"/>
      <c r="D1500" s="179">
        <v>2.2400000000000002</v>
      </c>
      <c r="E1500" s="42">
        <v>1.3</v>
      </c>
      <c r="F1500" s="217">
        <f>E1500*D1500</f>
        <v>2.9120000000000004</v>
      </c>
    </row>
    <row r="1501" spans="1:6">
      <c r="A1501" s="203"/>
      <c r="B1501" s="357" t="s">
        <v>14</v>
      </c>
      <c r="C1501" s="357"/>
      <c r="D1501" s="357"/>
      <c r="E1501" s="357"/>
      <c r="F1501" s="216">
        <f>F1498-F1499-F1500</f>
        <v>57.01</v>
      </c>
    </row>
    <row r="1502" spans="1:6">
      <c r="A1502" s="14"/>
      <c r="B1502" s="15" t="s">
        <v>34</v>
      </c>
      <c r="C1502" s="39" t="s">
        <v>16</v>
      </c>
      <c r="D1502" s="181" t="s">
        <v>19</v>
      </c>
      <c r="E1502" s="41" t="s">
        <v>18</v>
      </c>
      <c r="F1502" s="145" t="s">
        <v>8</v>
      </c>
    </row>
    <row r="1503" spans="1:6" ht="15" customHeight="1">
      <c r="A1503" s="203"/>
      <c r="B1503" s="15" t="s">
        <v>39</v>
      </c>
      <c r="C1503" s="18"/>
      <c r="D1503" s="179">
        <f>7.75+7.75</f>
        <v>15.5</v>
      </c>
      <c r="E1503" s="42">
        <v>1.3</v>
      </c>
      <c r="F1503" s="217">
        <f>E1503*D1503</f>
        <v>20.150000000000002</v>
      </c>
    </row>
    <row r="1504" spans="1:6">
      <c r="A1504" s="203"/>
      <c r="B1504" s="357" t="s">
        <v>14</v>
      </c>
      <c r="C1504" s="357"/>
      <c r="D1504" s="357"/>
      <c r="E1504" s="357"/>
      <c r="F1504" s="216">
        <f>F1503</f>
        <v>20.150000000000002</v>
      </c>
    </row>
    <row r="1505" spans="1:6">
      <c r="A1505" s="203"/>
      <c r="B1505" s="15" t="s">
        <v>35</v>
      </c>
      <c r="C1505" s="39" t="s">
        <v>16</v>
      </c>
      <c r="D1505" s="181" t="s">
        <v>19</v>
      </c>
      <c r="E1505" s="41" t="s">
        <v>18</v>
      </c>
      <c r="F1505" s="145" t="s">
        <v>8</v>
      </c>
    </row>
    <row r="1506" spans="1:6">
      <c r="A1506" s="203"/>
      <c r="B1506" s="15" t="s">
        <v>254</v>
      </c>
      <c r="C1506" s="18"/>
      <c r="D1506" s="181">
        <f>6.1+1.05+0.15+1.05+6.15+3.77+0.15+4.35+0.75+6.15+0.15+6.1</f>
        <v>35.919999999999995</v>
      </c>
      <c r="E1506" s="181">
        <v>1.8</v>
      </c>
      <c r="F1506" s="238">
        <f>D1506*E1506</f>
        <v>64.655999999999992</v>
      </c>
    </row>
    <row r="1507" spans="1:6" ht="15" customHeight="1">
      <c r="A1507" s="14"/>
      <c r="B1507" s="19" t="s">
        <v>26</v>
      </c>
      <c r="C1507" s="18"/>
      <c r="D1507" s="39">
        <v>0.9</v>
      </c>
      <c r="E1507" s="42">
        <v>1.8</v>
      </c>
      <c r="F1507" s="238">
        <f t="shared" ref="F1507" si="47">D1507*E1507</f>
        <v>1.62</v>
      </c>
    </row>
    <row r="1508" spans="1:6">
      <c r="A1508" s="220"/>
      <c r="B1508" s="15" t="s">
        <v>190</v>
      </c>
      <c r="C1508" s="18"/>
      <c r="D1508" s="179">
        <f>3*2.24</f>
        <v>6.7200000000000006</v>
      </c>
      <c r="E1508" s="42">
        <v>0.35</v>
      </c>
      <c r="F1508" s="238">
        <f t="shared" ref="F1508" si="48">D1508*E1508</f>
        <v>2.3519999999999999</v>
      </c>
    </row>
    <row r="1509" spans="1:6">
      <c r="A1509" s="220"/>
      <c r="B1509" s="357" t="s">
        <v>14</v>
      </c>
      <c r="C1509" s="357"/>
      <c r="D1509" s="357"/>
      <c r="E1509" s="357"/>
      <c r="F1509" s="216">
        <f>F1506-F1507-F1508</f>
        <v>60.683999999999997</v>
      </c>
    </row>
    <row r="1510" spans="1:6">
      <c r="A1510" s="220"/>
      <c r="B1510" s="15" t="s">
        <v>40</v>
      </c>
      <c r="C1510" s="39" t="s">
        <v>16</v>
      </c>
      <c r="D1510" s="181" t="s">
        <v>19</v>
      </c>
      <c r="E1510" s="41" t="s">
        <v>18</v>
      </c>
      <c r="F1510" s="145" t="s">
        <v>8</v>
      </c>
    </row>
    <row r="1511" spans="1:6" ht="15" customHeight="1">
      <c r="A1511" s="220"/>
      <c r="B1511" s="15" t="s">
        <v>41</v>
      </c>
      <c r="C1511" s="18"/>
      <c r="D1511" s="181">
        <f>6.5+6.35+7.35+6.5+6.5+7.35</f>
        <v>40.550000000000004</v>
      </c>
      <c r="E1511" s="41">
        <v>1.8</v>
      </c>
      <c r="F1511" s="238">
        <f>D1511*E1511</f>
        <v>72.990000000000009</v>
      </c>
    </row>
    <row r="1512" spans="1:6">
      <c r="A1512" s="220"/>
      <c r="B1512" s="19" t="s">
        <v>93</v>
      </c>
      <c r="C1512" s="18"/>
      <c r="D1512" s="179">
        <f>5*2.24</f>
        <v>11.200000000000001</v>
      </c>
      <c r="E1512" s="42">
        <v>1.8</v>
      </c>
      <c r="F1512" s="217">
        <f>E1512*D1512</f>
        <v>20.160000000000004</v>
      </c>
    </row>
    <row r="1513" spans="1:6">
      <c r="A1513" s="220"/>
      <c r="B1513" s="15" t="s">
        <v>158</v>
      </c>
      <c r="C1513" s="18"/>
      <c r="D1513" s="179">
        <v>2.2400000000000002</v>
      </c>
      <c r="E1513" s="42">
        <v>1.3</v>
      </c>
      <c r="F1513" s="217">
        <f>E1513*D1513</f>
        <v>2.9120000000000004</v>
      </c>
    </row>
    <row r="1514" spans="1:6">
      <c r="A1514" s="220"/>
      <c r="B1514" s="15" t="s">
        <v>110</v>
      </c>
      <c r="C1514" s="18"/>
      <c r="D1514" s="179">
        <v>2.2000000000000002</v>
      </c>
      <c r="E1514" s="42">
        <v>1.3</v>
      </c>
      <c r="F1514" s="217">
        <f>E1514*D1514</f>
        <v>2.8600000000000003</v>
      </c>
    </row>
    <row r="1515" spans="1:6">
      <c r="A1515" s="220"/>
      <c r="B1515" s="15" t="s">
        <v>328</v>
      </c>
      <c r="C1515" s="18"/>
      <c r="D1515" s="179">
        <f>6*2.24</f>
        <v>13.440000000000001</v>
      </c>
      <c r="E1515" s="42">
        <v>0.35</v>
      </c>
      <c r="F1515" s="238">
        <f t="shared" ref="F1515" si="49">D1515*E1515</f>
        <v>4.7039999999999997</v>
      </c>
    </row>
    <row r="1516" spans="1:6">
      <c r="A1516" s="220"/>
      <c r="B1516" s="70" t="s">
        <v>317</v>
      </c>
      <c r="C1516" s="62"/>
      <c r="D1516" s="188">
        <f>0.85+0.2+0.2+0.85+0.8</f>
        <v>2.9000000000000004</v>
      </c>
      <c r="E1516" s="63">
        <v>0.4</v>
      </c>
      <c r="F1516" s="219">
        <f>E1516*D1516</f>
        <v>1.1600000000000001</v>
      </c>
    </row>
    <row r="1517" spans="1:6" s="30" customFormat="1">
      <c r="A1517" s="220"/>
      <c r="B1517" s="70" t="s">
        <v>214</v>
      </c>
      <c r="C1517" s="62"/>
      <c r="D1517" s="188">
        <v>0.7</v>
      </c>
      <c r="E1517" s="63">
        <v>0.3</v>
      </c>
      <c r="F1517" s="219">
        <f>E1517*D1517</f>
        <v>0.21</v>
      </c>
    </row>
    <row r="1518" spans="1:6">
      <c r="A1518" s="220"/>
      <c r="B1518" s="357" t="s">
        <v>14</v>
      </c>
      <c r="C1518" s="357"/>
      <c r="D1518" s="357"/>
      <c r="E1518" s="357"/>
      <c r="F1518" s="216">
        <f>F1511-F1512-F1513-F1514+F1516-F1517-F1515</f>
        <v>43.304000000000002</v>
      </c>
    </row>
    <row r="1519" spans="1:6" ht="15.75" customHeight="1">
      <c r="A1519" s="220"/>
      <c r="B1519" s="15" t="s">
        <v>43</v>
      </c>
      <c r="C1519" s="39" t="s">
        <v>16</v>
      </c>
      <c r="D1519" s="181" t="s">
        <v>19</v>
      </c>
      <c r="E1519" s="41" t="s">
        <v>18</v>
      </c>
      <c r="F1519" s="145" t="s">
        <v>8</v>
      </c>
    </row>
    <row r="1520" spans="1:6">
      <c r="A1520" s="220"/>
      <c r="B1520" s="15" t="s">
        <v>253</v>
      </c>
      <c r="C1520" s="18"/>
      <c r="D1520" s="181">
        <f>1.05+1.05+7.25+6.15+6.1+2.8+4.35+0.75+3.77+6.15+0.15+0.15+0.15</f>
        <v>39.869999999999997</v>
      </c>
      <c r="E1520" s="181">
        <v>1.8</v>
      </c>
      <c r="F1520" s="238">
        <f>D1520*E1520</f>
        <v>71.765999999999991</v>
      </c>
    </row>
    <row r="1521" spans="1:6">
      <c r="A1521" s="220"/>
      <c r="B1521" s="19" t="s">
        <v>26</v>
      </c>
      <c r="C1521" s="18"/>
      <c r="D1521" s="39">
        <v>0.9</v>
      </c>
      <c r="E1521" s="42">
        <v>1.3</v>
      </c>
      <c r="F1521" s="238">
        <f t="shared" ref="F1521:F1522" si="50">D1521*E1521</f>
        <v>1.1700000000000002</v>
      </c>
    </row>
    <row r="1522" spans="1:6">
      <c r="A1522" s="220"/>
      <c r="B1522" s="15" t="s">
        <v>190</v>
      </c>
      <c r="C1522" s="18"/>
      <c r="D1522" s="179">
        <f>3*2.24</f>
        <v>6.7200000000000006</v>
      </c>
      <c r="E1522" s="42">
        <v>0.35</v>
      </c>
      <c r="F1522" s="238">
        <f t="shared" si="50"/>
        <v>2.3519999999999999</v>
      </c>
    </row>
    <row r="1523" spans="1:6">
      <c r="A1523" s="220"/>
      <c r="B1523" s="357" t="s">
        <v>14</v>
      </c>
      <c r="C1523" s="357"/>
      <c r="D1523" s="357"/>
      <c r="E1523" s="357"/>
      <c r="F1523" s="216">
        <f>F1520-F1521-F1522</f>
        <v>68.243999999999986</v>
      </c>
    </row>
    <row r="1524" spans="1:6">
      <c r="A1524" s="220"/>
      <c r="B1524" s="15" t="s">
        <v>44</v>
      </c>
      <c r="C1524" s="39" t="s">
        <v>16</v>
      </c>
      <c r="D1524" s="181" t="s">
        <v>19</v>
      </c>
      <c r="E1524" s="41" t="s">
        <v>18</v>
      </c>
      <c r="F1524" s="145" t="s">
        <v>8</v>
      </c>
    </row>
    <row r="1525" spans="1:6">
      <c r="A1525" s="220"/>
      <c r="B1525" s="15" t="s">
        <v>45</v>
      </c>
      <c r="C1525" s="18"/>
      <c r="D1525" s="181">
        <f>6.15+4.85+6.15+4.85</f>
        <v>22</v>
      </c>
      <c r="E1525" s="181">
        <v>1.8</v>
      </c>
      <c r="F1525" s="238">
        <f>D1525*E1525</f>
        <v>39.6</v>
      </c>
    </row>
    <row r="1526" spans="1:6">
      <c r="A1526" s="220"/>
      <c r="B1526" s="19" t="s">
        <v>26</v>
      </c>
      <c r="C1526" s="18"/>
      <c r="D1526" s="39">
        <v>0.9</v>
      </c>
      <c r="E1526" s="42">
        <v>1.8</v>
      </c>
      <c r="F1526" s="238">
        <f t="shared" ref="F1526:F1528" si="51">D1526*E1526</f>
        <v>1.62</v>
      </c>
    </row>
    <row r="1527" spans="1:6">
      <c r="A1527" s="14"/>
      <c r="B1527" s="19" t="s">
        <v>324</v>
      </c>
      <c r="C1527" s="18"/>
      <c r="D1527" s="39">
        <f>4*2.24</f>
        <v>8.9600000000000009</v>
      </c>
      <c r="E1527" s="42">
        <v>0.35</v>
      </c>
      <c r="F1527" s="238">
        <f t="shared" si="51"/>
        <v>3.1360000000000001</v>
      </c>
    </row>
    <row r="1528" spans="1:6" ht="15.75" customHeight="1">
      <c r="A1528" s="220"/>
      <c r="B1528" s="15" t="s">
        <v>159</v>
      </c>
      <c r="C1528" s="18"/>
      <c r="D1528" s="179">
        <f>2*2.24</f>
        <v>4.4800000000000004</v>
      </c>
      <c r="E1528" s="42">
        <v>1.3</v>
      </c>
      <c r="F1528" s="238">
        <f t="shared" si="51"/>
        <v>5.8240000000000007</v>
      </c>
    </row>
    <row r="1529" spans="1:6">
      <c r="A1529" s="220"/>
      <c r="B1529" s="19" t="s">
        <v>244</v>
      </c>
      <c r="C1529" s="18"/>
      <c r="D1529" s="39">
        <v>2.2000000000000002</v>
      </c>
      <c r="E1529" s="42">
        <v>1.3</v>
      </c>
      <c r="F1529" s="238">
        <f t="shared" ref="F1529" si="52">D1529*E1529</f>
        <v>2.8600000000000003</v>
      </c>
    </row>
    <row r="1530" spans="1:6">
      <c r="A1530" s="14"/>
      <c r="B1530" s="357" t="s">
        <v>14</v>
      </c>
      <c r="C1530" s="357"/>
      <c r="D1530" s="357"/>
      <c r="E1530" s="357"/>
      <c r="F1530" s="216">
        <f>F1525-F1526-F1528-F1529-F1527</f>
        <v>26.160000000000007</v>
      </c>
    </row>
    <row r="1531" spans="1:6">
      <c r="A1531" s="220"/>
      <c r="B1531" s="15" t="s">
        <v>325</v>
      </c>
      <c r="C1531" s="39" t="s">
        <v>16</v>
      </c>
      <c r="D1531" s="181" t="s">
        <v>19</v>
      </c>
      <c r="E1531" s="41" t="s">
        <v>18</v>
      </c>
      <c r="F1531" s="145" t="s">
        <v>8</v>
      </c>
    </row>
    <row r="1532" spans="1:6">
      <c r="A1532" s="220"/>
      <c r="B1532" s="19" t="s">
        <v>47</v>
      </c>
      <c r="C1532" s="18"/>
      <c r="D1532" s="39">
        <f>6.15+2.35+6.15+2.35</f>
        <v>17</v>
      </c>
      <c r="E1532" s="179">
        <v>1.8</v>
      </c>
      <c r="F1532" s="238">
        <f>D1532*E1532</f>
        <v>30.6</v>
      </c>
    </row>
    <row r="1533" spans="1:6">
      <c r="A1533" s="220"/>
      <c r="B1533" s="19" t="s">
        <v>26</v>
      </c>
      <c r="C1533" s="18"/>
      <c r="D1533" s="39">
        <v>0.9</v>
      </c>
      <c r="E1533" s="42">
        <v>1.8</v>
      </c>
      <c r="F1533" s="238">
        <f t="shared" ref="F1533:F1535" si="53">D1533*E1533</f>
        <v>1.62</v>
      </c>
    </row>
    <row r="1534" spans="1:6">
      <c r="A1534" s="220"/>
      <c r="B1534" s="19" t="s">
        <v>326</v>
      </c>
      <c r="C1534" s="18"/>
      <c r="D1534" s="39">
        <f>2*2.24</f>
        <v>4.4800000000000004</v>
      </c>
      <c r="E1534" s="42">
        <v>0.35</v>
      </c>
      <c r="F1534" s="238">
        <f t="shared" si="53"/>
        <v>1.5680000000000001</v>
      </c>
    </row>
    <row r="1535" spans="1:6">
      <c r="A1535" s="220"/>
      <c r="B1535" s="15" t="s">
        <v>159</v>
      </c>
      <c r="C1535" s="185"/>
      <c r="D1535" s="39">
        <v>2.2400000000000002</v>
      </c>
      <c r="E1535" s="42">
        <v>1.3</v>
      </c>
      <c r="F1535" s="238">
        <f t="shared" si="53"/>
        <v>2.9120000000000004</v>
      </c>
    </row>
    <row r="1536" spans="1:6">
      <c r="A1536" s="14"/>
      <c r="B1536" s="357" t="s">
        <v>14</v>
      </c>
      <c r="C1536" s="357"/>
      <c r="D1536" s="357"/>
      <c r="E1536" s="357"/>
      <c r="F1536" s="216">
        <f>F1532-F1533-F1535-F1534</f>
        <v>24.5</v>
      </c>
    </row>
    <row r="1537" spans="1:6">
      <c r="A1537" s="220"/>
      <c r="B1537" s="15" t="s">
        <v>286</v>
      </c>
      <c r="C1537" s="39" t="s">
        <v>16</v>
      </c>
      <c r="D1537" s="181" t="s">
        <v>19</v>
      </c>
      <c r="E1537" s="41" t="s">
        <v>18</v>
      </c>
      <c r="F1537" s="145" t="s">
        <v>8</v>
      </c>
    </row>
    <row r="1538" spans="1:6">
      <c r="A1538" s="220"/>
      <c r="B1538" s="19" t="s">
        <v>49</v>
      </c>
      <c r="C1538" s="181"/>
      <c r="D1538" s="39">
        <f>2.35+6.15+2.35+6.15</f>
        <v>17</v>
      </c>
      <c r="E1538" s="41">
        <v>1.8</v>
      </c>
      <c r="F1538" s="238">
        <f>E1538*D1538</f>
        <v>30.6</v>
      </c>
    </row>
    <row r="1539" spans="1:6">
      <c r="A1539" s="220"/>
      <c r="B1539" s="19" t="s">
        <v>26</v>
      </c>
      <c r="C1539" s="18"/>
      <c r="D1539" s="39">
        <v>0.9</v>
      </c>
      <c r="E1539" s="42">
        <v>1.8</v>
      </c>
      <c r="F1539" s="238">
        <f t="shared" ref="F1539:F1541" si="54">D1539*E1539</f>
        <v>1.62</v>
      </c>
    </row>
    <row r="1540" spans="1:6">
      <c r="A1540" s="220"/>
      <c r="B1540" s="19" t="s">
        <v>327</v>
      </c>
      <c r="C1540" s="18"/>
      <c r="D1540" s="39">
        <f>1*2.24</f>
        <v>2.2400000000000002</v>
      </c>
      <c r="E1540" s="42">
        <v>0.35</v>
      </c>
      <c r="F1540" s="238">
        <f t="shared" si="54"/>
        <v>0.78400000000000003</v>
      </c>
    </row>
    <row r="1541" spans="1:6">
      <c r="A1541" s="220"/>
      <c r="B1541" s="19" t="s">
        <v>158</v>
      </c>
      <c r="C1541" s="185"/>
      <c r="D1541" s="39">
        <v>2.2400000000000002</v>
      </c>
      <c r="E1541" s="42">
        <v>1.3</v>
      </c>
      <c r="F1541" s="238">
        <f t="shared" si="54"/>
        <v>2.9120000000000004</v>
      </c>
    </row>
    <row r="1542" spans="1:6">
      <c r="A1542" s="14"/>
      <c r="B1542" s="357" t="s">
        <v>14</v>
      </c>
      <c r="C1542" s="357"/>
      <c r="D1542" s="357"/>
      <c r="E1542" s="357"/>
      <c r="F1542" s="216">
        <f>F1538-F1539-F1541-F1540</f>
        <v>25.284000000000002</v>
      </c>
    </row>
    <row r="1543" spans="1:6">
      <c r="A1543" s="220"/>
      <c r="B1543" s="15" t="s">
        <v>192</v>
      </c>
      <c r="C1543" s="39" t="s">
        <v>16</v>
      </c>
      <c r="D1543" s="181" t="s">
        <v>19</v>
      </c>
      <c r="E1543" s="41" t="s">
        <v>18</v>
      </c>
      <c r="F1543" s="145" t="s">
        <v>8</v>
      </c>
    </row>
    <row r="1544" spans="1:6">
      <c r="A1544" s="220"/>
      <c r="B1544" s="19" t="s">
        <v>50</v>
      </c>
      <c r="C1544" s="18"/>
      <c r="D1544" s="39">
        <f>4.85+6.15+4.85+6.15</f>
        <v>22</v>
      </c>
      <c r="E1544" s="179">
        <v>1.8</v>
      </c>
      <c r="F1544" s="238">
        <f>E1544*D1544</f>
        <v>39.6</v>
      </c>
    </row>
    <row r="1545" spans="1:6">
      <c r="A1545" s="220"/>
      <c r="B1545" s="19" t="s">
        <v>26</v>
      </c>
      <c r="C1545" s="18"/>
      <c r="D1545" s="39">
        <v>0.9</v>
      </c>
      <c r="E1545" s="42">
        <v>1.8</v>
      </c>
      <c r="F1545" s="238">
        <f t="shared" ref="F1545" si="55">D1545*E1545</f>
        <v>1.62</v>
      </c>
    </row>
    <row r="1546" spans="1:6">
      <c r="A1546" s="220"/>
      <c r="B1546" s="19" t="s">
        <v>326</v>
      </c>
      <c r="C1546" s="18"/>
      <c r="D1546" s="39">
        <f>2*2.24</f>
        <v>4.4800000000000004</v>
      </c>
      <c r="E1546" s="42">
        <v>0.35</v>
      </c>
      <c r="F1546" s="238">
        <f>D1546*E1546</f>
        <v>1.5680000000000001</v>
      </c>
    </row>
    <row r="1547" spans="1:6">
      <c r="A1547" s="220"/>
      <c r="B1547" s="15" t="s">
        <v>163</v>
      </c>
      <c r="C1547" s="18"/>
      <c r="D1547" s="179">
        <f>2*2.24</f>
        <v>4.4800000000000004</v>
      </c>
      <c r="E1547" s="42">
        <v>1.3</v>
      </c>
      <c r="F1547" s="238">
        <f t="shared" ref="F1547" si="56">D1547*E1547</f>
        <v>5.8240000000000007</v>
      </c>
    </row>
    <row r="1548" spans="1:6">
      <c r="A1548" s="221"/>
      <c r="B1548" s="357" t="s">
        <v>14</v>
      </c>
      <c r="C1548" s="357"/>
      <c r="D1548" s="357"/>
      <c r="E1548" s="357"/>
      <c r="F1548" s="216">
        <f>F1544-F1545-F1547-F1546</f>
        <v>30.588000000000005</v>
      </c>
    </row>
    <row r="1549" spans="1:6">
      <c r="A1549" s="221"/>
      <c r="B1549" s="15" t="s">
        <v>62</v>
      </c>
      <c r="C1549" s="39" t="s">
        <v>16</v>
      </c>
      <c r="D1549" s="181" t="s">
        <v>19</v>
      </c>
      <c r="E1549" s="41" t="s">
        <v>18</v>
      </c>
      <c r="F1549" s="145" t="s">
        <v>8</v>
      </c>
    </row>
    <row r="1550" spans="1:6">
      <c r="A1550" s="220"/>
      <c r="B1550" s="37" t="s">
        <v>51</v>
      </c>
      <c r="C1550" s="45"/>
      <c r="D1550" s="172">
        <f>7.34+6.15+7.34+6.15</f>
        <v>26.979999999999997</v>
      </c>
      <c r="E1550" s="172">
        <v>1.8</v>
      </c>
      <c r="F1550" s="238">
        <f>E1550*D1550</f>
        <v>48.563999999999993</v>
      </c>
    </row>
    <row r="1551" spans="1:6">
      <c r="A1551" s="220"/>
      <c r="B1551" s="19" t="s">
        <v>328</v>
      </c>
      <c r="C1551" s="18"/>
      <c r="D1551" s="39">
        <f>6*2.24</f>
        <v>13.440000000000001</v>
      </c>
      <c r="E1551" s="42">
        <v>0.35</v>
      </c>
      <c r="F1551" s="238">
        <f>D1551*E1551</f>
        <v>4.7039999999999997</v>
      </c>
    </row>
    <row r="1552" spans="1:6">
      <c r="A1552" s="220"/>
      <c r="B1552" s="19" t="s">
        <v>26</v>
      </c>
      <c r="C1552" s="18"/>
      <c r="D1552" s="39">
        <v>0.9</v>
      </c>
      <c r="E1552" s="42">
        <v>1.8</v>
      </c>
      <c r="F1552" s="238">
        <f t="shared" ref="F1552:F1553" si="57">D1552*E1552</f>
        <v>1.62</v>
      </c>
    </row>
    <row r="1553" spans="1:6">
      <c r="A1553" s="98"/>
      <c r="B1553" s="15" t="s">
        <v>36</v>
      </c>
      <c r="C1553" s="18"/>
      <c r="D1553" s="179">
        <f>3*2.24</f>
        <v>6.7200000000000006</v>
      </c>
      <c r="E1553" s="42">
        <v>1.3</v>
      </c>
      <c r="F1553" s="238">
        <f t="shared" si="57"/>
        <v>8.7360000000000007</v>
      </c>
    </row>
    <row r="1554" spans="1:6">
      <c r="A1554" s="14"/>
      <c r="B1554" s="357" t="s">
        <v>14</v>
      </c>
      <c r="C1554" s="357"/>
      <c r="D1554" s="357"/>
      <c r="E1554" s="357"/>
      <c r="F1554" s="216">
        <f>F1550-F1552-F1553-F1551</f>
        <v>33.503999999999998</v>
      </c>
    </row>
    <row r="1555" spans="1:6">
      <c r="A1555" s="14"/>
      <c r="B1555" s="15" t="s">
        <v>63</v>
      </c>
      <c r="C1555" s="39" t="s">
        <v>16</v>
      </c>
      <c r="D1555" s="181" t="s">
        <v>19</v>
      </c>
      <c r="E1555" s="41" t="s">
        <v>18</v>
      </c>
      <c r="F1555" s="145" t="s">
        <v>8</v>
      </c>
    </row>
    <row r="1556" spans="1:6">
      <c r="A1556" s="220"/>
      <c r="B1556" s="21" t="s">
        <v>101</v>
      </c>
      <c r="C1556" s="17"/>
      <c r="D1556" s="39">
        <f>4.85+6.15+4.15+2.6+2+2.25</f>
        <v>22</v>
      </c>
      <c r="E1556" s="179">
        <v>1.8</v>
      </c>
      <c r="F1556" s="238">
        <f>E1556*D1556</f>
        <v>39.6</v>
      </c>
    </row>
    <row r="1557" spans="1:6">
      <c r="A1557" s="220"/>
      <c r="B1557" s="19" t="s">
        <v>324</v>
      </c>
      <c r="C1557" s="18"/>
      <c r="D1557" s="39">
        <f>4*2.24</f>
        <v>8.9600000000000009</v>
      </c>
      <c r="E1557" s="42">
        <v>0.35</v>
      </c>
      <c r="F1557" s="238">
        <f>D1557*E1557</f>
        <v>3.1360000000000001</v>
      </c>
    </row>
    <row r="1558" spans="1:6">
      <c r="A1558" s="220"/>
      <c r="B1558" s="19" t="s">
        <v>26</v>
      </c>
      <c r="C1558" s="18"/>
      <c r="D1558" s="39">
        <v>0.9</v>
      </c>
      <c r="E1558" s="42">
        <v>1.8</v>
      </c>
      <c r="F1558" s="238">
        <f t="shared" ref="F1558:F1559" si="58">D1558*E1558</f>
        <v>1.62</v>
      </c>
    </row>
    <row r="1559" spans="1:6">
      <c r="A1559" s="220"/>
      <c r="B1559" s="15" t="s">
        <v>158</v>
      </c>
      <c r="C1559" s="18"/>
      <c r="D1559" s="179">
        <f>2.24</f>
        <v>2.2400000000000002</v>
      </c>
      <c r="E1559" s="42">
        <v>1.3</v>
      </c>
      <c r="F1559" s="238">
        <f t="shared" si="58"/>
        <v>2.9120000000000004</v>
      </c>
    </row>
    <row r="1560" spans="1:6">
      <c r="A1560" s="220"/>
      <c r="B1560" s="357" t="s">
        <v>14</v>
      </c>
      <c r="C1560" s="357"/>
      <c r="D1560" s="357"/>
      <c r="E1560" s="357"/>
      <c r="F1560" s="216">
        <f>F1556-F1558-F1559</f>
        <v>35.068000000000005</v>
      </c>
    </row>
    <row r="1561" spans="1:6">
      <c r="A1561" s="220"/>
      <c r="B1561" s="21" t="s">
        <v>103</v>
      </c>
      <c r="C1561" s="39" t="s">
        <v>16</v>
      </c>
      <c r="D1561" s="181" t="s">
        <v>19</v>
      </c>
      <c r="E1561" s="41" t="s">
        <v>18</v>
      </c>
      <c r="F1561" s="145" t="s">
        <v>8</v>
      </c>
    </row>
    <row r="1562" spans="1:6">
      <c r="A1562" s="220"/>
      <c r="B1562" s="21" t="s">
        <v>144</v>
      </c>
      <c r="C1562" s="185"/>
      <c r="D1562" s="181">
        <f>1.7+1.15+1.7+1.15</f>
        <v>5.6999999999999993</v>
      </c>
      <c r="E1562" s="41">
        <v>1.8</v>
      </c>
      <c r="F1562" s="238">
        <f>E1562*D1562</f>
        <v>10.26</v>
      </c>
    </row>
    <row r="1563" spans="1:6">
      <c r="A1563" s="220"/>
      <c r="B1563" s="19" t="s">
        <v>26</v>
      </c>
      <c r="C1563" s="18"/>
      <c r="D1563" s="35">
        <v>0.7</v>
      </c>
      <c r="E1563" s="42">
        <v>1.8</v>
      </c>
      <c r="F1563" s="238">
        <f>E1563*D1563</f>
        <v>1.26</v>
      </c>
    </row>
    <row r="1564" spans="1:6">
      <c r="A1564" s="220"/>
      <c r="B1564" s="21" t="s">
        <v>145</v>
      </c>
      <c r="C1564" s="185"/>
      <c r="D1564" s="181">
        <f>1.7+1.15+1.7+1.15</f>
        <v>5.6999999999999993</v>
      </c>
      <c r="E1564" s="41">
        <v>1.8</v>
      </c>
      <c r="F1564" s="238">
        <f>E1564*D1564</f>
        <v>10.26</v>
      </c>
    </row>
    <row r="1565" spans="1:6">
      <c r="A1565" s="220"/>
      <c r="B1565" s="19" t="s">
        <v>26</v>
      </c>
      <c r="C1565" s="18"/>
      <c r="D1565" s="35">
        <v>0.7</v>
      </c>
      <c r="E1565" s="42">
        <v>1.8</v>
      </c>
      <c r="F1565" s="238">
        <f t="shared" ref="F1565" si="59">D1565*E1565</f>
        <v>1.26</v>
      </c>
    </row>
    <row r="1566" spans="1:6">
      <c r="A1566" s="14"/>
      <c r="B1566" s="19" t="s">
        <v>327</v>
      </c>
      <c r="C1566" s="18"/>
      <c r="D1566" s="39">
        <f>1*2.24</f>
        <v>2.2400000000000002</v>
      </c>
      <c r="E1566" s="42">
        <v>0.35</v>
      </c>
      <c r="F1566" s="238">
        <f>D1566*E1566</f>
        <v>0.78400000000000003</v>
      </c>
    </row>
    <row r="1567" spans="1:6">
      <c r="A1567" s="14"/>
      <c r="B1567" s="357" t="s">
        <v>14</v>
      </c>
      <c r="C1567" s="357"/>
      <c r="D1567" s="357"/>
      <c r="E1567" s="357"/>
      <c r="F1567" s="216">
        <f>F1562-F1563+F1564-F1565-F1566</f>
        <v>17.215999999999998</v>
      </c>
    </row>
    <row r="1568" spans="1:6">
      <c r="A1568" s="220"/>
      <c r="B1568" s="21" t="s">
        <v>499</v>
      </c>
      <c r="C1568" s="39" t="s">
        <v>16</v>
      </c>
      <c r="D1568" s="181" t="s">
        <v>19</v>
      </c>
      <c r="E1568" s="41" t="s">
        <v>18</v>
      </c>
      <c r="F1568" s="145" t="s">
        <v>8</v>
      </c>
    </row>
    <row r="1569" spans="1:6">
      <c r="A1569" s="220"/>
      <c r="B1569" s="21" t="s">
        <v>52</v>
      </c>
      <c r="C1569" s="17"/>
      <c r="D1569" s="39">
        <f>9.84+6.15+9.84+6.15</f>
        <v>31.979999999999997</v>
      </c>
      <c r="E1569" s="179">
        <v>1.8</v>
      </c>
      <c r="F1569" s="238">
        <f>E1569*D1569</f>
        <v>57.563999999999993</v>
      </c>
    </row>
    <row r="1570" spans="1:6">
      <c r="A1570" s="204"/>
      <c r="B1570" s="19" t="s">
        <v>26</v>
      </c>
      <c r="C1570" s="18"/>
      <c r="D1570" s="39">
        <v>0.9</v>
      </c>
      <c r="E1570" s="42">
        <v>1.8</v>
      </c>
      <c r="F1570" s="238">
        <f t="shared" ref="F1570:F1572" si="60">E1570*D1570</f>
        <v>1.62</v>
      </c>
    </row>
    <row r="1571" spans="1:6">
      <c r="A1571" s="220"/>
      <c r="B1571" s="19" t="s">
        <v>329</v>
      </c>
      <c r="C1571" s="18"/>
      <c r="D1571" s="39">
        <f>7*2.24</f>
        <v>15.680000000000001</v>
      </c>
      <c r="E1571" s="42">
        <v>0.35</v>
      </c>
      <c r="F1571" s="238">
        <f>D1571*E1571</f>
        <v>5.4880000000000004</v>
      </c>
    </row>
    <row r="1572" spans="1:6">
      <c r="A1572" s="14"/>
      <c r="B1572" s="15" t="s">
        <v>164</v>
      </c>
      <c r="C1572" s="18"/>
      <c r="D1572" s="181">
        <f>4*2.24</f>
        <v>8.9600000000000009</v>
      </c>
      <c r="E1572" s="41">
        <v>1.3</v>
      </c>
      <c r="F1572" s="238">
        <f t="shared" si="60"/>
        <v>11.648000000000001</v>
      </c>
    </row>
    <row r="1573" spans="1:6">
      <c r="A1573" s="14"/>
      <c r="B1573" s="357" t="s">
        <v>14</v>
      </c>
      <c r="C1573" s="357"/>
      <c r="D1573" s="357"/>
      <c r="E1573" s="357"/>
      <c r="F1573" s="216">
        <f>F1569-F1570-F1572</f>
        <v>44.295999999999992</v>
      </c>
    </row>
    <row r="1574" spans="1:6">
      <c r="A1574" s="220"/>
      <c r="B1574" s="21" t="s">
        <v>64</v>
      </c>
      <c r="C1574" s="39" t="s">
        <v>16</v>
      </c>
      <c r="D1574" s="181" t="s">
        <v>19</v>
      </c>
      <c r="E1574" s="41" t="s">
        <v>18</v>
      </c>
      <c r="F1574" s="145" t="s">
        <v>8</v>
      </c>
    </row>
    <row r="1575" spans="1:6">
      <c r="A1575" s="220"/>
      <c r="B1575" s="20" t="s">
        <v>53</v>
      </c>
      <c r="C1575" s="17"/>
      <c r="D1575" s="181">
        <f>2.34+2.35+2.34+2.35</f>
        <v>9.379999999999999</v>
      </c>
      <c r="E1575" s="176">
        <v>1.8</v>
      </c>
      <c r="F1575" s="238">
        <f>E1575*D1575</f>
        <v>16.884</v>
      </c>
    </row>
    <row r="1576" spans="1:6">
      <c r="A1576" s="14"/>
      <c r="B1576" s="19" t="s">
        <v>26</v>
      </c>
      <c r="C1576" s="18"/>
      <c r="D1576" s="39">
        <v>0.9</v>
      </c>
      <c r="E1576" s="42">
        <v>1.3</v>
      </c>
      <c r="F1576" s="238">
        <f>E1576*D1576</f>
        <v>1.1700000000000002</v>
      </c>
    </row>
    <row r="1577" spans="1:6">
      <c r="A1577" s="14"/>
      <c r="B1577" s="357" t="s">
        <v>14</v>
      </c>
      <c r="C1577" s="357"/>
      <c r="D1577" s="357"/>
      <c r="E1577" s="357"/>
      <c r="F1577" s="216">
        <f>F1575-F1576</f>
        <v>15.714</v>
      </c>
    </row>
    <row r="1578" spans="1:6">
      <c r="A1578" s="14"/>
      <c r="B1578" s="21" t="s">
        <v>65</v>
      </c>
      <c r="C1578" s="39" t="s">
        <v>16</v>
      </c>
      <c r="D1578" s="181" t="s">
        <v>19</v>
      </c>
      <c r="E1578" s="41" t="s">
        <v>18</v>
      </c>
      <c r="F1578" s="145" t="s">
        <v>8</v>
      </c>
    </row>
    <row r="1579" spans="1:6">
      <c r="A1579" s="220"/>
      <c r="B1579" s="21" t="s">
        <v>54</v>
      </c>
      <c r="C1579" s="17"/>
      <c r="D1579" s="181">
        <f>20.05+2.35+20.05</f>
        <v>42.45</v>
      </c>
      <c r="E1579" s="176">
        <v>1.8</v>
      </c>
      <c r="F1579" s="238">
        <f>E1579*D1579</f>
        <v>76.410000000000011</v>
      </c>
    </row>
    <row r="1580" spans="1:6">
      <c r="A1580" s="220"/>
      <c r="B1580" s="19" t="s">
        <v>330</v>
      </c>
      <c r="C1580" s="18"/>
      <c r="D1580" s="39">
        <f>16*2.24</f>
        <v>35.840000000000003</v>
      </c>
      <c r="E1580" s="42">
        <v>0.35</v>
      </c>
      <c r="F1580" s="238">
        <f>D1580*E1580</f>
        <v>12.544</v>
      </c>
    </row>
    <row r="1581" spans="1:6">
      <c r="A1581" s="14"/>
      <c r="B1581" s="19" t="s">
        <v>55</v>
      </c>
      <c r="C1581" s="18"/>
      <c r="D1581" s="39">
        <f>8*0.9</f>
        <v>7.2</v>
      </c>
      <c r="E1581" s="42">
        <v>1.3</v>
      </c>
      <c r="F1581" s="238">
        <f t="shared" ref="F1581" si="61">D1581*E1581</f>
        <v>9.3600000000000012</v>
      </c>
    </row>
    <row r="1582" spans="1:6">
      <c r="A1582" s="14"/>
      <c r="B1582" s="357" t="s">
        <v>14</v>
      </c>
      <c r="C1582" s="357"/>
      <c r="D1582" s="357"/>
      <c r="E1582" s="357"/>
      <c r="F1582" s="216">
        <f>F1579-F1581</f>
        <v>67.050000000000011</v>
      </c>
    </row>
    <row r="1583" spans="1:6">
      <c r="A1583" s="220"/>
      <c r="B1583" s="21" t="s">
        <v>66</v>
      </c>
      <c r="C1583" s="39" t="s">
        <v>16</v>
      </c>
      <c r="D1583" s="181" t="s">
        <v>19</v>
      </c>
      <c r="E1583" s="41" t="s">
        <v>18</v>
      </c>
      <c r="F1583" s="145" t="s">
        <v>8</v>
      </c>
    </row>
    <row r="1584" spans="1:6">
      <c r="A1584" s="14"/>
      <c r="B1584" s="37" t="s">
        <v>56</v>
      </c>
      <c r="C1584" s="17"/>
      <c r="D1584" s="181">
        <f>5.95+14.95+5.95+14.95</f>
        <v>41.8</v>
      </c>
      <c r="E1584" s="176">
        <v>1.8</v>
      </c>
      <c r="F1584" s="238">
        <f>E1584*D1584</f>
        <v>75.239999999999995</v>
      </c>
    </row>
    <row r="1585" spans="1:6">
      <c r="A1585" s="220"/>
      <c r="B1585" s="19" t="s">
        <v>26</v>
      </c>
      <c r="C1585" s="18"/>
      <c r="D1585" s="39">
        <v>0.9</v>
      </c>
      <c r="E1585" s="42">
        <v>1.8</v>
      </c>
      <c r="F1585" s="238">
        <f>E1585*D1585</f>
        <v>1.62</v>
      </c>
    </row>
    <row r="1586" spans="1:6">
      <c r="A1586" s="220"/>
      <c r="B1586" s="37" t="s">
        <v>195</v>
      </c>
      <c r="C1586" s="17"/>
      <c r="D1586" s="181">
        <f>5*1.5</f>
        <v>7.5</v>
      </c>
      <c r="E1586" s="41">
        <v>0.8</v>
      </c>
      <c r="F1586" s="238">
        <f>E1586*D1586</f>
        <v>6</v>
      </c>
    </row>
    <row r="1587" spans="1:6">
      <c r="A1587" s="220"/>
      <c r="B1587" s="357" t="s">
        <v>14</v>
      </c>
      <c r="C1587" s="357"/>
      <c r="D1587" s="357"/>
      <c r="E1587" s="357"/>
      <c r="F1587" s="216">
        <f>F1584-F1586-F1585</f>
        <v>67.61999999999999</v>
      </c>
    </row>
    <row r="1588" spans="1:6">
      <c r="A1588" s="220"/>
      <c r="B1588" s="57" t="s">
        <v>173</v>
      </c>
      <c r="C1588" s="166"/>
      <c r="D1588" s="166"/>
      <c r="E1588" s="166"/>
      <c r="F1588" s="222"/>
    </row>
    <row r="1589" spans="1:6">
      <c r="A1589" s="220"/>
      <c r="B1589" s="15" t="s">
        <v>170</v>
      </c>
      <c r="C1589" s="39" t="s">
        <v>16</v>
      </c>
      <c r="D1589" s="45" t="s">
        <v>95</v>
      </c>
      <c r="E1589" s="45" t="s">
        <v>18</v>
      </c>
      <c r="F1589" s="145" t="s">
        <v>9</v>
      </c>
    </row>
    <row r="1590" spans="1:6">
      <c r="A1590" s="221"/>
      <c r="B1590" s="15" t="s">
        <v>169</v>
      </c>
      <c r="C1590" s="18"/>
      <c r="D1590" s="181">
        <v>25</v>
      </c>
      <c r="E1590" s="41">
        <v>1.8</v>
      </c>
      <c r="F1590" s="241">
        <f>E1590*D1590</f>
        <v>45</v>
      </c>
    </row>
    <row r="1591" spans="1:6">
      <c r="A1591" s="14"/>
      <c r="B1591" s="357" t="s">
        <v>14</v>
      </c>
      <c r="C1591" s="357"/>
      <c r="D1591" s="357"/>
      <c r="E1591" s="357"/>
      <c r="F1591" s="216">
        <f>F1590</f>
        <v>45</v>
      </c>
    </row>
    <row r="1592" spans="1:6">
      <c r="A1592" s="14"/>
      <c r="B1592" s="15" t="s">
        <v>182</v>
      </c>
      <c r="C1592" s="39"/>
      <c r="D1592" s="45"/>
      <c r="E1592" s="45"/>
      <c r="F1592" s="217"/>
    </row>
    <row r="1593" spans="1:6">
      <c r="A1593" s="14"/>
      <c r="B1593" s="20" t="s">
        <v>67</v>
      </c>
      <c r="C1593" s="39" t="s">
        <v>16</v>
      </c>
      <c r="D1593" s="45" t="s">
        <v>19</v>
      </c>
      <c r="E1593" s="45" t="s">
        <v>18</v>
      </c>
      <c r="F1593" s="145" t="s">
        <v>8</v>
      </c>
    </row>
    <row r="1594" spans="1:6">
      <c r="A1594" s="14"/>
      <c r="B1594" s="20" t="s">
        <v>68</v>
      </c>
      <c r="C1594" s="24"/>
      <c r="D1594" s="181">
        <f>6.15+7.36+6.15+7.36</f>
        <v>27.020000000000003</v>
      </c>
      <c r="E1594" s="176">
        <v>1.8</v>
      </c>
      <c r="F1594" s="238">
        <f>E1594*D1594</f>
        <v>48.63600000000001</v>
      </c>
    </row>
    <row r="1595" spans="1:6">
      <c r="A1595" s="14"/>
      <c r="B1595" s="20" t="s">
        <v>162</v>
      </c>
      <c r="C1595" s="24"/>
      <c r="D1595" s="181">
        <f>3*2.24</f>
        <v>6.7200000000000006</v>
      </c>
      <c r="E1595" s="41">
        <v>1.3</v>
      </c>
      <c r="F1595" s="238">
        <f>E1595*D1595</f>
        <v>8.7360000000000007</v>
      </c>
    </row>
    <row r="1596" spans="1:6">
      <c r="A1596" s="220"/>
      <c r="B1596" s="20" t="s">
        <v>320</v>
      </c>
      <c r="C1596" s="24"/>
      <c r="D1596" s="181">
        <f>6*2.24</f>
        <v>13.440000000000001</v>
      </c>
      <c r="E1596" s="41">
        <v>0.35</v>
      </c>
      <c r="F1596" s="238">
        <f>E1596*D1596</f>
        <v>4.7039999999999997</v>
      </c>
    </row>
    <row r="1597" spans="1:6">
      <c r="A1597" s="14"/>
      <c r="B1597" s="20" t="s">
        <v>70</v>
      </c>
      <c r="C1597" s="24"/>
      <c r="D1597" s="181">
        <v>0.9</v>
      </c>
      <c r="E1597" s="181">
        <v>1.8</v>
      </c>
      <c r="F1597" s="238">
        <f>E1597*D1597</f>
        <v>1.62</v>
      </c>
    </row>
    <row r="1598" spans="1:6">
      <c r="A1598" s="14"/>
      <c r="B1598" s="357" t="s">
        <v>14</v>
      </c>
      <c r="C1598" s="357"/>
      <c r="D1598" s="357"/>
      <c r="E1598" s="357"/>
      <c r="F1598" s="216">
        <f>F1594-F1595-F1597-F1596</f>
        <v>33.576000000000008</v>
      </c>
    </row>
    <row r="1599" spans="1:6">
      <c r="A1599" s="14"/>
      <c r="B1599" s="20" t="s">
        <v>71</v>
      </c>
      <c r="C1599" s="39" t="s">
        <v>16</v>
      </c>
      <c r="D1599" s="45" t="s">
        <v>19</v>
      </c>
      <c r="E1599" s="45" t="s">
        <v>18</v>
      </c>
      <c r="F1599" s="145" t="s">
        <v>8</v>
      </c>
    </row>
    <row r="1600" spans="1:6">
      <c r="A1600" s="14"/>
      <c r="B1600" s="20" t="s">
        <v>68</v>
      </c>
      <c r="C1600" s="24"/>
      <c r="D1600" s="181">
        <f>6.15+7.36+6.15+7.36</f>
        <v>27.020000000000003</v>
      </c>
      <c r="E1600" s="176">
        <v>1.8</v>
      </c>
      <c r="F1600" s="238">
        <f>E1600*D1600</f>
        <v>48.63600000000001</v>
      </c>
    </row>
    <row r="1601" spans="1:6">
      <c r="A1601" s="14"/>
      <c r="B1601" s="20" t="s">
        <v>69</v>
      </c>
      <c r="C1601" s="24"/>
      <c r="D1601" s="181">
        <f>3*2.24</f>
        <v>6.7200000000000006</v>
      </c>
      <c r="E1601" s="41">
        <v>1.3</v>
      </c>
      <c r="F1601" s="238">
        <f>E1601*D1601</f>
        <v>8.7360000000000007</v>
      </c>
    </row>
    <row r="1602" spans="1:6">
      <c r="A1602" s="220"/>
      <c r="B1602" s="20" t="s">
        <v>320</v>
      </c>
      <c r="C1602" s="24"/>
      <c r="D1602" s="181">
        <f>6*2.24</f>
        <v>13.440000000000001</v>
      </c>
      <c r="E1602" s="41">
        <v>0.35</v>
      </c>
      <c r="F1602" s="238">
        <f>E1602*D1602</f>
        <v>4.7039999999999997</v>
      </c>
    </row>
    <row r="1603" spans="1:6">
      <c r="A1603" s="14"/>
      <c r="B1603" s="20" t="s">
        <v>70</v>
      </c>
      <c r="C1603" s="24"/>
      <c r="D1603" s="181">
        <v>0.9</v>
      </c>
      <c r="E1603" s="181">
        <v>1.8</v>
      </c>
      <c r="F1603" s="238">
        <f>E1603*D1603</f>
        <v>1.62</v>
      </c>
    </row>
    <row r="1604" spans="1:6">
      <c r="A1604" s="14"/>
      <c r="B1604" s="357" t="s">
        <v>14</v>
      </c>
      <c r="C1604" s="357"/>
      <c r="D1604" s="357"/>
      <c r="E1604" s="357"/>
      <c r="F1604" s="216">
        <f>F1600-F1601-F1603-F1602</f>
        <v>33.576000000000008</v>
      </c>
    </row>
    <row r="1605" spans="1:6">
      <c r="A1605" s="14"/>
      <c r="B1605" s="20" t="s">
        <v>72</v>
      </c>
      <c r="C1605" s="39" t="s">
        <v>16</v>
      </c>
      <c r="D1605" s="45" t="s">
        <v>19</v>
      </c>
      <c r="E1605" s="45" t="s">
        <v>18</v>
      </c>
      <c r="F1605" s="145" t="s">
        <v>8</v>
      </c>
    </row>
    <row r="1606" spans="1:6">
      <c r="A1606" s="14"/>
      <c r="B1606" s="20" t="s">
        <v>68</v>
      </c>
      <c r="C1606" s="24"/>
      <c r="D1606" s="181">
        <f>6.15+7.36+6.15+7.36</f>
        <v>27.020000000000003</v>
      </c>
      <c r="E1606" s="176">
        <v>1.8</v>
      </c>
      <c r="F1606" s="238">
        <f>E1606*D1606</f>
        <v>48.63600000000001</v>
      </c>
    </row>
    <row r="1607" spans="1:6">
      <c r="A1607" s="14"/>
      <c r="B1607" s="20" t="s">
        <v>162</v>
      </c>
      <c r="C1607" s="24"/>
      <c r="D1607" s="181">
        <f>3*2.24</f>
        <v>6.7200000000000006</v>
      </c>
      <c r="E1607" s="41">
        <v>1.3</v>
      </c>
      <c r="F1607" s="238">
        <f>E1607*D1607</f>
        <v>8.7360000000000007</v>
      </c>
    </row>
    <row r="1608" spans="1:6">
      <c r="A1608" s="220"/>
      <c r="B1608" s="20" t="s">
        <v>320</v>
      </c>
      <c r="C1608" s="24"/>
      <c r="D1608" s="181">
        <f>6*2.24</f>
        <v>13.440000000000001</v>
      </c>
      <c r="E1608" s="41">
        <v>0.35</v>
      </c>
      <c r="F1608" s="238">
        <f>E1608*D1608</f>
        <v>4.7039999999999997</v>
      </c>
    </row>
    <row r="1609" spans="1:6">
      <c r="A1609" s="14"/>
      <c r="B1609" s="20" t="s">
        <v>70</v>
      </c>
      <c r="C1609" s="24"/>
      <c r="D1609" s="181">
        <v>0.9</v>
      </c>
      <c r="E1609" s="181">
        <v>1.8</v>
      </c>
      <c r="F1609" s="238">
        <f>E1609*D1609</f>
        <v>1.62</v>
      </c>
    </row>
    <row r="1610" spans="1:6">
      <c r="A1610" s="14"/>
      <c r="B1610" s="357" t="s">
        <v>14</v>
      </c>
      <c r="C1610" s="357"/>
      <c r="D1610" s="357"/>
      <c r="E1610" s="357"/>
      <c r="F1610" s="216">
        <f>F1606-F1607-F1608-F1609</f>
        <v>33.576000000000008</v>
      </c>
    </row>
    <row r="1611" spans="1:6">
      <c r="A1611" s="14"/>
      <c r="B1611" s="20" t="s">
        <v>73</v>
      </c>
      <c r="C1611" s="39" t="s">
        <v>16</v>
      </c>
      <c r="D1611" s="45" t="s">
        <v>19</v>
      </c>
      <c r="E1611" s="45" t="s">
        <v>18</v>
      </c>
      <c r="F1611" s="145" t="s">
        <v>8</v>
      </c>
    </row>
    <row r="1612" spans="1:6">
      <c r="A1612" s="14"/>
      <c r="B1612" s="20" t="s">
        <v>68</v>
      </c>
      <c r="C1612" s="24"/>
      <c r="D1612" s="181">
        <f>6.15+7.36+6.15+7.36</f>
        <v>27.020000000000003</v>
      </c>
      <c r="E1612" s="176">
        <v>1.8</v>
      </c>
      <c r="F1612" s="238">
        <f>E1612*D1612</f>
        <v>48.63600000000001</v>
      </c>
    </row>
    <row r="1613" spans="1:6">
      <c r="A1613" s="14"/>
      <c r="B1613" s="20" t="s">
        <v>162</v>
      </c>
      <c r="C1613" s="24"/>
      <c r="D1613" s="181">
        <f>3*2.24</f>
        <v>6.7200000000000006</v>
      </c>
      <c r="E1613" s="41">
        <v>1.3</v>
      </c>
      <c r="F1613" s="238">
        <f>E1613*D1613</f>
        <v>8.7360000000000007</v>
      </c>
    </row>
    <row r="1614" spans="1:6">
      <c r="A1614" s="220"/>
      <c r="B1614" s="20" t="s">
        <v>320</v>
      </c>
      <c r="C1614" s="24"/>
      <c r="D1614" s="181">
        <f>6*2.24</f>
        <v>13.440000000000001</v>
      </c>
      <c r="E1614" s="41">
        <v>0.35</v>
      </c>
      <c r="F1614" s="238">
        <f>E1614*D1614</f>
        <v>4.7039999999999997</v>
      </c>
    </row>
    <row r="1615" spans="1:6">
      <c r="A1615" s="14"/>
      <c r="B1615" s="20" t="s">
        <v>70</v>
      </c>
      <c r="C1615" s="24"/>
      <c r="D1615" s="181">
        <v>0.9</v>
      </c>
      <c r="E1615" s="181">
        <v>1.8</v>
      </c>
      <c r="F1615" s="238">
        <f>E1615*D1615</f>
        <v>1.62</v>
      </c>
    </row>
    <row r="1616" spans="1:6">
      <c r="A1616" s="14"/>
      <c r="B1616" s="357" t="s">
        <v>14</v>
      </c>
      <c r="C1616" s="357"/>
      <c r="D1616" s="357"/>
      <c r="E1616" s="357"/>
      <c r="F1616" s="216">
        <f>F1612-F1613-F1615-F1614</f>
        <v>33.576000000000008</v>
      </c>
    </row>
    <row r="1617" spans="1:6">
      <c r="A1617" s="14"/>
      <c r="B1617" s="20" t="s">
        <v>74</v>
      </c>
      <c r="C1617" s="39" t="s">
        <v>16</v>
      </c>
      <c r="D1617" s="45" t="s">
        <v>19</v>
      </c>
      <c r="E1617" s="45" t="s">
        <v>18</v>
      </c>
      <c r="F1617" s="145" t="s">
        <v>8</v>
      </c>
    </row>
    <row r="1618" spans="1:6">
      <c r="A1618" s="14"/>
      <c r="B1618" s="20" t="s">
        <v>68</v>
      </c>
      <c r="C1618" s="24"/>
      <c r="D1618" s="181">
        <f>6.15+7.36+6.15+7.36</f>
        <v>27.020000000000003</v>
      </c>
      <c r="E1618" s="176">
        <v>1.8</v>
      </c>
      <c r="F1618" s="238">
        <f>E1618*D1618</f>
        <v>48.63600000000001</v>
      </c>
    </row>
    <row r="1619" spans="1:6">
      <c r="A1619" s="14"/>
      <c r="B1619" s="20" t="s">
        <v>162</v>
      </c>
      <c r="C1619" s="24"/>
      <c r="D1619" s="181">
        <f>3*2.24</f>
        <v>6.7200000000000006</v>
      </c>
      <c r="E1619" s="41">
        <v>1.3</v>
      </c>
      <c r="F1619" s="238">
        <f>E1619*D1619</f>
        <v>8.7360000000000007</v>
      </c>
    </row>
    <row r="1620" spans="1:6">
      <c r="A1620" s="220"/>
      <c r="B1620" s="20" t="s">
        <v>320</v>
      </c>
      <c r="C1620" s="24"/>
      <c r="D1620" s="181">
        <f>6*2.24</f>
        <v>13.440000000000001</v>
      </c>
      <c r="E1620" s="41">
        <v>0.35</v>
      </c>
      <c r="F1620" s="238">
        <f>E1620*D1620</f>
        <v>4.7039999999999997</v>
      </c>
    </row>
    <row r="1621" spans="1:6">
      <c r="A1621" s="14"/>
      <c r="B1621" s="20" t="s">
        <v>70</v>
      </c>
      <c r="C1621" s="24"/>
      <c r="D1621" s="181">
        <v>0.9</v>
      </c>
      <c r="E1621" s="181">
        <v>1.8</v>
      </c>
      <c r="F1621" s="238">
        <f>E1621*D1621</f>
        <v>1.62</v>
      </c>
    </row>
    <row r="1622" spans="1:6">
      <c r="A1622" s="14"/>
      <c r="B1622" s="357" t="s">
        <v>14</v>
      </c>
      <c r="C1622" s="357"/>
      <c r="D1622" s="357"/>
      <c r="E1622" s="357"/>
      <c r="F1622" s="216">
        <f>F1618-F1619-F1621-F1620</f>
        <v>33.576000000000008</v>
      </c>
    </row>
    <row r="1623" spans="1:6">
      <c r="A1623" s="14"/>
      <c r="B1623" s="20" t="s">
        <v>75</v>
      </c>
      <c r="C1623" s="39" t="s">
        <v>16</v>
      </c>
      <c r="D1623" s="45" t="s">
        <v>19</v>
      </c>
      <c r="E1623" s="45" t="s">
        <v>18</v>
      </c>
      <c r="F1623" s="145" t="s">
        <v>9</v>
      </c>
    </row>
    <row r="1624" spans="1:6">
      <c r="A1624" s="14"/>
      <c r="B1624" s="20" t="s">
        <v>68</v>
      </c>
      <c r="C1624" s="24"/>
      <c r="D1624" s="181">
        <f>6.15+7.36+6.15+7.36</f>
        <v>27.020000000000003</v>
      </c>
      <c r="E1624" s="176">
        <v>1.8</v>
      </c>
      <c r="F1624" s="238">
        <f>E1624*D1624</f>
        <v>48.63600000000001</v>
      </c>
    </row>
    <row r="1625" spans="1:6">
      <c r="A1625" s="14"/>
      <c r="B1625" s="20" t="s">
        <v>162</v>
      </c>
      <c r="C1625" s="24"/>
      <c r="D1625" s="181">
        <f>3*2.24</f>
        <v>6.7200000000000006</v>
      </c>
      <c r="E1625" s="41">
        <v>1.3</v>
      </c>
      <c r="F1625" s="238">
        <f>E1625*D1625</f>
        <v>8.7360000000000007</v>
      </c>
    </row>
    <row r="1626" spans="1:6">
      <c r="A1626" s="220"/>
      <c r="B1626" s="20" t="s">
        <v>320</v>
      </c>
      <c r="C1626" s="24"/>
      <c r="D1626" s="181">
        <f>6*2.24</f>
        <v>13.440000000000001</v>
      </c>
      <c r="E1626" s="41">
        <v>0.35</v>
      </c>
      <c r="F1626" s="238">
        <f>E1626*D1626</f>
        <v>4.7039999999999997</v>
      </c>
    </row>
    <row r="1627" spans="1:6">
      <c r="A1627" s="14"/>
      <c r="B1627" s="20" t="s">
        <v>70</v>
      </c>
      <c r="C1627" s="24"/>
      <c r="D1627" s="181">
        <v>0.9</v>
      </c>
      <c r="E1627" s="181">
        <v>1.8</v>
      </c>
      <c r="F1627" s="238">
        <f>E1627*D1627</f>
        <v>1.62</v>
      </c>
    </row>
    <row r="1628" spans="1:6">
      <c r="A1628" s="14"/>
      <c r="B1628" s="357" t="s">
        <v>14</v>
      </c>
      <c r="C1628" s="357"/>
      <c r="D1628" s="357"/>
      <c r="E1628" s="357"/>
      <c r="F1628" s="216">
        <f>F1624-F1625-F1627-F1626</f>
        <v>33.576000000000008</v>
      </c>
    </row>
    <row r="1629" spans="1:6">
      <c r="A1629" s="14"/>
      <c r="B1629" s="20" t="s">
        <v>76</v>
      </c>
      <c r="C1629" s="39" t="s">
        <v>16</v>
      </c>
      <c r="D1629" s="45" t="s">
        <v>19</v>
      </c>
      <c r="E1629" s="45" t="s">
        <v>18</v>
      </c>
      <c r="F1629" s="145" t="s">
        <v>9</v>
      </c>
    </row>
    <row r="1630" spans="1:6">
      <c r="A1630" s="14"/>
      <c r="B1630" s="20" t="s">
        <v>68</v>
      </c>
      <c r="C1630" s="24"/>
      <c r="D1630" s="181">
        <f>6.15+7.36+6.15+7.36</f>
        <v>27.020000000000003</v>
      </c>
      <c r="E1630" s="176">
        <v>1.8</v>
      </c>
      <c r="F1630" s="238">
        <f>E1630*D1630</f>
        <v>48.63600000000001</v>
      </c>
    </row>
    <row r="1631" spans="1:6">
      <c r="A1631" s="14"/>
      <c r="B1631" s="20" t="s">
        <v>162</v>
      </c>
      <c r="C1631" s="24"/>
      <c r="D1631" s="181">
        <f>3*2.24</f>
        <v>6.7200000000000006</v>
      </c>
      <c r="E1631" s="41">
        <v>1.3</v>
      </c>
      <c r="F1631" s="238">
        <f>E1631*D1631</f>
        <v>8.7360000000000007</v>
      </c>
    </row>
    <row r="1632" spans="1:6" ht="15.75" customHeight="1">
      <c r="A1632" s="220"/>
      <c r="B1632" s="20" t="s">
        <v>320</v>
      </c>
      <c r="C1632" s="24"/>
      <c r="D1632" s="181">
        <f>6*2.24</f>
        <v>13.440000000000001</v>
      </c>
      <c r="E1632" s="41">
        <v>0.35</v>
      </c>
      <c r="F1632" s="238">
        <f>E1632*D1632</f>
        <v>4.7039999999999997</v>
      </c>
    </row>
    <row r="1633" spans="1:6">
      <c r="A1633" s="14"/>
      <c r="B1633" s="20" t="s">
        <v>70</v>
      </c>
      <c r="C1633" s="24"/>
      <c r="D1633" s="181">
        <v>0.9</v>
      </c>
      <c r="E1633" s="181">
        <v>1.8</v>
      </c>
      <c r="F1633" s="238">
        <f>E1633*D1633</f>
        <v>1.62</v>
      </c>
    </row>
    <row r="1634" spans="1:6">
      <c r="A1634" s="14"/>
      <c r="B1634" s="357" t="s">
        <v>14</v>
      </c>
      <c r="C1634" s="357"/>
      <c r="D1634" s="357"/>
      <c r="E1634" s="357"/>
      <c r="F1634" s="216">
        <f>F1630-F1631-F1633-F1632</f>
        <v>33.576000000000008</v>
      </c>
    </row>
    <row r="1635" spans="1:6">
      <c r="A1635" s="14"/>
      <c r="B1635" s="20" t="s">
        <v>77</v>
      </c>
      <c r="C1635" s="39" t="s">
        <v>16</v>
      </c>
      <c r="D1635" s="45" t="s">
        <v>19</v>
      </c>
      <c r="E1635" s="45" t="s">
        <v>18</v>
      </c>
      <c r="F1635" s="145" t="s">
        <v>9</v>
      </c>
    </row>
    <row r="1636" spans="1:6">
      <c r="A1636" s="14"/>
      <c r="B1636" s="20" t="s">
        <v>68</v>
      </c>
      <c r="C1636" s="24"/>
      <c r="D1636" s="181">
        <f>6.15+7.36+6.15+7.36</f>
        <v>27.020000000000003</v>
      </c>
      <c r="E1636" s="176">
        <v>1.8</v>
      </c>
      <c r="F1636" s="238">
        <f>E1636*D1636</f>
        <v>48.63600000000001</v>
      </c>
    </row>
    <row r="1637" spans="1:6">
      <c r="A1637" s="14"/>
      <c r="B1637" s="20" t="s">
        <v>162</v>
      </c>
      <c r="C1637" s="24"/>
      <c r="D1637" s="181">
        <f>3*2.24</f>
        <v>6.7200000000000006</v>
      </c>
      <c r="E1637" s="41">
        <v>1.3</v>
      </c>
      <c r="F1637" s="238">
        <f>E1637*D1637</f>
        <v>8.7360000000000007</v>
      </c>
    </row>
    <row r="1638" spans="1:6">
      <c r="A1638" s="220"/>
      <c r="B1638" s="20" t="s">
        <v>320</v>
      </c>
      <c r="C1638" s="24"/>
      <c r="D1638" s="181">
        <f>6*2.24</f>
        <v>13.440000000000001</v>
      </c>
      <c r="E1638" s="41">
        <v>0.35</v>
      </c>
      <c r="F1638" s="238">
        <f>E1638*D1638</f>
        <v>4.7039999999999997</v>
      </c>
    </row>
    <row r="1639" spans="1:6">
      <c r="A1639" s="14"/>
      <c r="B1639" s="20" t="s">
        <v>70</v>
      </c>
      <c r="C1639" s="24"/>
      <c r="D1639" s="181">
        <v>0.9</v>
      </c>
      <c r="E1639" s="181">
        <v>1.8</v>
      </c>
      <c r="F1639" s="238">
        <f>E1639*D1639</f>
        <v>1.62</v>
      </c>
    </row>
    <row r="1640" spans="1:6">
      <c r="A1640" s="14"/>
      <c r="B1640" s="357" t="s">
        <v>14</v>
      </c>
      <c r="C1640" s="357"/>
      <c r="D1640" s="357"/>
      <c r="E1640" s="357"/>
      <c r="F1640" s="216">
        <f>F1636-F1637-F1639-F1638</f>
        <v>33.576000000000008</v>
      </c>
    </row>
    <row r="1641" spans="1:6">
      <c r="A1641" s="14"/>
      <c r="B1641" s="20" t="s">
        <v>78</v>
      </c>
      <c r="C1641" s="39" t="s">
        <v>16</v>
      </c>
      <c r="D1641" s="45" t="s">
        <v>19</v>
      </c>
      <c r="E1641" s="45" t="s">
        <v>18</v>
      </c>
      <c r="F1641" s="145" t="s">
        <v>9</v>
      </c>
    </row>
    <row r="1642" spans="1:6">
      <c r="A1642" s="14"/>
      <c r="B1642" s="20" t="s">
        <v>68</v>
      </c>
      <c r="C1642" s="24"/>
      <c r="D1642" s="181">
        <f>6.15+7.36+6.15+7.36</f>
        <v>27.020000000000003</v>
      </c>
      <c r="E1642" s="176">
        <v>1.8</v>
      </c>
      <c r="F1642" s="238">
        <f>E1642*D1642</f>
        <v>48.63600000000001</v>
      </c>
    </row>
    <row r="1643" spans="1:6">
      <c r="A1643" s="14"/>
      <c r="B1643" s="20" t="s">
        <v>162</v>
      </c>
      <c r="C1643" s="24"/>
      <c r="D1643" s="181">
        <f>3*2.24</f>
        <v>6.7200000000000006</v>
      </c>
      <c r="E1643" s="41">
        <v>1.3</v>
      </c>
      <c r="F1643" s="238">
        <f>E1643*D1643</f>
        <v>8.7360000000000007</v>
      </c>
    </row>
    <row r="1644" spans="1:6">
      <c r="A1644" s="220"/>
      <c r="B1644" s="20" t="s">
        <v>320</v>
      </c>
      <c r="C1644" s="24"/>
      <c r="D1644" s="181">
        <f>6*2.24</f>
        <v>13.440000000000001</v>
      </c>
      <c r="E1644" s="41">
        <v>0.35</v>
      </c>
      <c r="F1644" s="238">
        <f>E1644*D1644</f>
        <v>4.7039999999999997</v>
      </c>
    </row>
    <row r="1645" spans="1:6">
      <c r="A1645" s="14"/>
      <c r="B1645" s="20" t="s">
        <v>70</v>
      </c>
      <c r="C1645" s="24"/>
      <c r="D1645" s="181">
        <v>0.9</v>
      </c>
      <c r="E1645" s="181">
        <v>1.8</v>
      </c>
      <c r="F1645" s="238">
        <f>E1645*D1645</f>
        <v>1.62</v>
      </c>
    </row>
    <row r="1646" spans="1:6">
      <c r="A1646" s="14"/>
      <c r="B1646" s="357" t="s">
        <v>14</v>
      </c>
      <c r="C1646" s="357"/>
      <c r="D1646" s="357"/>
      <c r="E1646" s="357"/>
      <c r="F1646" s="216">
        <f>F1642-F1643-F1645-F1644</f>
        <v>33.576000000000008</v>
      </c>
    </row>
    <row r="1647" spans="1:6">
      <c r="A1647" s="14"/>
      <c r="B1647" s="20" t="s">
        <v>79</v>
      </c>
      <c r="C1647" s="39" t="s">
        <v>16</v>
      </c>
      <c r="D1647" s="45" t="s">
        <v>19</v>
      </c>
      <c r="E1647" s="45" t="s">
        <v>18</v>
      </c>
      <c r="F1647" s="145" t="s">
        <v>9</v>
      </c>
    </row>
    <row r="1648" spans="1:6">
      <c r="A1648" s="14"/>
      <c r="B1648" s="20" t="s">
        <v>68</v>
      </c>
      <c r="C1648" s="24"/>
      <c r="D1648" s="181">
        <f>6.15+7.36+6.15+7.36</f>
        <v>27.020000000000003</v>
      </c>
      <c r="E1648" s="176">
        <v>1.8</v>
      </c>
      <c r="F1648" s="238">
        <f>E1648*D1648</f>
        <v>48.63600000000001</v>
      </c>
    </row>
    <row r="1649" spans="1:6">
      <c r="A1649" s="14"/>
      <c r="B1649" s="20" t="s">
        <v>162</v>
      </c>
      <c r="C1649" s="24"/>
      <c r="D1649" s="181">
        <f>3*2.24</f>
        <v>6.7200000000000006</v>
      </c>
      <c r="E1649" s="41">
        <v>1.3</v>
      </c>
      <c r="F1649" s="238">
        <f>E1649*D1649</f>
        <v>8.7360000000000007</v>
      </c>
    </row>
    <row r="1650" spans="1:6">
      <c r="A1650" s="220"/>
      <c r="B1650" s="20" t="s">
        <v>320</v>
      </c>
      <c r="C1650" s="24"/>
      <c r="D1650" s="181">
        <f>6*2.24</f>
        <v>13.440000000000001</v>
      </c>
      <c r="E1650" s="41">
        <v>0.35</v>
      </c>
      <c r="F1650" s="238">
        <f>E1650*D1650</f>
        <v>4.7039999999999997</v>
      </c>
    </row>
    <row r="1651" spans="1:6">
      <c r="A1651" s="14"/>
      <c r="B1651" s="20" t="s">
        <v>70</v>
      </c>
      <c r="C1651" s="24"/>
      <c r="D1651" s="181">
        <v>0.9</v>
      </c>
      <c r="E1651" s="181">
        <v>1.8</v>
      </c>
      <c r="F1651" s="238">
        <f>E1651*D1651</f>
        <v>1.62</v>
      </c>
    </row>
    <row r="1652" spans="1:6">
      <c r="A1652" s="14"/>
      <c r="B1652" s="357" t="s">
        <v>14</v>
      </c>
      <c r="C1652" s="357"/>
      <c r="D1652" s="357"/>
      <c r="E1652" s="357"/>
      <c r="F1652" s="216">
        <f>F1648-F1649-F1651-F1650</f>
        <v>33.576000000000008</v>
      </c>
    </row>
    <row r="1653" spans="1:6">
      <c r="A1653" s="14"/>
      <c r="B1653" s="20" t="s">
        <v>80</v>
      </c>
      <c r="C1653" s="39" t="s">
        <v>16</v>
      </c>
      <c r="D1653" s="45" t="s">
        <v>19</v>
      </c>
      <c r="E1653" s="45" t="s">
        <v>18</v>
      </c>
      <c r="F1653" s="145" t="s">
        <v>9</v>
      </c>
    </row>
    <row r="1654" spans="1:6">
      <c r="A1654" s="14"/>
      <c r="B1654" s="20" t="s">
        <v>68</v>
      </c>
      <c r="C1654" s="24"/>
      <c r="D1654" s="181">
        <f>6.15+7.36+6.15+7.36</f>
        <v>27.020000000000003</v>
      </c>
      <c r="E1654" s="176">
        <v>1.8</v>
      </c>
      <c r="F1654" s="238">
        <f>E1654*D1654</f>
        <v>48.63600000000001</v>
      </c>
    </row>
    <row r="1655" spans="1:6">
      <c r="A1655" s="14"/>
      <c r="B1655" s="20" t="s">
        <v>162</v>
      </c>
      <c r="C1655" s="24"/>
      <c r="D1655" s="181">
        <f>3*2.24</f>
        <v>6.7200000000000006</v>
      </c>
      <c r="E1655" s="41">
        <v>1.3</v>
      </c>
      <c r="F1655" s="238">
        <f>E1655*D1655</f>
        <v>8.7360000000000007</v>
      </c>
    </row>
    <row r="1656" spans="1:6">
      <c r="A1656" s="220"/>
      <c r="B1656" s="20" t="s">
        <v>320</v>
      </c>
      <c r="C1656" s="24"/>
      <c r="D1656" s="181">
        <f>6*2.24</f>
        <v>13.440000000000001</v>
      </c>
      <c r="E1656" s="41">
        <v>0.35</v>
      </c>
      <c r="F1656" s="238">
        <f>E1656*D1656</f>
        <v>4.7039999999999997</v>
      </c>
    </row>
    <row r="1657" spans="1:6">
      <c r="A1657" s="14"/>
      <c r="B1657" s="20" t="s">
        <v>70</v>
      </c>
      <c r="C1657" s="24"/>
      <c r="D1657" s="181">
        <v>0.9</v>
      </c>
      <c r="E1657" s="181">
        <v>1.8</v>
      </c>
      <c r="F1657" s="238">
        <f>E1657*D1657</f>
        <v>1.62</v>
      </c>
    </row>
    <row r="1658" spans="1:6">
      <c r="A1658" s="14"/>
      <c r="B1658" s="357" t="s">
        <v>14</v>
      </c>
      <c r="C1658" s="357"/>
      <c r="D1658" s="357"/>
      <c r="E1658" s="357"/>
      <c r="F1658" s="216">
        <f>F1654-F1655-F1657-F1656</f>
        <v>33.576000000000008</v>
      </c>
    </row>
    <row r="1659" spans="1:6">
      <c r="A1659" s="14"/>
      <c r="B1659" s="20" t="s">
        <v>81</v>
      </c>
      <c r="C1659" s="39" t="s">
        <v>16</v>
      </c>
      <c r="D1659" s="45" t="s">
        <v>19</v>
      </c>
      <c r="E1659" s="45" t="s">
        <v>18</v>
      </c>
      <c r="F1659" s="145" t="s">
        <v>9</v>
      </c>
    </row>
    <row r="1660" spans="1:6">
      <c r="A1660" s="14"/>
      <c r="B1660" s="20" t="s">
        <v>68</v>
      </c>
      <c r="C1660" s="24"/>
      <c r="D1660" s="181">
        <f>6.15+7.36+6.15+7.36</f>
        <v>27.020000000000003</v>
      </c>
      <c r="E1660" s="176">
        <v>1.8</v>
      </c>
      <c r="F1660" s="238">
        <f>E1660*D1660</f>
        <v>48.63600000000001</v>
      </c>
    </row>
    <row r="1661" spans="1:6">
      <c r="A1661" s="14"/>
      <c r="B1661" s="20" t="s">
        <v>162</v>
      </c>
      <c r="C1661" s="24"/>
      <c r="D1661" s="181">
        <f>3*2.24</f>
        <v>6.7200000000000006</v>
      </c>
      <c r="E1661" s="41">
        <v>1.3</v>
      </c>
      <c r="F1661" s="238">
        <f>E1661*D1661</f>
        <v>8.7360000000000007</v>
      </c>
    </row>
    <row r="1662" spans="1:6">
      <c r="A1662" s="220"/>
      <c r="B1662" s="20" t="s">
        <v>320</v>
      </c>
      <c r="C1662" s="24"/>
      <c r="D1662" s="181">
        <f>6*2.24</f>
        <v>13.440000000000001</v>
      </c>
      <c r="E1662" s="41">
        <v>0.35</v>
      </c>
      <c r="F1662" s="238">
        <f>E1662*D1662</f>
        <v>4.7039999999999997</v>
      </c>
    </row>
    <row r="1663" spans="1:6">
      <c r="A1663" s="14"/>
      <c r="B1663" s="20" t="s">
        <v>70</v>
      </c>
      <c r="C1663" s="24"/>
      <c r="D1663" s="181">
        <v>0.9</v>
      </c>
      <c r="E1663" s="181">
        <v>1.8</v>
      </c>
      <c r="F1663" s="238">
        <f>E1663*D1663</f>
        <v>1.62</v>
      </c>
    </row>
    <row r="1664" spans="1:6">
      <c r="A1664" s="203"/>
      <c r="B1664" s="357" t="s">
        <v>14</v>
      </c>
      <c r="C1664" s="357"/>
      <c r="D1664" s="357"/>
      <c r="E1664" s="357"/>
      <c r="F1664" s="216">
        <f>F1660-F1661-F1663-F1662</f>
        <v>33.576000000000008</v>
      </c>
    </row>
    <row r="1665" spans="1:6">
      <c r="A1665" s="14"/>
      <c r="B1665" s="20" t="s">
        <v>32</v>
      </c>
      <c r="C1665" s="39" t="s">
        <v>16</v>
      </c>
      <c r="D1665" s="45" t="s">
        <v>19</v>
      </c>
      <c r="E1665" s="45" t="s">
        <v>18</v>
      </c>
      <c r="F1665" s="145" t="s">
        <v>9</v>
      </c>
    </row>
    <row r="1666" spans="1:6">
      <c r="A1666" s="220"/>
      <c r="B1666" s="20" t="s">
        <v>321</v>
      </c>
      <c r="C1666" s="24"/>
      <c r="D1666" s="181">
        <f>4.36+2.35+2.35+4.36</f>
        <v>13.420000000000002</v>
      </c>
      <c r="E1666" s="41">
        <v>0.35</v>
      </c>
      <c r="F1666" s="238">
        <f>E1666*D1666</f>
        <v>4.6970000000000001</v>
      </c>
    </row>
    <row r="1667" spans="1:6">
      <c r="A1667" s="220"/>
      <c r="B1667" s="20" t="s">
        <v>70</v>
      </c>
      <c r="C1667" s="24"/>
      <c r="D1667" s="181">
        <v>0.9</v>
      </c>
      <c r="E1667" s="181">
        <v>1.8</v>
      </c>
      <c r="F1667" s="238">
        <f>E1667*D1667</f>
        <v>1.62</v>
      </c>
    </row>
    <row r="1668" spans="1:6">
      <c r="A1668" s="203"/>
      <c r="B1668" s="357" t="s">
        <v>14</v>
      </c>
      <c r="C1668" s="357"/>
      <c r="D1668" s="357"/>
      <c r="E1668" s="357"/>
      <c r="F1668" s="216">
        <f>F1666-F1667</f>
        <v>3.077</v>
      </c>
    </row>
    <row r="1669" spans="1:6">
      <c r="A1669" s="203"/>
      <c r="B1669" s="15" t="s">
        <v>28</v>
      </c>
      <c r="C1669" s="39" t="s">
        <v>16</v>
      </c>
      <c r="D1669" s="45" t="s">
        <v>19</v>
      </c>
      <c r="E1669" s="45" t="s">
        <v>18</v>
      </c>
      <c r="F1669" s="145" t="s">
        <v>9</v>
      </c>
    </row>
    <row r="1670" spans="1:6">
      <c r="A1670" s="14"/>
      <c r="B1670" s="15" t="s">
        <v>83</v>
      </c>
      <c r="C1670" s="18"/>
      <c r="D1670" s="181">
        <f>17.55+2.35+17.55</f>
        <v>37.450000000000003</v>
      </c>
      <c r="E1670" s="41">
        <v>1.8</v>
      </c>
      <c r="F1670" s="238">
        <f>E1670*D1670</f>
        <v>67.410000000000011</v>
      </c>
    </row>
    <row r="1671" spans="1:6">
      <c r="A1671" s="220"/>
      <c r="B1671" s="20" t="s">
        <v>331</v>
      </c>
      <c r="C1671" s="24"/>
      <c r="D1671" s="181">
        <f>18*2.24</f>
        <v>40.320000000000007</v>
      </c>
      <c r="E1671" s="41">
        <v>0.35</v>
      </c>
      <c r="F1671" s="238">
        <f>E1671*D1671</f>
        <v>14.112000000000002</v>
      </c>
    </row>
    <row r="1672" spans="1:6">
      <c r="A1672" s="203"/>
      <c r="B1672" s="20" t="s">
        <v>84</v>
      </c>
      <c r="C1672" s="24"/>
      <c r="D1672" s="181">
        <f>7*0.9</f>
        <v>6.3</v>
      </c>
      <c r="E1672" s="181">
        <v>1.8</v>
      </c>
      <c r="F1672" s="238">
        <f>E1672*D1672</f>
        <v>11.34</v>
      </c>
    </row>
    <row r="1673" spans="1:6">
      <c r="A1673" s="14"/>
      <c r="B1673" s="357" t="s">
        <v>14</v>
      </c>
      <c r="C1673" s="357"/>
      <c r="D1673" s="357"/>
      <c r="E1673" s="357"/>
      <c r="F1673" s="216">
        <f>F1670-F1672-F1671</f>
        <v>41.958000000000006</v>
      </c>
    </row>
    <row r="1674" spans="1:6">
      <c r="A1674" s="14"/>
      <c r="B1674" s="19" t="s">
        <v>46</v>
      </c>
      <c r="C1674" s="39" t="s">
        <v>16</v>
      </c>
      <c r="D1674" s="45" t="s">
        <v>19</v>
      </c>
      <c r="E1674" s="45" t="s">
        <v>18</v>
      </c>
      <c r="F1674" s="145" t="s">
        <v>9</v>
      </c>
    </row>
    <row r="1675" spans="1:6">
      <c r="A1675" s="14"/>
      <c r="B1675" s="19" t="s">
        <v>85</v>
      </c>
      <c r="C1675" s="129"/>
      <c r="D1675" s="181">
        <f>6.15+7.35+2.08+2.5+4.07+4.85</f>
        <v>27</v>
      </c>
      <c r="E1675" s="181">
        <v>1.8</v>
      </c>
      <c r="F1675" s="238">
        <f>E1675*D1675</f>
        <v>48.6</v>
      </c>
    </row>
    <row r="1676" spans="1:6">
      <c r="A1676" s="14"/>
      <c r="B1676" s="20" t="s">
        <v>162</v>
      </c>
      <c r="C1676" s="24"/>
      <c r="D1676" s="181">
        <f>3*2.24</f>
        <v>6.7200000000000006</v>
      </c>
      <c r="E1676" s="41">
        <v>1.3</v>
      </c>
      <c r="F1676" s="238">
        <f>E1676*D1676</f>
        <v>8.7360000000000007</v>
      </c>
    </row>
    <row r="1677" spans="1:6">
      <c r="A1677" s="220"/>
      <c r="B1677" s="20" t="s">
        <v>332</v>
      </c>
      <c r="C1677" s="24"/>
      <c r="D1677" s="181">
        <f>3*2.24</f>
        <v>6.7200000000000006</v>
      </c>
      <c r="E1677" s="41">
        <v>0.35</v>
      </c>
      <c r="F1677" s="238">
        <f>E1677*D1677</f>
        <v>2.3519999999999999</v>
      </c>
    </row>
    <row r="1678" spans="1:6">
      <c r="A1678" s="14"/>
      <c r="B1678" s="20" t="s">
        <v>70</v>
      </c>
      <c r="C1678" s="24"/>
      <c r="D1678" s="181">
        <v>0.9</v>
      </c>
      <c r="E1678" s="181">
        <v>1.8</v>
      </c>
      <c r="F1678" s="238">
        <f>E1678*D1678</f>
        <v>1.62</v>
      </c>
    </row>
    <row r="1679" spans="1:6">
      <c r="A1679" s="14"/>
      <c r="B1679" s="357" t="s">
        <v>14</v>
      </c>
      <c r="C1679" s="357"/>
      <c r="D1679" s="357"/>
      <c r="E1679" s="357"/>
      <c r="F1679" s="216">
        <f>F1675-F1676-F1678</f>
        <v>38.244000000000007</v>
      </c>
    </row>
    <row r="1680" spans="1:6">
      <c r="A1680" s="14"/>
      <c r="B1680" s="15" t="s">
        <v>40</v>
      </c>
      <c r="C1680" s="39" t="s">
        <v>16</v>
      </c>
      <c r="D1680" s="45" t="s">
        <v>19</v>
      </c>
      <c r="E1680" s="45" t="s">
        <v>18</v>
      </c>
      <c r="F1680" s="145" t="s">
        <v>9</v>
      </c>
    </row>
    <row r="1681" spans="1:6">
      <c r="A1681" s="14"/>
      <c r="B1681" s="180" t="s">
        <v>86</v>
      </c>
      <c r="C1681" s="18"/>
      <c r="D1681" s="39">
        <f>6.5+7.35+6.5+7.28+4.09+2.35+4.09</f>
        <v>38.159999999999997</v>
      </c>
      <c r="E1681" s="42">
        <v>1.8</v>
      </c>
      <c r="F1681" s="241">
        <f>D1681*E1681</f>
        <v>68.688000000000002</v>
      </c>
    </row>
    <row r="1682" spans="1:6">
      <c r="A1682" s="14"/>
      <c r="B1682" s="20" t="s">
        <v>87</v>
      </c>
      <c r="C1682" s="24"/>
      <c r="D1682" s="181">
        <v>0.9</v>
      </c>
      <c r="E1682" s="181">
        <v>1.8</v>
      </c>
      <c r="F1682" s="238">
        <f>E1682*D1682</f>
        <v>1.62</v>
      </c>
    </row>
    <row r="1683" spans="1:6">
      <c r="A1683" s="14"/>
      <c r="B1683" s="57" t="s">
        <v>88</v>
      </c>
      <c r="C1683" s="24"/>
      <c r="D1683" s="181">
        <f>3*2.24</f>
        <v>6.7200000000000006</v>
      </c>
      <c r="E1683" s="181">
        <v>1.8</v>
      </c>
      <c r="F1683" s="238">
        <f>E1683*D1683</f>
        <v>12.096000000000002</v>
      </c>
    </row>
    <row r="1684" spans="1:6">
      <c r="A1684" s="14"/>
      <c r="B1684" s="20" t="s">
        <v>333</v>
      </c>
      <c r="C1684" s="24"/>
      <c r="D1684" s="181">
        <f>6*2.24</f>
        <v>13.440000000000001</v>
      </c>
      <c r="E1684" s="41">
        <v>0.35</v>
      </c>
      <c r="F1684" s="238">
        <f>E1684*D1684</f>
        <v>4.7039999999999997</v>
      </c>
    </row>
    <row r="1685" spans="1:6">
      <c r="A1685" s="14"/>
      <c r="B1685" s="70" t="s">
        <v>318</v>
      </c>
      <c r="C1685" s="62"/>
      <c r="D1685" s="188">
        <f>0.3+0.3+0.9+0.9</f>
        <v>2.4</v>
      </c>
      <c r="E1685" s="63">
        <v>0.2</v>
      </c>
      <c r="F1685" s="219">
        <f>E1685*D1685</f>
        <v>0.48</v>
      </c>
    </row>
    <row r="1686" spans="1:6">
      <c r="A1686" s="14"/>
      <c r="B1686" s="70" t="s">
        <v>214</v>
      </c>
      <c r="C1686" s="62"/>
      <c r="D1686" s="188">
        <v>0.7</v>
      </c>
      <c r="E1686" s="63">
        <v>0.15</v>
      </c>
      <c r="F1686" s="219">
        <f>E1686*D1686</f>
        <v>0.105</v>
      </c>
    </row>
    <row r="1687" spans="1:6">
      <c r="A1687" s="14"/>
      <c r="B1687" s="357" t="s">
        <v>14</v>
      </c>
      <c r="C1687" s="357"/>
      <c r="D1687" s="357"/>
      <c r="E1687" s="357"/>
      <c r="F1687" s="216">
        <f>F1681-F1682-F1683+F1685-F1686-F1684</f>
        <v>50.642999999999994</v>
      </c>
    </row>
    <row r="1688" spans="1:6">
      <c r="A1688" s="14"/>
      <c r="B1688" s="15" t="s">
        <v>34</v>
      </c>
      <c r="C1688" s="39" t="s">
        <v>16</v>
      </c>
      <c r="D1688" s="45" t="s">
        <v>19</v>
      </c>
      <c r="E1688" s="45" t="s">
        <v>18</v>
      </c>
      <c r="F1688" s="145" t="s">
        <v>9</v>
      </c>
    </row>
    <row r="1689" spans="1:6">
      <c r="A1689" s="14"/>
      <c r="B1689" s="15" t="s">
        <v>89</v>
      </c>
      <c r="C1689" s="18"/>
      <c r="D1689" s="179">
        <f xml:space="preserve"> 20.17+20.17+2.35</f>
        <v>42.690000000000005</v>
      </c>
      <c r="E1689" s="42">
        <v>1.8</v>
      </c>
      <c r="F1689" s="241">
        <f>D1689*E1689</f>
        <v>76.842000000000013</v>
      </c>
    </row>
    <row r="1690" spans="1:6">
      <c r="A1690" s="220"/>
      <c r="B1690" s="20" t="s">
        <v>334</v>
      </c>
      <c r="C1690" s="24"/>
      <c r="D1690" s="181">
        <f>16*2.24</f>
        <v>35.840000000000003</v>
      </c>
      <c r="E1690" s="41">
        <v>0.35</v>
      </c>
      <c r="F1690" s="238">
        <f>E1690*D1690</f>
        <v>12.544</v>
      </c>
    </row>
    <row r="1691" spans="1:6">
      <c r="A1691" s="14"/>
      <c r="B1691" s="20" t="s">
        <v>90</v>
      </c>
      <c r="C1691" s="24"/>
      <c r="D1691" s="181">
        <f>7*0.9</f>
        <v>6.3</v>
      </c>
      <c r="E1691" s="181">
        <v>1.8</v>
      </c>
      <c r="F1691" s="238">
        <f>E1691*D1691</f>
        <v>11.34</v>
      </c>
    </row>
    <row r="1692" spans="1:6">
      <c r="A1692" s="14"/>
      <c r="B1692" s="357" t="s">
        <v>14</v>
      </c>
      <c r="C1692" s="357"/>
      <c r="D1692" s="357"/>
      <c r="E1692" s="357"/>
      <c r="F1692" s="216">
        <f>F1689-F1691</f>
        <v>65.50200000000001</v>
      </c>
    </row>
    <row r="1693" spans="1:6">
      <c r="A1693" s="14"/>
      <c r="B1693" s="38" t="s">
        <v>31</v>
      </c>
      <c r="C1693" s="39" t="s">
        <v>16</v>
      </c>
      <c r="D1693" s="45" t="s">
        <v>19</v>
      </c>
      <c r="E1693" s="45" t="s">
        <v>18</v>
      </c>
      <c r="F1693" s="145" t="s">
        <v>9</v>
      </c>
    </row>
    <row r="1694" spans="1:6">
      <c r="A1694" s="220"/>
      <c r="B1694" s="15" t="s">
        <v>27</v>
      </c>
      <c r="C1694" s="18"/>
      <c r="D1694" s="181">
        <f>2.35+2.35+2.35+2.35</f>
        <v>9.4</v>
      </c>
      <c r="E1694" s="41">
        <v>1.8</v>
      </c>
      <c r="F1694" s="241">
        <f>D1694*E1694</f>
        <v>16.920000000000002</v>
      </c>
    </row>
    <row r="1695" spans="1:6">
      <c r="A1695" s="220"/>
      <c r="B1695" s="15" t="s">
        <v>91</v>
      </c>
      <c r="C1695" s="18"/>
      <c r="D1695" s="181">
        <v>0.9</v>
      </c>
      <c r="E1695" s="41">
        <v>1.8</v>
      </c>
      <c r="F1695" s="241">
        <f>D1695*E1695</f>
        <v>1.62</v>
      </c>
    </row>
    <row r="1696" spans="1:6">
      <c r="A1696" s="220"/>
      <c r="B1696" s="357" t="s">
        <v>14</v>
      </c>
      <c r="C1696" s="357"/>
      <c r="D1696" s="357"/>
      <c r="E1696" s="357"/>
      <c r="F1696" s="216">
        <f>F1694-F1695</f>
        <v>15.3</v>
      </c>
    </row>
    <row r="1697" spans="1:6">
      <c r="A1697" s="220"/>
      <c r="B1697" s="20" t="s">
        <v>173</v>
      </c>
      <c r="C1697" s="174"/>
      <c r="D1697" s="174"/>
      <c r="E1697" s="174"/>
      <c r="F1697" s="216"/>
    </row>
    <row r="1698" spans="1:6">
      <c r="A1698" s="220"/>
      <c r="B1698" s="15" t="s">
        <v>437</v>
      </c>
      <c r="C1698" s="39" t="s">
        <v>16</v>
      </c>
      <c r="D1698" s="45" t="s">
        <v>95</v>
      </c>
      <c r="E1698" s="45" t="s">
        <v>18</v>
      </c>
      <c r="F1698" s="145" t="s">
        <v>9</v>
      </c>
    </row>
    <row r="1699" spans="1:6">
      <c r="A1699" s="220"/>
      <c r="B1699" s="15" t="s">
        <v>438</v>
      </c>
      <c r="C1699" s="18"/>
      <c r="D1699" s="181">
        <v>3</v>
      </c>
      <c r="E1699" s="41">
        <v>1.8</v>
      </c>
      <c r="F1699" s="241">
        <f>E1699*D1699</f>
        <v>5.4</v>
      </c>
    </row>
    <row r="1700" spans="1:6">
      <c r="A1700" s="220"/>
      <c r="B1700" s="357" t="s">
        <v>14</v>
      </c>
      <c r="C1700" s="357"/>
      <c r="D1700" s="357"/>
      <c r="E1700" s="357"/>
      <c r="F1700" s="216">
        <f>F1699</f>
        <v>5.4</v>
      </c>
    </row>
    <row r="1701" spans="1:6">
      <c r="A1701" s="198"/>
      <c r="B1701" s="374" t="s">
        <v>183</v>
      </c>
      <c r="C1701" s="374"/>
      <c r="D1701" s="374"/>
      <c r="E1701" s="374"/>
      <c r="F1701" s="216">
        <v>2341.9</v>
      </c>
    </row>
    <row r="1702" spans="1:6">
      <c r="A1702" s="220"/>
      <c r="B1702" s="137" t="s">
        <v>285</v>
      </c>
      <c r="C1702" s="174"/>
      <c r="D1702" s="174"/>
      <c r="E1702" s="414"/>
      <c r="F1702" s="415"/>
    </row>
    <row r="1703" spans="1:6">
      <c r="A1703" s="211"/>
      <c r="B1703" s="365" t="s">
        <v>743</v>
      </c>
      <c r="C1703" s="365"/>
      <c r="D1703" s="365"/>
      <c r="E1703" s="365"/>
      <c r="F1703" s="366"/>
    </row>
    <row r="1704" spans="1:6">
      <c r="A1704" s="220"/>
      <c r="B1704" s="21" t="s">
        <v>531</v>
      </c>
      <c r="C1704" s="17"/>
      <c r="D1704" s="181">
        <f>4.3*1</f>
        <v>4.3</v>
      </c>
      <c r="E1704" s="181">
        <v>1</v>
      </c>
      <c r="F1704" s="238">
        <f>E1704*D1704</f>
        <v>4.3</v>
      </c>
    </row>
    <row r="1705" spans="1:6">
      <c r="A1705" s="220"/>
      <c r="B1705" s="21" t="s">
        <v>539</v>
      </c>
      <c r="C1705" s="17"/>
      <c r="D1705" s="181">
        <f>4.3*1</f>
        <v>4.3</v>
      </c>
      <c r="E1705" s="181">
        <v>1</v>
      </c>
      <c r="F1705" s="238">
        <f t="shared" ref="F1705" si="62">E1705*D1705</f>
        <v>4.3</v>
      </c>
    </row>
    <row r="1706" spans="1:6">
      <c r="A1706" s="14"/>
      <c r="B1706" s="21" t="s">
        <v>542</v>
      </c>
      <c r="C1706" s="17"/>
      <c r="D1706" s="181">
        <f>4.3*1</f>
        <v>4.3</v>
      </c>
      <c r="E1706" s="181">
        <v>1</v>
      </c>
      <c r="F1706" s="238">
        <f t="shared" ref="F1706:F1727" si="63">E1706*D1706</f>
        <v>4.3</v>
      </c>
    </row>
    <row r="1707" spans="1:6">
      <c r="A1707" s="201"/>
      <c r="B1707" s="15" t="s">
        <v>527</v>
      </c>
      <c r="C1707" s="181"/>
      <c r="D1707" s="181">
        <v>2.41</v>
      </c>
      <c r="E1707" s="181">
        <v>5.75</v>
      </c>
      <c r="F1707" s="238">
        <f t="shared" si="63"/>
        <v>13.857500000000002</v>
      </c>
    </row>
    <row r="1708" spans="1:6">
      <c r="A1708" s="201"/>
      <c r="B1708" s="15" t="s">
        <v>527</v>
      </c>
      <c r="C1708" s="181"/>
      <c r="D1708" s="181">
        <v>25.05</v>
      </c>
      <c r="E1708" s="181">
        <v>3.6</v>
      </c>
      <c r="F1708" s="238">
        <f t="shared" si="63"/>
        <v>90.18</v>
      </c>
    </row>
    <row r="1709" spans="1:6">
      <c r="A1709" s="201"/>
      <c r="B1709" s="15" t="s">
        <v>527</v>
      </c>
      <c r="C1709" s="181"/>
      <c r="D1709" s="181">
        <v>4.8499999999999996</v>
      </c>
      <c r="E1709" s="181">
        <v>2</v>
      </c>
      <c r="F1709" s="238">
        <f t="shared" si="63"/>
        <v>9.6999999999999993</v>
      </c>
    </row>
    <row r="1710" spans="1:6">
      <c r="A1710" s="201"/>
      <c r="B1710" s="15" t="s">
        <v>549</v>
      </c>
      <c r="C1710" s="174"/>
      <c r="D1710" s="181">
        <v>4.8499999999999996</v>
      </c>
      <c r="E1710" s="181">
        <v>1.8</v>
      </c>
      <c r="F1710" s="238">
        <f t="shared" si="63"/>
        <v>8.73</v>
      </c>
    </row>
    <row r="1711" spans="1:6">
      <c r="A1711" s="201"/>
      <c r="B1711" s="15" t="s">
        <v>525</v>
      </c>
      <c r="C1711" s="174"/>
      <c r="D1711" s="181">
        <v>2.35</v>
      </c>
      <c r="E1711" s="181">
        <v>4.25</v>
      </c>
      <c r="F1711" s="238">
        <f t="shared" si="63"/>
        <v>9.9875000000000007</v>
      </c>
    </row>
    <row r="1712" spans="1:6">
      <c r="A1712" s="201"/>
      <c r="B1712" s="15" t="s">
        <v>732</v>
      </c>
      <c r="C1712" s="174"/>
      <c r="D1712" s="181">
        <v>2.35</v>
      </c>
      <c r="E1712" s="181">
        <v>3</v>
      </c>
      <c r="F1712" s="238">
        <f t="shared" si="63"/>
        <v>7.0500000000000007</v>
      </c>
    </row>
    <row r="1713" spans="1:6">
      <c r="A1713" s="201"/>
      <c r="B1713" s="15" t="s">
        <v>733</v>
      </c>
      <c r="C1713" s="174"/>
      <c r="D1713" s="181">
        <v>2.5</v>
      </c>
      <c r="E1713" s="181">
        <v>1.1000000000000001</v>
      </c>
      <c r="F1713" s="238">
        <f t="shared" si="63"/>
        <v>2.75</v>
      </c>
    </row>
    <row r="1714" spans="1:6">
      <c r="A1714" s="201"/>
      <c r="B1714" s="15" t="s">
        <v>524</v>
      </c>
      <c r="C1714" s="174"/>
      <c r="D1714" s="181">
        <v>2.35</v>
      </c>
      <c r="E1714" s="181">
        <v>3</v>
      </c>
      <c r="F1714" s="238">
        <f t="shared" si="63"/>
        <v>7.0500000000000007</v>
      </c>
    </row>
    <row r="1715" spans="1:6">
      <c r="A1715" s="201"/>
      <c r="B1715" s="15" t="s">
        <v>734</v>
      </c>
      <c r="C1715" s="174"/>
      <c r="D1715" s="181">
        <v>2.35</v>
      </c>
      <c r="E1715" s="181">
        <v>3.05</v>
      </c>
      <c r="F1715" s="238">
        <f t="shared" si="63"/>
        <v>7.1674999999999995</v>
      </c>
    </row>
    <row r="1716" spans="1:6">
      <c r="A1716" s="201"/>
      <c r="B1716" s="15" t="s">
        <v>523</v>
      </c>
      <c r="C1716" s="174"/>
      <c r="D1716" s="181">
        <v>2.35</v>
      </c>
      <c r="E1716" s="181">
        <v>6.2</v>
      </c>
      <c r="F1716" s="238">
        <f t="shared" si="63"/>
        <v>14.57</v>
      </c>
    </row>
    <row r="1717" spans="1:6">
      <c r="A1717" s="201"/>
      <c r="B1717" s="15" t="s">
        <v>522</v>
      </c>
      <c r="C1717" s="174"/>
      <c r="D1717" s="181">
        <v>2.35</v>
      </c>
      <c r="E1717" s="181">
        <v>6.2</v>
      </c>
      <c r="F1717" s="238">
        <f t="shared" si="63"/>
        <v>14.57</v>
      </c>
    </row>
    <row r="1718" spans="1:6">
      <c r="A1718" s="201"/>
      <c r="B1718" s="15" t="s">
        <v>927</v>
      </c>
      <c r="C1718" s="174"/>
      <c r="D1718" s="181">
        <v>4.8499999999999996</v>
      </c>
      <c r="E1718" s="181">
        <v>4.25</v>
      </c>
      <c r="F1718" s="238">
        <f t="shared" si="63"/>
        <v>20.612499999999997</v>
      </c>
    </row>
    <row r="1719" spans="1:6">
      <c r="A1719" s="201"/>
      <c r="B1719" s="15" t="s">
        <v>545</v>
      </c>
      <c r="C1719" s="174"/>
      <c r="D1719" s="181">
        <v>1.1000000000000001</v>
      </c>
      <c r="E1719" s="181">
        <v>1.8</v>
      </c>
      <c r="F1719" s="238">
        <f t="shared" si="63"/>
        <v>1.9800000000000002</v>
      </c>
    </row>
    <row r="1720" spans="1:6">
      <c r="A1720" s="201"/>
      <c r="B1720" s="15" t="s">
        <v>534</v>
      </c>
      <c r="C1720" s="174"/>
      <c r="D1720" s="181">
        <v>1.1000000000000001</v>
      </c>
      <c r="E1720" s="181">
        <v>1.8</v>
      </c>
      <c r="F1720" s="238">
        <f t="shared" si="63"/>
        <v>1.9800000000000002</v>
      </c>
    </row>
    <row r="1721" spans="1:6" s="30" customFormat="1">
      <c r="A1721" s="223"/>
      <c r="B1721" s="32" t="s">
        <v>735</v>
      </c>
      <c r="C1721" s="166"/>
      <c r="D1721" s="176">
        <v>4.8499999999999996</v>
      </c>
      <c r="E1721" s="176">
        <v>4.25</v>
      </c>
      <c r="F1721" s="241">
        <f t="shared" si="63"/>
        <v>20.612499999999997</v>
      </c>
    </row>
    <row r="1722" spans="1:6">
      <c r="A1722" s="201"/>
      <c r="B1722" s="15" t="s">
        <v>739</v>
      </c>
      <c r="C1722" s="174"/>
      <c r="D1722" s="181">
        <v>1.1000000000000001</v>
      </c>
      <c r="E1722" s="181">
        <v>1.8</v>
      </c>
      <c r="F1722" s="238">
        <f t="shared" si="63"/>
        <v>1.9800000000000002</v>
      </c>
    </row>
    <row r="1723" spans="1:6">
      <c r="A1723" s="201"/>
      <c r="B1723" s="15" t="s">
        <v>545</v>
      </c>
      <c r="C1723" s="174"/>
      <c r="D1723" s="181">
        <v>1.1000000000000001</v>
      </c>
      <c r="E1723" s="181">
        <v>1.8</v>
      </c>
      <c r="F1723" s="238">
        <f t="shared" si="63"/>
        <v>1.9800000000000002</v>
      </c>
    </row>
    <row r="1724" spans="1:6">
      <c r="A1724" s="201"/>
      <c r="B1724" s="15" t="s">
        <v>736</v>
      </c>
      <c r="C1724" s="174"/>
      <c r="D1724" s="181">
        <v>4.8499999999999996</v>
      </c>
      <c r="E1724" s="181">
        <v>4.25</v>
      </c>
      <c r="F1724" s="238">
        <f t="shared" si="63"/>
        <v>20.612499999999997</v>
      </c>
    </row>
    <row r="1725" spans="1:6">
      <c r="A1725" s="201"/>
      <c r="B1725" s="15" t="s">
        <v>737</v>
      </c>
      <c r="C1725" s="174"/>
      <c r="D1725" s="181">
        <v>1.1000000000000001</v>
      </c>
      <c r="E1725" s="181">
        <v>1.8</v>
      </c>
      <c r="F1725" s="238">
        <f t="shared" si="63"/>
        <v>1.9800000000000002</v>
      </c>
    </row>
    <row r="1726" spans="1:6">
      <c r="A1726" s="201"/>
      <c r="B1726" s="15" t="s">
        <v>738</v>
      </c>
      <c r="C1726" s="174"/>
      <c r="D1726" s="181">
        <v>1.1000000000000001</v>
      </c>
      <c r="E1726" s="181">
        <v>1.8</v>
      </c>
      <c r="F1726" s="238">
        <f t="shared" si="63"/>
        <v>1.9800000000000002</v>
      </c>
    </row>
    <row r="1727" spans="1:6">
      <c r="A1727" s="201"/>
      <c r="B1727" s="15" t="s">
        <v>675</v>
      </c>
      <c r="C1727" s="181"/>
      <c r="D1727" s="181">
        <v>2.4</v>
      </c>
      <c r="E1727" s="181">
        <v>2.35</v>
      </c>
      <c r="F1727" s="238">
        <f t="shared" si="63"/>
        <v>5.64</v>
      </c>
    </row>
    <row r="1728" spans="1:6">
      <c r="A1728" s="201"/>
      <c r="B1728" s="357" t="s">
        <v>14</v>
      </c>
      <c r="C1728" s="357"/>
      <c r="D1728" s="357"/>
      <c r="E1728" s="357"/>
      <c r="F1728" s="216">
        <f>SUM(F1704:F1727)</f>
        <v>277.87</v>
      </c>
    </row>
    <row r="1729" spans="1:6">
      <c r="A1729" s="220"/>
      <c r="B1729" s="132" t="s">
        <v>744</v>
      </c>
      <c r="C1729" s="174"/>
      <c r="D1729" s="174"/>
      <c r="E1729" s="174"/>
      <c r="F1729" s="216"/>
    </row>
    <row r="1730" spans="1:6">
      <c r="A1730" s="201"/>
      <c r="B1730" s="15" t="s">
        <v>667</v>
      </c>
      <c r="C1730" s="181"/>
      <c r="D1730" s="181">
        <v>7.36</v>
      </c>
      <c r="E1730" s="181">
        <v>8.65</v>
      </c>
      <c r="F1730" s="238">
        <f>E1730*D1730</f>
        <v>63.664000000000009</v>
      </c>
    </row>
    <row r="1731" spans="1:6">
      <c r="A1731" s="201"/>
      <c r="B1731" s="15" t="s">
        <v>414</v>
      </c>
      <c r="C1731" s="181"/>
      <c r="D1731" s="181">
        <v>17.5</v>
      </c>
      <c r="E1731" s="181">
        <v>2.35</v>
      </c>
      <c r="F1731" s="238">
        <f>E1731*D1731</f>
        <v>41.125</v>
      </c>
    </row>
    <row r="1732" spans="1:6">
      <c r="A1732" s="201"/>
      <c r="B1732" s="15" t="s">
        <v>98</v>
      </c>
      <c r="C1732" s="181"/>
      <c r="D1732" s="181">
        <v>2.35</v>
      </c>
      <c r="E1732" s="181">
        <v>4.25</v>
      </c>
      <c r="F1732" s="238">
        <f t="shared" ref="F1732:F1753" si="64">E1732*D1732</f>
        <v>9.9875000000000007</v>
      </c>
    </row>
    <row r="1733" spans="1:6">
      <c r="A1733" s="201"/>
      <c r="B1733" s="15" t="s">
        <v>518</v>
      </c>
      <c r="C1733" s="181"/>
      <c r="D1733" s="181">
        <v>1.1000000000000001</v>
      </c>
      <c r="E1733" s="181">
        <v>1.75</v>
      </c>
      <c r="F1733" s="238">
        <f t="shared" si="64"/>
        <v>1.9250000000000003</v>
      </c>
    </row>
    <row r="1734" spans="1:6">
      <c r="A1734" s="201"/>
      <c r="B1734" s="15" t="s">
        <v>519</v>
      </c>
      <c r="C1734" s="181"/>
      <c r="D1734" s="181">
        <v>1.1000000000000001</v>
      </c>
      <c r="E1734" s="181">
        <v>1.75</v>
      </c>
      <c r="F1734" s="238">
        <f>E1734*D1734</f>
        <v>1.9250000000000003</v>
      </c>
    </row>
    <row r="1735" spans="1:6">
      <c r="A1735" s="201"/>
      <c r="B1735" s="15" t="s">
        <v>97</v>
      </c>
      <c r="C1735" s="181"/>
      <c r="D1735" s="181">
        <v>4.8499999999999996</v>
      </c>
      <c r="E1735" s="181">
        <v>6.15</v>
      </c>
      <c r="F1735" s="238">
        <f>E1735*D1735</f>
        <v>29.827500000000001</v>
      </c>
    </row>
    <row r="1736" spans="1:6">
      <c r="A1736" s="201"/>
      <c r="B1736" s="15" t="s">
        <v>202</v>
      </c>
      <c r="C1736" s="181"/>
      <c r="D1736" s="181">
        <v>2.35</v>
      </c>
      <c r="E1736" s="181">
        <v>6.15</v>
      </c>
      <c r="F1736" s="238">
        <f>E1736*D1736</f>
        <v>14.452500000000001</v>
      </c>
    </row>
    <row r="1737" spans="1:6">
      <c r="A1737" s="201"/>
      <c r="B1737" s="15" t="s">
        <v>118</v>
      </c>
      <c r="C1737" s="181"/>
      <c r="D1737" s="181">
        <v>4.8499999999999996</v>
      </c>
      <c r="E1737" s="181">
        <v>6.15</v>
      </c>
      <c r="F1737" s="238">
        <f t="shared" si="64"/>
        <v>29.827500000000001</v>
      </c>
    </row>
    <row r="1738" spans="1:6">
      <c r="A1738" s="201"/>
      <c r="B1738" s="15" t="s">
        <v>119</v>
      </c>
      <c r="C1738" s="181"/>
      <c r="D1738" s="181">
        <v>4.8499999999999996</v>
      </c>
      <c r="E1738" s="181">
        <v>6.15</v>
      </c>
      <c r="F1738" s="238">
        <f t="shared" si="64"/>
        <v>29.827500000000001</v>
      </c>
    </row>
    <row r="1739" spans="1:6">
      <c r="A1739" s="201"/>
      <c r="B1739" s="15" t="s">
        <v>120</v>
      </c>
      <c r="C1739" s="181"/>
      <c r="D1739" s="181">
        <v>4.8499999999999996</v>
      </c>
      <c r="E1739" s="181">
        <v>6.15</v>
      </c>
      <c r="F1739" s="238">
        <f t="shared" si="64"/>
        <v>29.827500000000001</v>
      </c>
    </row>
    <row r="1740" spans="1:6">
      <c r="A1740" s="201"/>
      <c r="B1740" s="15" t="s">
        <v>662</v>
      </c>
      <c r="C1740" s="181"/>
      <c r="D1740" s="181">
        <v>4.8499999999999996</v>
      </c>
      <c r="E1740" s="181">
        <v>6.15</v>
      </c>
      <c r="F1740" s="238">
        <f t="shared" si="64"/>
        <v>29.827500000000001</v>
      </c>
    </row>
    <row r="1741" spans="1:6">
      <c r="A1741" s="201"/>
      <c r="B1741" s="100" t="s">
        <v>553</v>
      </c>
      <c r="C1741" s="181"/>
      <c r="D1741" s="181">
        <v>8.65</v>
      </c>
      <c r="E1741" s="181">
        <v>12.35</v>
      </c>
      <c r="F1741" s="238">
        <f t="shared" si="64"/>
        <v>106.8275</v>
      </c>
    </row>
    <row r="1742" spans="1:6">
      <c r="A1742" s="201"/>
      <c r="B1742" s="100" t="s">
        <v>740</v>
      </c>
      <c r="C1742" s="181"/>
      <c r="D1742" s="181">
        <v>9.85</v>
      </c>
      <c r="E1742" s="181">
        <v>3.8</v>
      </c>
      <c r="F1742" s="238">
        <f t="shared" si="64"/>
        <v>37.43</v>
      </c>
    </row>
    <row r="1743" spans="1:6">
      <c r="A1743" s="201"/>
      <c r="B1743" s="100" t="s">
        <v>515</v>
      </c>
      <c r="C1743" s="181"/>
      <c r="D1743" s="181">
        <v>2.35</v>
      </c>
      <c r="E1743" s="181">
        <v>3.65</v>
      </c>
      <c r="F1743" s="238">
        <f t="shared" si="64"/>
        <v>8.5775000000000006</v>
      </c>
    </row>
    <row r="1744" spans="1:6">
      <c r="A1744" s="201"/>
      <c r="B1744" s="100" t="s">
        <v>514</v>
      </c>
      <c r="C1744" s="181"/>
      <c r="D1744" s="181">
        <v>2.35</v>
      </c>
      <c r="E1744" s="181">
        <v>3.65</v>
      </c>
      <c r="F1744" s="238">
        <f t="shared" si="64"/>
        <v>8.5775000000000006</v>
      </c>
    </row>
    <row r="1745" spans="1:6">
      <c r="A1745" s="201"/>
      <c r="B1745" s="15" t="s">
        <v>554</v>
      </c>
      <c r="C1745" s="181"/>
      <c r="D1745" s="181">
        <v>24.85</v>
      </c>
      <c r="E1745" s="181">
        <v>6.2</v>
      </c>
      <c r="F1745" s="238">
        <f t="shared" si="64"/>
        <v>154.07000000000002</v>
      </c>
    </row>
    <row r="1746" spans="1:6">
      <c r="A1746" s="201"/>
      <c r="B1746" s="15" t="s">
        <v>672</v>
      </c>
      <c r="C1746" s="181"/>
      <c r="D1746" s="181">
        <v>1.1000000000000001</v>
      </c>
      <c r="E1746" s="181">
        <v>1.75</v>
      </c>
      <c r="F1746" s="238">
        <f t="shared" si="64"/>
        <v>1.9250000000000003</v>
      </c>
    </row>
    <row r="1747" spans="1:6">
      <c r="A1747" s="201"/>
      <c r="B1747" s="15" t="s">
        <v>741</v>
      </c>
      <c r="C1747" s="181"/>
      <c r="D1747" s="181">
        <v>1.1000000000000001</v>
      </c>
      <c r="E1747" s="181">
        <v>1.75</v>
      </c>
      <c r="F1747" s="238">
        <f t="shared" si="64"/>
        <v>1.9250000000000003</v>
      </c>
    </row>
    <row r="1748" spans="1:6">
      <c r="A1748" s="201"/>
      <c r="B1748" s="15" t="s">
        <v>121</v>
      </c>
      <c r="C1748" s="181"/>
      <c r="D1748" s="181">
        <v>7.35</v>
      </c>
      <c r="E1748" s="181">
        <v>3.65</v>
      </c>
      <c r="F1748" s="238">
        <f t="shared" si="64"/>
        <v>26.827499999999997</v>
      </c>
    </row>
    <row r="1749" spans="1:6">
      <c r="A1749" s="201"/>
      <c r="B1749" s="15" t="s">
        <v>513</v>
      </c>
      <c r="C1749" s="181"/>
      <c r="D1749" s="181">
        <v>9.75</v>
      </c>
      <c r="E1749" s="181">
        <v>2.35</v>
      </c>
      <c r="F1749" s="238">
        <f t="shared" si="64"/>
        <v>22.912500000000001</v>
      </c>
    </row>
    <row r="1750" spans="1:6">
      <c r="A1750" s="201"/>
      <c r="B1750" s="15" t="s">
        <v>512</v>
      </c>
      <c r="C1750" s="181"/>
      <c r="D1750" s="181">
        <v>1.1000000000000001</v>
      </c>
      <c r="E1750" s="181">
        <v>1.75</v>
      </c>
      <c r="F1750" s="238">
        <f t="shared" si="64"/>
        <v>1.9250000000000003</v>
      </c>
    </row>
    <row r="1751" spans="1:6">
      <c r="A1751" s="201"/>
      <c r="B1751" s="15" t="s">
        <v>511</v>
      </c>
      <c r="C1751" s="181"/>
      <c r="D1751" s="181">
        <v>1.1000000000000001</v>
      </c>
      <c r="E1751" s="181">
        <v>1.75</v>
      </c>
      <c r="F1751" s="238">
        <f t="shared" si="64"/>
        <v>1.9250000000000003</v>
      </c>
    </row>
    <row r="1752" spans="1:6">
      <c r="A1752" s="201"/>
      <c r="B1752" s="32" t="s">
        <v>348</v>
      </c>
      <c r="C1752" s="176"/>
      <c r="D1752" s="176">
        <v>2.35</v>
      </c>
      <c r="E1752" s="176">
        <v>19.100000000000001</v>
      </c>
      <c r="F1752" s="241">
        <f t="shared" si="64"/>
        <v>44.885000000000005</v>
      </c>
    </row>
    <row r="1753" spans="1:6">
      <c r="A1753" s="201"/>
      <c r="B1753" s="32" t="s">
        <v>348</v>
      </c>
      <c r="C1753" s="176"/>
      <c r="D1753" s="176">
        <v>2.7</v>
      </c>
      <c r="E1753" s="176">
        <v>6.15</v>
      </c>
      <c r="F1753" s="241">
        <f t="shared" si="64"/>
        <v>16.605</v>
      </c>
    </row>
    <row r="1754" spans="1:6">
      <c r="A1754" s="220"/>
      <c r="B1754" s="357" t="s">
        <v>14</v>
      </c>
      <c r="C1754" s="357"/>
      <c r="D1754" s="357"/>
      <c r="E1754" s="357"/>
      <c r="F1754" s="216">
        <f>SUM(F1730:F1753)</f>
        <v>716.62899999999979</v>
      </c>
    </row>
    <row r="1755" spans="1:6">
      <c r="A1755" s="211"/>
      <c r="B1755" s="365" t="s">
        <v>742</v>
      </c>
      <c r="C1755" s="365"/>
      <c r="D1755" s="365"/>
      <c r="E1755" s="365"/>
      <c r="F1755" s="366"/>
    </row>
    <row r="1756" spans="1:6">
      <c r="A1756" s="220"/>
      <c r="B1756" s="21" t="s">
        <v>238</v>
      </c>
      <c r="C1756" s="39" t="s">
        <v>16</v>
      </c>
      <c r="D1756" s="45" t="s">
        <v>19</v>
      </c>
      <c r="E1756" s="45" t="s">
        <v>198</v>
      </c>
      <c r="F1756" s="145" t="s">
        <v>9</v>
      </c>
    </row>
    <row r="1757" spans="1:6">
      <c r="A1757" s="220"/>
      <c r="B1757" s="15" t="s">
        <v>98</v>
      </c>
      <c r="C1757" s="181"/>
      <c r="D1757" s="181">
        <v>2.36</v>
      </c>
      <c r="E1757" s="181">
        <v>4.2</v>
      </c>
      <c r="F1757" s="238">
        <f>E1757*D1757</f>
        <v>9.911999999999999</v>
      </c>
    </row>
    <row r="1758" spans="1:6">
      <c r="A1758" s="220"/>
      <c r="B1758" s="15" t="s">
        <v>439</v>
      </c>
      <c r="C1758" s="181"/>
      <c r="D1758" s="181">
        <v>2.35</v>
      </c>
      <c r="E1758" s="181">
        <v>2.27</v>
      </c>
      <c r="F1758" s="238">
        <f t="shared" ref="F1758:F1774" si="65">E1758*D1758</f>
        <v>5.3345000000000002</v>
      </c>
    </row>
    <row r="1759" spans="1:6">
      <c r="A1759" s="220"/>
      <c r="B1759" s="15" t="s">
        <v>414</v>
      </c>
      <c r="C1759" s="181"/>
      <c r="D1759" s="181">
        <v>1.8</v>
      </c>
      <c r="E1759" s="181">
        <v>5.01</v>
      </c>
      <c r="F1759" s="238">
        <f t="shared" si="65"/>
        <v>9.0180000000000007</v>
      </c>
    </row>
    <row r="1760" spans="1:6">
      <c r="A1760" s="220"/>
      <c r="B1760" s="15" t="s">
        <v>440</v>
      </c>
      <c r="C1760" s="181"/>
      <c r="D1760" s="181">
        <v>1.7</v>
      </c>
      <c r="E1760" s="181">
        <v>2.5</v>
      </c>
      <c r="F1760" s="238">
        <f>E1760*D1760</f>
        <v>4.25</v>
      </c>
    </row>
    <row r="1761" spans="1:6">
      <c r="A1761" s="220"/>
      <c r="B1761" s="15" t="s">
        <v>441</v>
      </c>
      <c r="C1761" s="181"/>
      <c r="D1761" s="181">
        <v>6.15</v>
      </c>
      <c r="E1761" s="181">
        <v>7.35</v>
      </c>
      <c r="F1761" s="238">
        <f>E1761*D1761</f>
        <v>45.202500000000001</v>
      </c>
    </row>
    <row r="1762" spans="1:6">
      <c r="A1762" s="220"/>
      <c r="B1762" s="15" t="s">
        <v>442</v>
      </c>
      <c r="C1762" s="181"/>
      <c r="D1762" s="181">
        <v>6.15</v>
      </c>
      <c r="E1762" s="181">
        <v>7.35</v>
      </c>
      <c r="F1762" s="238">
        <f>E1762*D1762</f>
        <v>45.202500000000001</v>
      </c>
    </row>
    <row r="1763" spans="1:6">
      <c r="A1763" s="220"/>
      <c r="B1763" s="32" t="s">
        <v>202</v>
      </c>
      <c r="C1763" s="181"/>
      <c r="D1763" s="181">
        <v>2.34</v>
      </c>
      <c r="E1763" s="181">
        <v>6.15</v>
      </c>
      <c r="F1763" s="238">
        <f t="shared" si="65"/>
        <v>14.391</v>
      </c>
    </row>
    <row r="1764" spans="1:6">
      <c r="A1764" s="220"/>
      <c r="B1764" s="15" t="s">
        <v>411</v>
      </c>
      <c r="C1764" s="181"/>
      <c r="D1764" s="181">
        <v>12.43</v>
      </c>
      <c r="E1764" s="181">
        <v>6.05</v>
      </c>
      <c r="F1764" s="238">
        <f t="shared" si="65"/>
        <v>75.201499999999996</v>
      </c>
    </row>
    <row r="1765" spans="1:6">
      <c r="A1765" s="220"/>
      <c r="B1765" s="32" t="s">
        <v>443</v>
      </c>
      <c r="C1765" s="181"/>
      <c r="D1765" s="181">
        <v>7.73</v>
      </c>
      <c r="E1765" s="181">
        <v>2.35</v>
      </c>
      <c r="F1765" s="238">
        <f t="shared" si="65"/>
        <v>18.165500000000002</v>
      </c>
    </row>
    <row r="1766" spans="1:6">
      <c r="A1766" s="220"/>
      <c r="B1766" s="15" t="s">
        <v>207</v>
      </c>
      <c r="C1766" s="181"/>
      <c r="D1766" s="181">
        <v>7.35</v>
      </c>
      <c r="E1766" s="181">
        <v>6.15</v>
      </c>
      <c r="F1766" s="238">
        <f t="shared" si="65"/>
        <v>45.202500000000001</v>
      </c>
    </row>
    <row r="1767" spans="1:6">
      <c r="A1767" s="220"/>
      <c r="B1767" s="15" t="s">
        <v>412</v>
      </c>
      <c r="C1767" s="181"/>
      <c r="D1767" s="181">
        <v>15.35</v>
      </c>
      <c r="E1767" s="181">
        <v>7.35</v>
      </c>
      <c r="F1767" s="238">
        <f t="shared" si="65"/>
        <v>112.82249999999999</v>
      </c>
    </row>
    <row r="1768" spans="1:6">
      <c r="A1768" s="220"/>
      <c r="B1768" s="15" t="s">
        <v>207</v>
      </c>
      <c r="C1768" s="181"/>
      <c r="D1768" s="181">
        <v>7.35</v>
      </c>
      <c r="E1768" s="181">
        <v>6.15</v>
      </c>
      <c r="F1768" s="238">
        <f t="shared" si="65"/>
        <v>45.202500000000001</v>
      </c>
    </row>
    <row r="1769" spans="1:6">
      <c r="A1769" s="220"/>
      <c r="B1769" s="15" t="s">
        <v>221</v>
      </c>
      <c r="C1769" s="181"/>
      <c r="D1769" s="181">
        <v>4.8499999999999996</v>
      </c>
      <c r="E1769" s="181">
        <v>6.15</v>
      </c>
      <c r="F1769" s="238">
        <f t="shared" si="65"/>
        <v>29.827500000000001</v>
      </c>
    </row>
    <row r="1770" spans="1:6">
      <c r="A1770" s="220"/>
      <c r="B1770" s="15" t="s">
        <v>123</v>
      </c>
      <c r="C1770" s="181"/>
      <c r="D1770" s="181">
        <v>2.35</v>
      </c>
      <c r="E1770" s="181">
        <v>6.15</v>
      </c>
      <c r="F1770" s="238">
        <f t="shared" si="65"/>
        <v>14.452500000000001</v>
      </c>
    </row>
    <row r="1771" spans="1:6">
      <c r="A1771" s="220"/>
      <c r="B1771" s="15" t="s">
        <v>48</v>
      </c>
      <c r="C1771" s="181"/>
      <c r="D1771" s="181">
        <v>2.35</v>
      </c>
      <c r="E1771" s="181">
        <v>6.15</v>
      </c>
      <c r="F1771" s="238">
        <f t="shared" si="65"/>
        <v>14.452500000000001</v>
      </c>
    </row>
    <row r="1772" spans="1:6">
      <c r="A1772" s="220"/>
      <c r="B1772" s="15" t="s">
        <v>217</v>
      </c>
      <c r="C1772" s="181"/>
      <c r="D1772" s="181">
        <v>4.8499999999999996</v>
      </c>
      <c r="E1772" s="181">
        <v>6.15</v>
      </c>
      <c r="F1772" s="238">
        <f t="shared" si="65"/>
        <v>29.827500000000001</v>
      </c>
    </row>
    <row r="1773" spans="1:6">
      <c r="A1773" s="220"/>
      <c r="B1773" s="15" t="s">
        <v>115</v>
      </c>
      <c r="C1773" s="181"/>
      <c r="D1773" s="181">
        <v>7.34</v>
      </c>
      <c r="E1773" s="181">
        <v>6.15</v>
      </c>
      <c r="F1773" s="238">
        <f t="shared" si="65"/>
        <v>45.140999999999998</v>
      </c>
    </row>
    <row r="1774" spans="1:6">
      <c r="A1774" s="220"/>
      <c r="B1774" s="15" t="s">
        <v>444</v>
      </c>
      <c r="C1774" s="174"/>
      <c r="D1774" s="181">
        <v>4.8499999999999996</v>
      </c>
      <c r="E1774" s="181">
        <v>6.15</v>
      </c>
      <c r="F1774" s="238">
        <f t="shared" si="65"/>
        <v>29.827500000000001</v>
      </c>
    </row>
    <row r="1775" spans="1:6">
      <c r="A1775" s="220"/>
      <c r="B1775" s="15" t="s">
        <v>445</v>
      </c>
      <c r="C1775" s="174"/>
      <c r="D1775" s="181">
        <v>9.84</v>
      </c>
      <c r="E1775" s="181">
        <v>6.15</v>
      </c>
      <c r="F1775" s="238">
        <f t="shared" ref="F1775:F1794" si="66">E1775*D1775</f>
        <v>60.516000000000005</v>
      </c>
    </row>
    <row r="1776" spans="1:6">
      <c r="A1776" s="220"/>
      <c r="B1776" s="15" t="s">
        <v>413</v>
      </c>
      <c r="C1776" s="174"/>
      <c r="D1776" s="181">
        <v>2.34</v>
      </c>
      <c r="E1776" s="181">
        <v>2.35</v>
      </c>
      <c r="F1776" s="238">
        <f t="shared" si="66"/>
        <v>5.4989999999999997</v>
      </c>
    </row>
    <row r="1777" spans="1:6">
      <c r="A1777" s="220"/>
      <c r="B1777" s="32" t="s">
        <v>513</v>
      </c>
      <c r="C1777" s="174"/>
      <c r="D1777" s="181">
        <v>20.05</v>
      </c>
      <c r="E1777" s="181">
        <v>2.35</v>
      </c>
      <c r="F1777" s="238">
        <f t="shared" si="66"/>
        <v>47.117500000000007</v>
      </c>
    </row>
    <row r="1778" spans="1:6">
      <c r="A1778" s="220"/>
      <c r="B1778" s="15" t="s">
        <v>196</v>
      </c>
      <c r="C1778" s="174"/>
      <c r="D1778" s="181">
        <v>5.95</v>
      </c>
      <c r="E1778" s="181">
        <v>14.95</v>
      </c>
      <c r="F1778" s="238">
        <f t="shared" si="66"/>
        <v>88.952500000000001</v>
      </c>
    </row>
    <row r="1779" spans="1:6">
      <c r="A1779" s="220"/>
      <c r="B1779" s="357" t="s">
        <v>14</v>
      </c>
      <c r="C1779" s="357"/>
      <c r="D1779" s="357"/>
      <c r="E1779" s="357"/>
      <c r="F1779" s="216">
        <f>SUM(F1757:F1778)</f>
        <v>795.51849999999979</v>
      </c>
    </row>
    <row r="1780" spans="1:6">
      <c r="A1780" s="220"/>
      <c r="B1780" s="21" t="s">
        <v>239</v>
      </c>
      <c r="C1780" s="39" t="s">
        <v>16</v>
      </c>
      <c r="D1780" s="45" t="s">
        <v>19</v>
      </c>
      <c r="E1780" s="45" t="s">
        <v>198</v>
      </c>
      <c r="F1780" s="145" t="s">
        <v>9</v>
      </c>
    </row>
    <row r="1781" spans="1:6">
      <c r="A1781" s="220"/>
      <c r="B1781" s="20" t="s">
        <v>97</v>
      </c>
      <c r="C1781" s="174"/>
      <c r="D1781" s="181">
        <v>7.36</v>
      </c>
      <c r="E1781" s="181">
        <v>6.15</v>
      </c>
      <c r="F1781" s="238">
        <f t="shared" si="66"/>
        <v>45.264000000000003</v>
      </c>
    </row>
    <row r="1782" spans="1:6">
      <c r="A1782" s="220"/>
      <c r="B1782" s="20" t="s">
        <v>118</v>
      </c>
      <c r="C1782" s="174"/>
      <c r="D1782" s="181">
        <v>7.36</v>
      </c>
      <c r="E1782" s="181">
        <v>6.15</v>
      </c>
      <c r="F1782" s="238">
        <f t="shared" si="66"/>
        <v>45.264000000000003</v>
      </c>
    </row>
    <row r="1783" spans="1:6">
      <c r="A1783" s="220"/>
      <c r="B1783" s="20" t="s">
        <v>119</v>
      </c>
      <c r="C1783" s="174"/>
      <c r="D1783" s="181">
        <v>7.36</v>
      </c>
      <c r="E1783" s="181">
        <v>6.15</v>
      </c>
      <c r="F1783" s="238">
        <f t="shared" si="66"/>
        <v>45.264000000000003</v>
      </c>
    </row>
    <row r="1784" spans="1:6">
      <c r="A1784" s="220"/>
      <c r="B1784" s="20" t="s">
        <v>120</v>
      </c>
      <c r="C1784" s="174"/>
      <c r="D1784" s="181">
        <v>7.36</v>
      </c>
      <c r="E1784" s="181">
        <v>6.15</v>
      </c>
      <c r="F1784" s="238">
        <f t="shared" si="66"/>
        <v>45.264000000000003</v>
      </c>
    </row>
    <row r="1785" spans="1:6">
      <c r="A1785" s="220"/>
      <c r="B1785" s="20" t="s">
        <v>121</v>
      </c>
      <c r="C1785" s="174"/>
      <c r="D1785" s="181">
        <v>7.34</v>
      </c>
      <c r="E1785" s="181">
        <v>6.15</v>
      </c>
      <c r="F1785" s="238">
        <f t="shared" si="66"/>
        <v>45.140999999999998</v>
      </c>
    </row>
    <row r="1786" spans="1:6">
      <c r="A1786" s="220"/>
      <c r="B1786" s="20" t="s">
        <v>122</v>
      </c>
      <c r="C1786" s="174"/>
      <c r="D1786" s="181">
        <v>7.34</v>
      </c>
      <c r="E1786" s="181">
        <v>6.15</v>
      </c>
      <c r="F1786" s="238">
        <f t="shared" si="66"/>
        <v>45.140999999999998</v>
      </c>
    </row>
    <row r="1787" spans="1:6">
      <c r="A1787" s="220"/>
      <c r="B1787" s="20" t="s">
        <v>134</v>
      </c>
      <c r="C1787" s="174"/>
      <c r="D1787" s="181">
        <v>7.35</v>
      </c>
      <c r="E1787" s="181">
        <v>6.15</v>
      </c>
      <c r="F1787" s="238">
        <f t="shared" si="66"/>
        <v>45.202500000000001</v>
      </c>
    </row>
    <row r="1788" spans="1:6">
      <c r="A1788" s="220"/>
      <c r="B1788" s="20" t="s">
        <v>135</v>
      </c>
      <c r="C1788" s="174"/>
      <c r="D1788" s="181">
        <v>7.35</v>
      </c>
      <c r="E1788" s="181">
        <v>6.15</v>
      </c>
      <c r="F1788" s="238">
        <f t="shared" si="66"/>
        <v>45.202500000000001</v>
      </c>
    </row>
    <row r="1789" spans="1:6">
      <c r="A1789" s="220"/>
      <c r="B1789" s="20" t="s">
        <v>136</v>
      </c>
      <c r="C1789" s="174"/>
      <c r="D1789" s="181">
        <v>7.35</v>
      </c>
      <c r="E1789" s="181">
        <v>6.15</v>
      </c>
      <c r="F1789" s="238">
        <f t="shared" si="66"/>
        <v>45.202500000000001</v>
      </c>
    </row>
    <row r="1790" spans="1:6">
      <c r="A1790" s="220"/>
      <c r="B1790" s="20" t="s">
        <v>137</v>
      </c>
      <c r="C1790" s="174"/>
      <c r="D1790" s="181">
        <v>7.35</v>
      </c>
      <c r="E1790" s="181">
        <v>6.15</v>
      </c>
      <c r="F1790" s="238">
        <f t="shared" si="66"/>
        <v>45.202500000000001</v>
      </c>
    </row>
    <row r="1791" spans="1:6">
      <c r="A1791" s="220"/>
      <c r="B1791" s="20" t="s">
        <v>138</v>
      </c>
      <c r="C1791" s="174"/>
      <c r="D1791" s="181">
        <v>7.34</v>
      </c>
      <c r="E1791" s="181">
        <v>6.15</v>
      </c>
      <c r="F1791" s="238">
        <f t="shared" si="66"/>
        <v>45.140999999999998</v>
      </c>
    </row>
    <row r="1792" spans="1:6">
      <c r="A1792" s="220"/>
      <c r="B1792" s="20" t="s">
        <v>139</v>
      </c>
      <c r="C1792" s="174"/>
      <c r="D1792" s="181">
        <v>7.34</v>
      </c>
      <c r="E1792" s="181">
        <v>6.15</v>
      </c>
      <c r="F1792" s="238">
        <f t="shared" si="66"/>
        <v>45.140999999999998</v>
      </c>
    </row>
    <row r="1793" spans="1:6">
      <c r="A1793" s="220"/>
      <c r="B1793" s="20" t="s">
        <v>98</v>
      </c>
      <c r="C1793" s="174"/>
      <c r="D1793" s="181">
        <v>4.8600000000000003</v>
      </c>
      <c r="E1793" s="181">
        <v>2.35</v>
      </c>
      <c r="F1793" s="238">
        <f t="shared" si="66"/>
        <v>11.421000000000001</v>
      </c>
    </row>
    <row r="1794" spans="1:6">
      <c r="A1794" s="220"/>
      <c r="B1794" s="15" t="s">
        <v>414</v>
      </c>
      <c r="C1794" s="174"/>
      <c r="D1794" s="181">
        <v>17.350000000000001</v>
      </c>
      <c r="E1794" s="181">
        <v>2.35</v>
      </c>
      <c r="F1794" s="238">
        <f t="shared" si="66"/>
        <v>40.772500000000008</v>
      </c>
    </row>
    <row r="1795" spans="1:6">
      <c r="A1795" s="220"/>
      <c r="B1795" s="20" t="s">
        <v>123</v>
      </c>
      <c r="C1795" s="174"/>
      <c r="D1795" s="29">
        <v>4.8499999999999996</v>
      </c>
      <c r="E1795" s="29">
        <v>6.15</v>
      </c>
      <c r="F1795" s="238">
        <f>E1796*D1796</f>
        <v>5.2</v>
      </c>
    </row>
    <row r="1796" spans="1:6">
      <c r="A1796" s="220"/>
      <c r="B1796" s="20" t="s">
        <v>446</v>
      </c>
      <c r="C1796" s="174"/>
      <c r="D1796" s="181">
        <v>2.08</v>
      </c>
      <c r="E1796" s="181">
        <v>2.5</v>
      </c>
      <c r="F1796" s="238">
        <f>E1787*D1787</f>
        <v>45.202500000000001</v>
      </c>
    </row>
    <row r="1797" spans="1:6">
      <c r="A1797" s="220"/>
      <c r="B1797" s="20" t="s">
        <v>40</v>
      </c>
      <c r="C1797" s="174"/>
      <c r="D1797" s="181">
        <v>7.35</v>
      </c>
      <c r="E1797" s="181">
        <v>6.15</v>
      </c>
      <c r="F1797" s="238">
        <f>E1797*D1797</f>
        <v>45.202500000000001</v>
      </c>
    </row>
    <row r="1798" spans="1:6">
      <c r="A1798" s="220"/>
      <c r="B1798" s="15" t="s">
        <v>348</v>
      </c>
      <c r="C1798" s="174"/>
      <c r="D1798" s="181">
        <v>20</v>
      </c>
      <c r="E1798" s="181">
        <v>2.35</v>
      </c>
      <c r="F1798" s="238">
        <f t="shared" ref="F1798:F1799" si="67">E1798*D1798</f>
        <v>47</v>
      </c>
    </row>
    <row r="1799" spans="1:6">
      <c r="A1799" s="220"/>
      <c r="B1799" s="38" t="s">
        <v>202</v>
      </c>
      <c r="C1799" s="174"/>
      <c r="D1799" s="181">
        <v>2.34</v>
      </c>
      <c r="E1799" s="181">
        <v>2.35</v>
      </c>
      <c r="F1799" s="238">
        <f t="shared" si="67"/>
        <v>5.4989999999999997</v>
      </c>
    </row>
    <row r="1800" spans="1:6" ht="15.75" customHeight="1">
      <c r="A1800" s="220"/>
      <c r="B1800" s="357" t="s">
        <v>14</v>
      </c>
      <c r="C1800" s="357"/>
      <c r="D1800" s="357"/>
      <c r="E1800" s="357"/>
      <c r="F1800" s="216">
        <f>SUM(F1781:F1799)</f>
        <v>742.72750000000008</v>
      </c>
    </row>
    <row r="1801" spans="1:6">
      <c r="A1801" s="198"/>
      <c r="B1801" s="374" t="s">
        <v>745</v>
      </c>
      <c r="C1801" s="374"/>
      <c r="D1801" s="374"/>
      <c r="E1801" s="374"/>
      <c r="F1801" s="216">
        <v>2532.75</v>
      </c>
    </row>
    <row r="1802" spans="1:6">
      <c r="A1802" s="220"/>
      <c r="B1802" s="132" t="s">
        <v>746</v>
      </c>
      <c r="C1802" s="17"/>
      <c r="D1802" s="181"/>
      <c r="E1802" s="181"/>
      <c r="F1802" s="238"/>
    </row>
    <row r="1803" spans="1:6">
      <c r="A1803" s="220"/>
      <c r="B1803" s="132" t="s">
        <v>765</v>
      </c>
      <c r="C1803" s="17"/>
      <c r="D1803" s="181"/>
      <c r="E1803" s="181"/>
      <c r="F1803" s="238"/>
    </row>
    <row r="1804" spans="1:6">
      <c r="A1804" s="220"/>
      <c r="B1804" s="21" t="s">
        <v>531</v>
      </c>
      <c r="C1804" s="17"/>
      <c r="D1804" s="181">
        <f>4.3*1</f>
        <v>4.3</v>
      </c>
      <c r="E1804" s="181">
        <v>1</v>
      </c>
      <c r="F1804" s="238">
        <f t="shared" ref="F1804:F1808" si="68">E1804*D1804</f>
        <v>4.3</v>
      </c>
    </row>
    <row r="1805" spans="1:6">
      <c r="A1805" s="220"/>
      <c r="B1805" s="21" t="s">
        <v>539</v>
      </c>
      <c r="C1805" s="17"/>
      <c r="D1805" s="181">
        <f>4.3*1</f>
        <v>4.3</v>
      </c>
      <c r="E1805" s="181">
        <v>1</v>
      </c>
      <c r="F1805" s="238">
        <f t="shared" si="68"/>
        <v>4.3</v>
      </c>
    </row>
    <row r="1806" spans="1:6">
      <c r="A1806" s="14"/>
      <c r="B1806" s="21" t="s">
        <v>542</v>
      </c>
      <c r="C1806" s="17"/>
      <c r="D1806" s="181">
        <f>4.3*1</f>
        <v>4.3</v>
      </c>
      <c r="E1806" s="181">
        <v>1</v>
      </c>
      <c r="F1806" s="238">
        <f t="shared" si="68"/>
        <v>4.3</v>
      </c>
    </row>
    <row r="1807" spans="1:6">
      <c r="A1807" s="220"/>
      <c r="B1807" s="21" t="s">
        <v>747</v>
      </c>
      <c r="C1807" s="17"/>
      <c r="D1807" s="181">
        <f>3.65*1</f>
        <v>3.65</v>
      </c>
      <c r="E1807" s="181">
        <v>10</v>
      </c>
      <c r="F1807" s="238">
        <f t="shared" si="68"/>
        <v>36.5</v>
      </c>
    </row>
    <row r="1808" spans="1:6">
      <c r="A1808" s="220"/>
      <c r="B1808" s="21" t="s">
        <v>748</v>
      </c>
      <c r="C1808" s="17"/>
      <c r="D1808" s="181">
        <f>2.25*0.6</f>
        <v>1.3499999999999999</v>
      </c>
      <c r="E1808" s="181">
        <v>3</v>
      </c>
      <c r="F1808" s="238">
        <f t="shared" si="68"/>
        <v>4.05</v>
      </c>
    </row>
    <row r="1809" spans="1:6">
      <c r="A1809" s="196"/>
      <c r="B1809" s="357" t="s">
        <v>14</v>
      </c>
      <c r="C1809" s="357"/>
      <c r="D1809" s="357"/>
      <c r="E1809" s="357"/>
      <c r="F1809" s="216">
        <f>SUM(F1804:F1808)</f>
        <v>53.449999999999996</v>
      </c>
    </row>
    <row r="1810" spans="1:6">
      <c r="A1810" s="220"/>
      <c r="B1810" s="132" t="s">
        <v>766</v>
      </c>
      <c r="C1810" s="17"/>
      <c r="D1810" s="181"/>
      <c r="E1810" s="181"/>
      <c r="F1810" s="238"/>
    </row>
    <row r="1811" spans="1:6">
      <c r="A1811" s="201"/>
      <c r="B1811" s="15" t="s">
        <v>749</v>
      </c>
      <c r="C1811" s="174"/>
      <c r="D1811" s="181">
        <f>6.15*1</f>
        <v>6.15</v>
      </c>
      <c r="E1811" s="181">
        <v>2</v>
      </c>
      <c r="F1811" s="238">
        <f>E1811*D1811</f>
        <v>12.3</v>
      </c>
    </row>
    <row r="1812" spans="1:6">
      <c r="A1812" s="201"/>
      <c r="B1812" s="20" t="s">
        <v>750</v>
      </c>
      <c r="C1812" s="174"/>
      <c r="D1812" s="181">
        <f>2.25*0.6</f>
        <v>1.3499999999999999</v>
      </c>
      <c r="E1812" s="181">
        <v>3</v>
      </c>
      <c r="F1812" s="238">
        <f>E1812*D1812</f>
        <v>4.05</v>
      </c>
    </row>
    <row r="1813" spans="1:6">
      <c r="A1813" s="201"/>
      <c r="B1813" s="15" t="s">
        <v>751</v>
      </c>
      <c r="C1813" s="101"/>
      <c r="D1813" s="181">
        <f>6.15*1</f>
        <v>6.15</v>
      </c>
      <c r="E1813" s="181">
        <v>1</v>
      </c>
      <c r="F1813" s="238">
        <f t="shared" ref="F1813:F1827" si="69">E1813*D1813</f>
        <v>6.15</v>
      </c>
    </row>
    <row r="1814" spans="1:6">
      <c r="A1814" s="201"/>
      <c r="B1814" s="15" t="s">
        <v>752</v>
      </c>
      <c r="C1814" s="101"/>
      <c r="D1814" s="181">
        <f>6.15*1</f>
        <v>6.15</v>
      </c>
      <c r="E1814" s="181">
        <v>1</v>
      </c>
      <c r="F1814" s="238">
        <f t="shared" si="69"/>
        <v>6.15</v>
      </c>
    </row>
    <row r="1815" spans="1:6">
      <c r="A1815" s="201"/>
      <c r="B1815" s="15" t="s">
        <v>753</v>
      </c>
      <c r="C1815" s="101"/>
      <c r="D1815" s="181">
        <f>6.15*1</f>
        <v>6.15</v>
      </c>
      <c r="E1815" s="181">
        <v>1</v>
      </c>
      <c r="F1815" s="238">
        <f t="shared" si="69"/>
        <v>6.15</v>
      </c>
    </row>
    <row r="1816" spans="1:6">
      <c r="A1816" s="201"/>
      <c r="B1816" s="15" t="s">
        <v>754</v>
      </c>
      <c r="C1816" s="101"/>
      <c r="D1816" s="181">
        <f>6.15*1</f>
        <v>6.15</v>
      </c>
      <c r="E1816" s="181">
        <v>1</v>
      </c>
      <c r="F1816" s="238">
        <f t="shared" si="69"/>
        <v>6.15</v>
      </c>
    </row>
    <row r="1817" spans="1:6">
      <c r="A1817" s="201"/>
      <c r="B1817" s="15" t="s">
        <v>767</v>
      </c>
      <c r="C1817" s="101"/>
      <c r="D1817" s="25">
        <f>3.65*1</f>
        <v>3.65</v>
      </c>
      <c r="E1817" s="181">
        <v>2</v>
      </c>
      <c r="F1817" s="238">
        <f t="shared" ref="F1817" si="70">E1817*D1817</f>
        <v>7.3</v>
      </c>
    </row>
    <row r="1818" spans="1:6">
      <c r="A1818" s="201"/>
      <c r="B1818" s="15" t="s">
        <v>755</v>
      </c>
      <c r="C1818" s="101"/>
      <c r="D1818" s="181">
        <f>6.15*1</f>
        <v>6.15</v>
      </c>
      <c r="E1818" s="181">
        <v>1</v>
      </c>
      <c r="F1818" s="238">
        <f t="shared" si="69"/>
        <v>6.15</v>
      </c>
    </row>
    <row r="1819" spans="1:6">
      <c r="A1819" s="201"/>
      <c r="B1819" s="100" t="s">
        <v>756</v>
      </c>
      <c r="C1819" s="101"/>
      <c r="D1819" s="181">
        <f>12.45*1</f>
        <v>12.45</v>
      </c>
      <c r="E1819" s="181">
        <v>4</v>
      </c>
      <c r="F1819" s="238">
        <f t="shared" si="69"/>
        <v>49.8</v>
      </c>
    </row>
    <row r="1820" spans="1:6">
      <c r="A1820" s="201"/>
      <c r="B1820" s="15" t="s">
        <v>757</v>
      </c>
      <c r="C1820" s="101"/>
      <c r="D1820" s="181">
        <f>2.25*0.6</f>
        <v>1.3499999999999999</v>
      </c>
      <c r="E1820" s="181">
        <v>1</v>
      </c>
      <c r="F1820" s="238">
        <f t="shared" si="69"/>
        <v>1.3499999999999999</v>
      </c>
    </row>
    <row r="1821" spans="1:6">
      <c r="A1821" s="201"/>
      <c r="B1821" s="15" t="s">
        <v>758</v>
      </c>
      <c r="C1821" s="101"/>
      <c r="D1821" s="181">
        <f>6.2*1</f>
        <v>6.2</v>
      </c>
      <c r="E1821" s="181">
        <v>9</v>
      </c>
      <c r="F1821" s="238">
        <f t="shared" si="69"/>
        <v>55.800000000000004</v>
      </c>
    </row>
    <row r="1822" spans="1:6">
      <c r="A1822" s="201"/>
      <c r="B1822" s="15" t="s">
        <v>759</v>
      </c>
      <c r="C1822" s="101"/>
      <c r="D1822" s="181">
        <f>2.25*0.6</f>
        <v>1.3499999999999999</v>
      </c>
      <c r="E1822" s="181">
        <v>5</v>
      </c>
      <c r="F1822" s="238">
        <f t="shared" si="69"/>
        <v>6.7499999999999991</v>
      </c>
    </row>
    <row r="1823" spans="1:6">
      <c r="A1823" s="201"/>
      <c r="B1823" s="32" t="s">
        <v>760</v>
      </c>
      <c r="C1823" s="101"/>
      <c r="D1823" s="181">
        <f>2.25*0.6</f>
        <v>1.3499999999999999</v>
      </c>
      <c r="E1823" s="181">
        <v>2</v>
      </c>
      <c r="F1823" s="238">
        <f t="shared" si="69"/>
        <v>2.6999999999999997</v>
      </c>
    </row>
    <row r="1824" spans="1:6">
      <c r="A1824" s="201"/>
      <c r="B1824" s="32" t="s">
        <v>761</v>
      </c>
      <c r="C1824" s="101"/>
      <c r="D1824" s="181">
        <f>6.15*1</f>
        <v>6.15</v>
      </c>
      <c r="E1824" s="181">
        <v>1</v>
      </c>
      <c r="F1824" s="238">
        <f t="shared" si="69"/>
        <v>6.15</v>
      </c>
    </row>
    <row r="1825" spans="1:6">
      <c r="A1825" s="201"/>
      <c r="B1825" s="32" t="s">
        <v>762</v>
      </c>
      <c r="C1825" s="101"/>
      <c r="D1825" s="181">
        <f>6.35*1</f>
        <v>6.35</v>
      </c>
      <c r="E1825" s="181">
        <v>2</v>
      </c>
      <c r="F1825" s="238">
        <f t="shared" si="69"/>
        <v>12.7</v>
      </c>
    </row>
    <row r="1826" spans="1:6">
      <c r="A1826" s="201"/>
      <c r="B1826" s="32" t="s">
        <v>763</v>
      </c>
      <c r="C1826" s="101"/>
      <c r="D1826" s="181">
        <f>6.3*1</f>
        <v>6.3</v>
      </c>
      <c r="E1826" s="181">
        <v>1</v>
      </c>
      <c r="F1826" s="238">
        <f t="shared" si="69"/>
        <v>6.3</v>
      </c>
    </row>
    <row r="1827" spans="1:6">
      <c r="A1827" s="201"/>
      <c r="B1827" s="15" t="s">
        <v>764</v>
      </c>
      <c r="C1827" s="101"/>
      <c r="D1827" s="181">
        <f>2.25*0.6</f>
        <v>1.3499999999999999</v>
      </c>
      <c r="E1827" s="181">
        <v>7</v>
      </c>
      <c r="F1827" s="238">
        <f t="shared" si="69"/>
        <v>9.4499999999999993</v>
      </c>
    </row>
    <row r="1828" spans="1:6">
      <c r="A1828" s="196"/>
      <c r="B1828" s="357" t="s">
        <v>14</v>
      </c>
      <c r="C1828" s="357"/>
      <c r="D1828" s="357"/>
      <c r="E1828" s="357"/>
      <c r="F1828" s="216">
        <f>SUM(F1811:F1827)</f>
        <v>205.39999999999998</v>
      </c>
    </row>
    <row r="1829" spans="1:6">
      <c r="A1829" s="220"/>
      <c r="B1829" s="132" t="s">
        <v>768</v>
      </c>
      <c r="C1829" s="17"/>
      <c r="D1829" s="181"/>
      <c r="E1829" s="181"/>
      <c r="F1829" s="238"/>
    </row>
    <row r="1830" spans="1:6">
      <c r="A1830" s="220"/>
      <c r="B1830" s="21" t="s">
        <v>238</v>
      </c>
      <c r="C1830" s="17" t="s">
        <v>16</v>
      </c>
      <c r="D1830" s="45" t="s">
        <v>299</v>
      </c>
      <c r="E1830" s="45" t="s">
        <v>95</v>
      </c>
      <c r="F1830" s="145" t="s">
        <v>9</v>
      </c>
    </row>
    <row r="1831" spans="1:6">
      <c r="A1831" s="220"/>
      <c r="B1831" s="15" t="s">
        <v>459</v>
      </c>
      <c r="C1831" s="174"/>
      <c r="D1831" s="181">
        <v>2.35</v>
      </c>
      <c r="E1831" s="181">
        <v>2</v>
      </c>
      <c r="F1831" s="238">
        <f t="shared" ref="F1831:F1848" si="71">E1831*D1831</f>
        <v>4.7</v>
      </c>
    </row>
    <row r="1832" spans="1:6">
      <c r="A1832" s="220"/>
      <c r="B1832" s="15" t="s">
        <v>440</v>
      </c>
      <c r="C1832" s="17"/>
      <c r="D1832" s="181">
        <v>2.35</v>
      </c>
      <c r="E1832" s="181">
        <v>1</v>
      </c>
      <c r="F1832" s="238">
        <f t="shared" si="71"/>
        <v>2.35</v>
      </c>
    </row>
    <row r="1833" spans="1:6">
      <c r="A1833" s="220"/>
      <c r="B1833" s="15" t="s">
        <v>465</v>
      </c>
      <c r="C1833" s="17"/>
      <c r="D1833" s="181">
        <f t="shared" ref="D1833:D1834" si="72">6.15*1</f>
        <v>6.15</v>
      </c>
      <c r="E1833" s="181">
        <v>2</v>
      </c>
      <c r="F1833" s="238">
        <f t="shared" si="71"/>
        <v>12.3</v>
      </c>
    </row>
    <row r="1834" spans="1:6">
      <c r="A1834" s="220"/>
      <c r="B1834" s="15" t="s">
        <v>466</v>
      </c>
      <c r="C1834" s="17"/>
      <c r="D1834" s="181">
        <f t="shared" si="72"/>
        <v>6.15</v>
      </c>
      <c r="E1834" s="181">
        <v>3</v>
      </c>
      <c r="F1834" s="238">
        <f t="shared" si="71"/>
        <v>18.450000000000003</v>
      </c>
    </row>
    <row r="1835" spans="1:6">
      <c r="A1835" s="220"/>
      <c r="B1835" s="15" t="s">
        <v>407</v>
      </c>
      <c r="C1835" s="17"/>
      <c r="D1835" s="181">
        <f>8.65*1</f>
        <v>8.65</v>
      </c>
      <c r="E1835" s="181">
        <v>5</v>
      </c>
      <c r="F1835" s="238">
        <f t="shared" si="71"/>
        <v>43.25</v>
      </c>
    </row>
    <row r="1836" spans="1:6">
      <c r="A1836" s="220"/>
      <c r="B1836" s="15" t="s">
        <v>408</v>
      </c>
      <c r="C1836" s="17"/>
      <c r="D1836" s="181">
        <f>2.25*0.6</f>
        <v>1.3499999999999999</v>
      </c>
      <c r="E1836" s="181">
        <v>6</v>
      </c>
      <c r="F1836" s="238">
        <f t="shared" si="71"/>
        <v>8.1</v>
      </c>
    </row>
    <row r="1837" spans="1:6">
      <c r="A1837" s="220"/>
      <c r="B1837" s="32" t="s">
        <v>460</v>
      </c>
      <c r="C1837" s="17"/>
      <c r="D1837" s="181">
        <v>2.35</v>
      </c>
      <c r="E1837" s="181">
        <v>4</v>
      </c>
      <c r="F1837" s="238">
        <f t="shared" si="71"/>
        <v>9.4</v>
      </c>
    </row>
    <row r="1838" spans="1:6">
      <c r="A1838" s="220"/>
      <c r="B1838" s="15" t="s">
        <v>467</v>
      </c>
      <c r="C1838" s="17"/>
      <c r="D1838" s="181">
        <f t="shared" ref="D1838:D1846" si="73">6.15*1</f>
        <v>6.15</v>
      </c>
      <c r="E1838" s="181">
        <v>2</v>
      </c>
      <c r="F1838" s="238">
        <f t="shared" si="71"/>
        <v>12.3</v>
      </c>
    </row>
    <row r="1839" spans="1:6">
      <c r="A1839" s="220"/>
      <c r="B1839" s="15" t="s">
        <v>464</v>
      </c>
      <c r="C1839" s="17"/>
      <c r="D1839" s="181">
        <f t="shared" si="73"/>
        <v>6.15</v>
      </c>
      <c r="E1839" s="181">
        <v>4</v>
      </c>
      <c r="F1839" s="238">
        <f t="shared" si="71"/>
        <v>24.6</v>
      </c>
    </row>
    <row r="1840" spans="1:6">
      <c r="A1840" s="220"/>
      <c r="B1840" s="15" t="s">
        <v>468</v>
      </c>
      <c r="C1840" s="17"/>
      <c r="D1840" s="181">
        <f>2.35*0.6</f>
        <v>1.41</v>
      </c>
      <c r="E1840" s="181">
        <v>4</v>
      </c>
      <c r="F1840" s="238">
        <f t="shared" si="71"/>
        <v>5.64</v>
      </c>
    </row>
    <row r="1841" spans="1:6">
      <c r="A1841" s="220"/>
      <c r="B1841" s="15" t="s">
        <v>469</v>
      </c>
      <c r="C1841" s="17"/>
      <c r="D1841" s="181">
        <f t="shared" si="73"/>
        <v>6.15</v>
      </c>
      <c r="E1841" s="181">
        <v>2</v>
      </c>
      <c r="F1841" s="238">
        <f t="shared" si="71"/>
        <v>12.3</v>
      </c>
    </row>
    <row r="1842" spans="1:6">
      <c r="A1842" s="220"/>
      <c r="B1842" s="21" t="s">
        <v>470</v>
      </c>
      <c r="C1842" s="17"/>
      <c r="D1842" s="181">
        <f t="shared" si="73"/>
        <v>6.15</v>
      </c>
      <c r="E1842" s="181">
        <v>1</v>
      </c>
      <c r="F1842" s="238">
        <f t="shared" si="71"/>
        <v>6.15</v>
      </c>
    </row>
    <row r="1843" spans="1:6">
      <c r="A1843" s="220"/>
      <c r="B1843" s="21" t="s">
        <v>471</v>
      </c>
      <c r="C1843" s="17"/>
      <c r="D1843" s="181">
        <f t="shared" si="73"/>
        <v>6.15</v>
      </c>
      <c r="E1843" s="181">
        <v>1</v>
      </c>
      <c r="F1843" s="238">
        <f t="shared" si="71"/>
        <v>6.15</v>
      </c>
    </row>
    <row r="1844" spans="1:6">
      <c r="A1844" s="220"/>
      <c r="B1844" s="21" t="s">
        <v>472</v>
      </c>
      <c r="C1844" s="17"/>
      <c r="D1844" s="181">
        <f t="shared" si="73"/>
        <v>6.15</v>
      </c>
      <c r="E1844" s="181">
        <v>2</v>
      </c>
      <c r="F1844" s="238">
        <f t="shared" si="71"/>
        <v>12.3</v>
      </c>
    </row>
    <row r="1845" spans="1:6">
      <c r="A1845" s="220"/>
      <c r="B1845" s="21" t="s">
        <v>473</v>
      </c>
      <c r="C1845" s="17"/>
      <c r="D1845" s="181">
        <f t="shared" si="73"/>
        <v>6.15</v>
      </c>
      <c r="E1845" s="181">
        <v>3</v>
      </c>
      <c r="F1845" s="238">
        <f t="shared" si="71"/>
        <v>18.450000000000003</v>
      </c>
    </row>
    <row r="1846" spans="1:6">
      <c r="A1846" s="220"/>
      <c r="B1846" s="21" t="s">
        <v>474</v>
      </c>
      <c r="C1846" s="17"/>
      <c r="D1846" s="181">
        <f t="shared" si="73"/>
        <v>6.15</v>
      </c>
      <c r="E1846" s="181">
        <v>1</v>
      </c>
      <c r="F1846" s="238">
        <f t="shared" si="71"/>
        <v>6.15</v>
      </c>
    </row>
    <row r="1847" spans="1:6">
      <c r="A1847" s="220"/>
      <c r="B1847" s="21" t="s">
        <v>404</v>
      </c>
      <c r="C1847" s="17"/>
      <c r="D1847" s="181">
        <f>2.25*0.6</f>
        <v>1.3499999999999999</v>
      </c>
      <c r="E1847" s="181">
        <v>9</v>
      </c>
      <c r="F1847" s="238">
        <f t="shared" si="71"/>
        <v>12.149999999999999</v>
      </c>
    </row>
    <row r="1848" spans="1:6">
      <c r="A1848" s="220"/>
      <c r="B1848" s="21" t="s">
        <v>405</v>
      </c>
      <c r="C1848" s="17"/>
      <c r="D1848" s="181">
        <f>5.9*1</f>
        <v>5.9</v>
      </c>
      <c r="E1848" s="181">
        <v>9</v>
      </c>
      <c r="F1848" s="238">
        <f t="shared" si="71"/>
        <v>53.1</v>
      </c>
    </row>
    <row r="1849" spans="1:6">
      <c r="A1849" s="220"/>
      <c r="B1849" s="21" t="s">
        <v>239</v>
      </c>
      <c r="C1849" s="17" t="s">
        <v>16</v>
      </c>
      <c r="D1849" s="45" t="s">
        <v>299</v>
      </c>
      <c r="E1849" s="45" t="s">
        <v>95</v>
      </c>
      <c r="F1849" s="145" t="s">
        <v>9</v>
      </c>
    </row>
    <row r="1850" spans="1:6">
      <c r="A1850" s="220"/>
      <c r="B1850" s="20" t="s">
        <v>447</v>
      </c>
      <c r="C1850" s="174"/>
      <c r="D1850" s="181">
        <f>6.15*1</f>
        <v>6.15</v>
      </c>
      <c r="E1850" s="181">
        <v>2</v>
      </c>
      <c r="F1850" s="238">
        <f>E1850*D1850</f>
        <v>12.3</v>
      </c>
    </row>
    <row r="1851" spans="1:6">
      <c r="A1851" s="220"/>
      <c r="B1851" s="20" t="s">
        <v>448</v>
      </c>
      <c r="C1851" s="174"/>
      <c r="D1851" s="181">
        <f t="shared" ref="D1851:D1861" si="74">6.15*1</f>
        <v>6.15</v>
      </c>
      <c r="E1851" s="181">
        <v>2</v>
      </c>
      <c r="F1851" s="238">
        <f t="shared" ref="F1851:F1867" si="75">E1851*D1851</f>
        <v>12.3</v>
      </c>
    </row>
    <row r="1852" spans="1:6">
      <c r="A1852" s="220"/>
      <c r="B1852" s="20" t="s">
        <v>449</v>
      </c>
      <c r="C1852" s="174"/>
      <c r="D1852" s="181">
        <f t="shared" si="74"/>
        <v>6.15</v>
      </c>
      <c r="E1852" s="181">
        <v>2</v>
      </c>
      <c r="F1852" s="238">
        <f t="shared" si="75"/>
        <v>12.3</v>
      </c>
    </row>
    <row r="1853" spans="1:6">
      <c r="A1853" s="220"/>
      <c r="B1853" s="20" t="s">
        <v>450</v>
      </c>
      <c r="C1853" s="174"/>
      <c r="D1853" s="181">
        <f t="shared" si="74"/>
        <v>6.15</v>
      </c>
      <c r="E1853" s="181">
        <v>2</v>
      </c>
      <c r="F1853" s="238">
        <f t="shared" si="75"/>
        <v>12.3</v>
      </c>
    </row>
    <row r="1854" spans="1:6">
      <c r="A1854" s="220"/>
      <c r="B1854" s="20" t="s">
        <v>451</v>
      </c>
      <c r="C1854" s="174"/>
      <c r="D1854" s="181">
        <f t="shared" si="74"/>
        <v>6.15</v>
      </c>
      <c r="E1854" s="181">
        <v>2</v>
      </c>
      <c r="F1854" s="238">
        <f t="shared" si="75"/>
        <v>12.3</v>
      </c>
    </row>
    <row r="1855" spans="1:6">
      <c r="A1855" s="220"/>
      <c r="B1855" s="20" t="s">
        <v>452</v>
      </c>
      <c r="C1855" s="174"/>
      <c r="D1855" s="181">
        <f t="shared" si="74"/>
        <v>6.15</v>
      </c>
      <c r="E1855" s="181">
        <v>2</v>
      </c>
      <c r="F1855" s="238">
        <f t="shared" si="75"/>
        <v>12.3</v>
      </c>
    </row>
    <row r="1856" spans="1:6">
      <c r="A1856" s="220"/>
      <c r="B1856" s="20" t="s">
        <v>453</v>
      </c>
      <c r="C1856" s="174"/>
      <c r="D1856" s="181">
        <f t="shared" si="74"/>
        <v>6.15</v>
      </c>
      <c r="E1856" s="181">
        <v>2</v>
      </c>
      <c r="F1856" s="238">
        <f t="shared" si="75"/>
        <v>12.3</v>
      </c>
    </row>
    <row r="1857" spans="1:6">
      <c r="A1857" s="220"/>
      <c r="B1857" s="20" t="s">
        <v>454</v>
      </c>
      <c r="C1857" s="174"/>
      <c r="D1857" s="181">
        <f t="shared" si="74"/>
        <v>6.15</v>
      </c>
      <c r="E1857" s="181">
        <v>2</v>
      </c>
      <c r="F1857" s="238">
        <f t="shared" si="75"/>
        <v>12.3</v>
      </c>
    </row>
    <row r="1858" spans="1:6">
      <c r="A1858" s="220"/>
      <c r="B1858" s="20" t="s">
        <v>455</v>
      </c>
      <c r="C1858" s="174"/>
      <c r="D1858" s="181">
        <f t="shared" si="74"/>
        <v>6.15</v>
      </c>
      <c r="E1858" s="181">
        <v>2</v>
      </c>
      <c r="F1858" s="238">
        <f t="shared" si="75"/>
        <v>12.3</v>
      </c>
    </row>
    <row r="1859" spans="1:6">
      <c r="A1859" s="220"/>
      <c r="B1859" s="20" t="s">
        <v>456</v>
      </c>
      <c r="C1859" s="174"/>
      <c r="D1859" s="181">
        <f t="shared" si="74"/>
        <v>6.15</v>
      </c>
      <c r="E1859" s="181">
        <v>2</v>
      </c>
      <c r="F1859" s="238">
        <f t="shared" si="75"/>
        <v>12.3</v>
      </c>
    </row>
    <row r="1860" spans="1:6">
      <c r="A1860" s="220"/>
      <c r="B1860" s="20" t="s">
        <v>457</v>
      </c>
      <c r="C1860" s="174"/>
      <c r="D1860" s="181">
        <f t="shared" si="74"/>
        <v>6.15</v>
      </c>
      <c r="E1860" s="181">
        <v>2</v>
      </c>
      <c r="F1860" s="238">
        <f t="shared" si="75"/>
        <v>12.3</v>
      </c>
    </row>
    <row r="1861" spans="1:6">
      <c r="A1861" s="220"/>
      <c r="B1861" s="20" t="s">
        <v>458</v>
      </c>
      <c r="C1861" s="174"/>
      <c r="D1861" s="181">
        <f t="shared" si="74"/>
        <v>6.15</v>
      </c>
      <c r="E1861" s="181">
        <v>2</v>
      </c>
      <c r="F1861" s="238">
        <f t="shared" si="75"/>
        <v>12.3</v>
      </c>
    </row>
    <row r="1862" spans="1:6" s="30" customFormat="1">
      <c r="A1862" s="224"/>
      <c r="B1862" s="15" t="s">
        <v>459</v>
      </c>
      <c r="C1862" s="174"/>
      <c r="D1862" s="181">
        <v>2.35</v>
      </c>
      <c r="E1862" s="181">
        <v>7</v>
      </c>
      <c r="F1862" s="238">
        <f t="shared" si="75"/>
        <v>16.45</v>
      </c>
    </row>
    <row r="1863" spans="1:6">
      <c r="A1863" s="220"/>
      <c r="B1863" s="15" t="s">
        <v>460</v>
      </c>
      <c r="C1863" s="174"/>
      <c r="D1863" s="181">
        <v>2.35</v>
      </c>
      <c r="E1863" s="181">
        <v>7</v>
      </c>
      <c r="F1863" s="238">
        <f t="shared" si="75"/>
        <v>16.45</v>
      </c>
    </row>
    <row r="1864" spans="1:6">
      <c r="A1864" s="220"/>
      <c r="B1864" s="57" t="s">
        <v>461</v>
      </c>
      <c r="C1864" s="166"/>
      <c r="D1864" s="181">
        <f t="shared" ref="D1864" si="76">6.15*1</f>
        <v>6.15</v>
      </c>
      <c r="E1864" s="181">
        <v>2</v>
      </c>
      <c r="F1864" s="238">
        <f t="shared" si="75"/>
        <v>12.3</v>
      </c>
    </row>
    <row r="1865" spans="1:6">
      <c r="A1865" s="220"/>
      <c r="B1865" s="20" t="s">
        <v>462</v>
      </c>
      <c r="C1865" s="174"/>
      <c r="D1865" s="181">
        <v>2.35</v>
      </c>
      <c r="E1865" s="181">
        <v>2</v>
      </c>
      <c r="F1865" s="238">
        <f t="shared" si="75"/>
        <v>4.7</v>
      </c>
    </row>
    <row r="1866" spans="1:6">
      <c r="A1866" s="220"/>
      <c r="B1866" s="20" t="s">
        <v>463</v>
      </c>
      <c r="C1866" s="174"/>
      <c r="D1866" s="181">
        <f>2.25*0.6</f>
        <v>1.3499999999999999</v>
      </c>
      <c r="E1866" s="181">
        <v>6</v>
      </c>
      <c r="F1866" s="238">
        <f t="shared" si="75"/>
        <v>8.1</v>
      </c>
    </row>
    <row r="1867" spans="1:6">
      <c r="A1867" s="220"/>
      <c r="B1867" s="20" t="s">
        <v>464</v>
      </c>
      <c r="C1867" s="174"/>
      <c r="D1867" s="181">
        <f t="shared" ref="D1867" si="77">6.15*1</f>
        <v>6.15</v>
      </c>
      <c r="E1867" s="181">
        <v>2</v>
      </c>
      <c r="F1867" s="238">
        <f t="shared" si="75"/>
        <v>12.3</v>
      </c>
    </row>
    <row r="1868" spans="1:6">
      <c r="A1868" s="196"/>
      <c r="B1868" s="357" t="s">
        <v>14</v>
      </c>
      <c r="C1868" s="357"/>
      <c r="D1868" s="357"/>
      <c r="E1868" s="357"/>
      <c r="F1868" s="216">
        <f>SUM(F1831:F1867)</f>
        <v>485.74000000000024</v>
      </c>
    </row>
    <row r="1869" spans="1:6">
      <c r="A1869" s="198"/>
      <c r="B1869" s="374" t="s">
        <v>769</v>
      </c>
      <c r="C1869" s="374"/>
      <c r="D1869" s="374"/>
      <c r="E1869" s="374"/>
      <c r="F1869" s="216">
        <v>744.59</v>
      </c>
    </row>
    <row r="1870" spans="1:6">
      <c r="A1870" s="198"/>
      <c r="B1870" s="374" t="s">
        <v>789</v>
      </c>
      <c r="C1870" s="374"/>
      <c r="D1870" s="374"/>
      <c r="E1870" s="374"/>
      <c r="F1870" s="216">
        <v>5619.24</v>
      </c>
    </row>
    <row r="1871" spans="1:6">
      <c r="A1871" s="231" t="str">
        <f>ORÇAMENTO!A110</f>
        <v>16.3</v>
      </c>
      <c r="B1871" s="102" t="s">
        <v>568</v>
      </c>
      <c r="C1871" s="189" t="s">
        <v>16</v>
      </c>
      <c r="D1871" s="189" t="s">
        <v>19</v>
      </c>
      <c r="E1871" s="189" t="s">
        <v>18</v>
      </c>
      <c r="F1871" s="252" t="s">
        <v>8</v>
      </c>
    </row>
    <row r="1872" spans="1:6">
      <c r="A1872" s="220"/>
      <c r="B1872" s="132" t="s">
        <v>770</v>
      </c>
      <c r="C1872" s="17"/>
      <c r="D1872" s="181"/>
      <c r="E1872" s="181"/>
      <c r="F1872" s="238"/>
    </row>
    <row r="1873" spans="1:6">
      <c r="A1873" s="220"/>
      <c r="B1873" s="132" t="s">
        <v>771</v>
      </c>
      <c r="C1873" s="17"/>
      <c r="D1873" s="181"/>
      <c r="E1873" s="181"/>
      <c r="F1873" s="238"/>
    </row>
    <row r="1874" spans="1:6">
      <c r="A1874" s="220"/>
      <c r="B1874" s="21" t="s">
        <v>772</v>
      </c>
      <c r="C1874" s="17"/>
      <c r="D1874" s="181">
        <f>2.37+6.35+27.74+27.5+19.2+25+2.75+27.5+4.4+2.61+8.5</f>
        <v>153.92000000000002</v>
      </c>
      <c r="E1874" s="181">
        <v>3.5</v>
      </c>
      <c r="F1874" s="238">
        <f>E1874*D1874</f>
        <v>538.72</v>
      </c>
    </row>
    <row r="1875" spans="1:6">
      <c r="A1875" s="220"/>
      <c r="B1875" s="21" t="s">
        <v>773</v>
      </c>
      <c r="C1875" s="17"/>
      <c r="D1875" s="181">
        <f>33*2.24</f>
        <v>73.92</v>
      </c>
      <c r="E1875" s="181">
        <v>2</v>
      </c>
      <c r="F1875" s="238">
        <f>E1875*D1875</f>
        <v>147.84</v>
      </c>
    </row>
    <row r="1876" spans="1:6">
      <c r="A1876" s="220"/>
      <c r="B1876" s="21" t="s">
        <v>774</v>
      </c>
      <c r="C1876" s="17"/>
      <c r="D1876" s="181">
        <f>5*2.24</f>
        <v>11.200000000000001</v>
      </c>
      <c r="E1876" s="181">
        <v>2.5</v>
      </c>
      <c r="F1876" s="238">
        <f>D1876*E1876</f>
        <v>28.000000000000004</v>
      </c>
    </row>
    <row r="1877" spans="1:6">
      <c r="A1877" s="220"/>
      <c r="B1877" s="21" t="s">
        <v>775</v>
      </c>
      <c r="C1877" s="17"/>
      <c r="D1877" s="181">
        <f>2*1.35</f>
        <v>2.7</v>
      </c>
      <c r="E1877" s="181">
        <v>2</v>
      </c>
      <c r="F1877" s="238">
        <f>D1877*E1877</f>
        <v>5.4</v>
      </c>
    </row>
    <row r="1878" spans="1:6">
      <c r="A1878" s="220"/>
      <c r="B1878" s="21" t="s">
        <v>776</v>
      </c>
      <c r="C1878" s="17"/>
      <c r="D1878" s="181">
        <f>44*2.24</f>
        <v>98.56</v>
      </c>
      <c r="E1878" s="181">
        <v>0.35</v>
      </c>
      <c r="F1878" s="238">
        <f>D1878*E1878</f>
        <v>34.495999999999995</v>
      </c>
    </row>
    <row r="1879" spans="1:6">
      <c r="A1879" s="220"/>
      <c r="B1879" s="21" t="s">
        <v>777</v>
      </c>
      <c r="C1879" s="17"/>
      <c r="D1879" s="181">
        <f>2.25*5</f>
        <v>11.25</v>
      </c>
      <c r="E1879" s="181">
        <v>2.5</v>
      </c>
      <c r="F1879" s="238">
        <f>D1879*E1879</f>
        <v>28.125</v>
      </c>
    </row>
    <row r="1880" spans="1:6">
      <c r="A1880" s="220"/>
      <c r="B1880" s="21" t="s">
        <v>778</v>
      </c>
      <c r="C1880" s="17"/>
      <c r="D1880" s="181">
        <f>2*0.9</f>
        <v>1.8</v>
      </c>
      <c r="E1880" s="181">
        <v>2.5</v>
      </c>
      <c r="F1880" s="238">
        <f>D1880*E1880</f>
        <v>4.5</v>
      </c>
    </row>
    <row r="1881" spans="1:6">
      <c r="A1881" s="196"/>
      <c r="B1881" s="357" t="s">
        <v>14</v>
      </c>
      <c r="C1881" s="357"/>
      <c r="D1881" s="357"/>
      <c r="E1881" s="357"/>
      <c r="F1881" s="216">
        <f>F1874-F1875-F1876-F1877-F1879-F1880-F1878</f>
        <v>290.35900000000004</v>
      </c>
    </row>
    <row r="1882" spans="1:6">
      <c r="A1882" s="220"/>
      <c r="B1882" s="21" t="s">
        <v>779</v>
      </c>
      <c r="C1882" s="17" t="s">
        <v>16</v>
      </c>
      <c r="D1882" s="181" t="s">
        <v>19</v>
      </c>
      <c r="E1882" s="181" t="s">
        <v>18</v>
      </c>
      <c r="F1882" s="238" t="s">
        <v>8</v>
      </c>
    </row>
    <row r="1883" spans="1:6">
      <c r="A1883" s="220"/>
      <c r="B1883" s="21" t="s">
        <v>780</v>
      </c>
      <c r="C1883" s="17"/>
      <c r="D1883" s="181">
        <f>6.35+17.75+6.35</f>
        <v>30.450000000000003</v>
      </c>
      <c r="E1883" s="181">
        <v>1.95</v>
      </c>
      <c r="F1883" s="238">
        <f>D1883*E1883</f>
        <v>59.377500000000005</v>
      </c>
    </row>
    <row r="1884" spans="1:6">
      <c r="A1884" s="220"/>
      <c r="B1884" s="21" t="s">
        <v>781</v>
      </c>
      <c r="C1884" s="17"/>
      <c r="D1884" s="181">
        <v>3</v>
      </c>
      <c r="E1884" s="181">
        <v>1.65</v>
      </c>
      <c r="F1884" s="238">
        <f>D1884*E1884</f>
        <v>4.9499999999999993</v>
      </c>
    </row>
    <row r="1885" spans="1:6">
      <c r="A1885" s="220"/>
      <c r="B1885" s="21" t="s">
        <v>782</v>
      </c>
      <c r="C1885" s="17"/>
      <c r="D1885" s="181">
        <f>6.2+17.45+6.2</f>
        <v>29.849999999999998</v>
      </c>
      <c r="E1885" s="181">
        <v>1.95</v>
      </c>
      <c r="F1885" s="238">
        <f>D1885*E1885</f>
        <v>58.207499999999996</v>
      </c>
    </row>
    <row r="1886" spans="1:6">
      <c r="A1886" s="220"/>
      <c r="B1886" s="21" t="s">
        <v>781</v>
      </c>
      <c r="C1886" s="17"/>
      <c r="D1886" s="181">
        <v>3</v>
      </c>
      <c r="E1886" s="181">
        <v>1.65</v>
      </c>
      <c r="F1886" s="238">
        <f>D1886*E1886</f>
        <v>4.9499999999999993</v>
      </c>
    </row>
    <row r="1887" spans="1:6">
      <c r="A1887" s="196"/>
      <c r="B1887" s="357" t="s">
        <v>14</v>
      </c>
      <c r="C1887" s="357"/>
      <c r="D1887" s="357"/>
      <c r="E1887" s="357"/>
      <c r="F1887" s="216">
        <f>F1883-F1884+F1885-F1886</f>
        <v>107.685</v>
      </c>
    </row>
    <row r="1888" spans="1:6">
      <c r="A1888" s="220"/>
      <c r="B1888" s="21" t="s">
        <v>783</v>
      </c>
      <c r="C1888" s="17" t="s">
        <v>16</v>
      </c>
      <c r="D1888" s="181" t="s">
        <v>19</v>
      </c>
      <c r="E1888" s="181" t="s">
        <v>18</v>
      </c>
      <c r="F1888" s="238" t="s">
        <v>8</v>
      </c>
    </row>
    <row r="1889" spans="1:6">
      <c r="A1889" s="220"/>
      <c r="B1889" s="21" t="s">
        <v>784</v>
      </c>
      <c r="C1889" s="17"/>
      <c r="D1889" s="181">
        <f>4.43+2.67+1.85+15+6.33</f>
        <v>30.28</v>
      </c>
      <c r="E1889" s="181">
        <v>1.95</v>
      </c>
      <c r="F1889" s="238">
        <f>D1889*E1889</f>
        <v>59.045999999999999</v>
      </c>
    </row>
    <row r="1890" spans="1:6">
      <c r="A1890" s="220"/>
      <c r="B1890" s="21" t="s">
        <v>785</v>
      </c>
      <c r="C1890" s="17"/>
      <c r="D1890" s="181">
        <v>1</v>
      </c>
      <c r="E1890" s="181">
        <v>1</v>
      </c>
      <c r="F1890" s="238">
        <f>D1890*E1890</f>
        <v>1</v>
      </c>
    </row>
    <row r="1891" spans="1:6">
      <c r="A1891" s="220"/>
      <c r="B1891" s="21" t="s">
        <v>786</v>
      </c>
      <c r="C1891" s="17"/>
      <c r="D1891" s="181">
        <f>4.33+2.65+1.85+14.7+6.18</f>
        <v>29.71</v>
      </c>
      <c r="E1891" s="181">
        <v>1.95</v>
      </c>
      <c r="F1891" s="238">
        <f>D1891*E1891</f>
        <v>57.9345</v>
      </c>
    </row>
    <row r="1892" spans="1:6">
      <c r="A1892" s="220"/>
      <c r="B1892" s="21" t="s">
        <v>785</v>
      </c>
      <c r="C1892" s="17"/>
      <c r="D1892" s="181">
        <v>1</v>
      </c>
      <c r="E1892" s="181">
        <v>1</v>
      </c>
      <c r="F1892" s="238">
        <f>D1892*E1892</f>
        <v>1</v>
      </c>
    </row>
    <row r="1893" spans="1:6">
      <c r="A1893" s="196"/>
      <c r="B1893" s="357" t="s">
        <v>14</v>
      </c>
      <c r="C1893" s="357"/>
      <c r="D1893" s="357"/>
      <c r="E1893" s="357"/>
      <c r="F1893" s="216">
        <f>F1889-F1890+F1891-F1892</f>
        <v>114.98050000000001</v>
      </c>
    </row>
    <row r="1894" spans="1:6">
      <c r="A1894" s="220"/>
      <c r="B1894" s="132" t="s">
        <v>787</v>
      </c>
      <c r="C1894" s="17"/>
      <c r="D1894" s="181"/>
      <c r="E1894" s="181"/>
      <c r="F1894" s="238"/>
    </row>
    <row r="1895" spans="1:6">
      <c r="A1895" s="14"/>
      <c r="B1895" s="21" t="s">
        <v>185</v>
      </c>
      <c r="C1895" s="17" t="s">
        <v>16</v>
      </c>
      <c r="D1895" s="181" t="s">
        <v>19</v>
      </c>
      <c r="E1895" s="181" t="s">
        <v>18</v>
      </c>
      <c r="F1895" s="238" t="s">
        <v>8</v>
      </c>
    </row>
    <row r="1896" spans="1:6">
      <c r="A1896" s="14"/>
      <c r="B1896" s="21" t="s">
        <v>57</v>
      </c>
      <c r="C1896" s="17"/>
      <c r="D1896" s="181">
        <f>22.75+21.5+22.75+6.2+2.5+28.79+15.25+28.79</f>
        <v>148.53</v>
      </c>
      <c r="E1896" s="181">
        <v>3.5</v>
      </c>
      <c r="F1896" s="238">
        <f>E1896*D1896</f>
        <v>519.85500000000002</v>
      </c>
    </row>
    <row r="1897" spans="1:6">
      <c r="A1897" s="14"/>
      <c r="B1897" s="21" t="s">
        <v>59</v>
      </c>
      <c r="C1897" s="17"/>
      <c r="D1897" s="181">
        <f>6*2.24</f>
        <v>13.440000000000001</v>
      </c>
      <c r="E1897" s="181">
        <v>0.35</v>
      </c>
      <c r="F1897" s="238">
        <f>E1897*D1897</f>
        <v>4.7039999999999997</v>
      </c>
    </row>
    <row r="1898" spans="1:6">
      <c r="A1898" s="14"/>
      <c r="B1898" s="21" t="s">
        <v>58</v>
      </c>
      <c r="C1898" s="17"/>
      <c r="D1898" s="181">
        <f>5*1.5</f>
        <v>7.5</v>
      </c>
      <c r="E1898" s="181">
        <v>1</v>
      </c>
      <c r="F1898" s="238">
        <f>D1898*E1898</f>
        <v>7.5</v>
      </c>
    </row>
    <row r="1899" spans="1:6">
      <c r="A1899" s="14"/>
      <c r="B1899" s="21" t="s">
        <v>60</v>
      </c>
      <c r="C1899" s="17"/>
      <c r="D1899" s="181">
        <v>1.2</v>
      </c>
      <c r="E1899" s="181">
        <v>2.5</v>
      </c>
      <c r="F1899" s="238">
        <f>D1899*E1899</f>
        <v>3</v>
      </c>
    </row>
    <row r="1900" spans="1:6">
      <c r="A1900" s="14"/>
      <c r="B1900" s="21" t="s">
        <v>61</v>
      </c>
      <c r="C1900" s="17"/>
      <c r="D1900" s="181">
        <f>2*0.9</f>
        <v>1.8</v>
      </c>
      <c r="E1900" s="181">
        <v>2.5</v>
      </c>
      <c r="F1900" s="238">
        <f>D1900*E1900</f>
        <v>4.5</v>
      </c>
    </row>
    <row r="1901" spans="1:6">
      <c r="A1901" s="196"/>
      <c r="B1901" s="357" t="s">
        <v>14</v>
      </c>
      <c r="C1901" s="357"/>
      <c r="D1901" s="357"/>
      <c r="E1901" s="357"/>
      <c r="F1901" s="216">
        <f>F1896-F1897-F1898-F1899-F1900</f>
        <v>500.15100000000007</v>
      </c>
    </row>
    <row r="1902" spans="1:6">
      <c r="A1902" s="14"/>
      <c r="B1902" s="21" t="s">
        <v>184</v>
      </c>
      <c r="C1902" s="17" t="s">
        <v>16</v>
      </c>
      <c r="D1902" s="181" t="s">
        <v>19</v>
      </c>
      <c r="E1902" s="181" t="s">
        <v>18</v>
      </c>
      <c r="F1902" s="238" t="s">
        <v>9</v>
      </c>
    </row>
    <row r="1903" spans="1:6">
      <c r="A1903" s="14"/>
      <c r="B1903" s="21" t="s">
        <v>92</v>
      </c>
      <c r="C1903" s="17"/>
      <c r="D1903" s="181">
        <f xml:space="preserve"> 15.35+22.5+22.55+15.35+52.75</f>
        <v>128.5</v>
      </c>
      <c r="E1903" s="181">
        <v>3.5</v>
      </c>
      <c r="F1903" s="238">
        <f>E1903*D1903</f>
        <v>449.75</v>
      </c>
    </row>
    <row r="1904" spans="1:6">
      <c r="A1904" s="14"/>
      <c r="B1904" s="21" t="s">
        <v>165</v>
      </c>
      <c r="C1904" s="17"/>
      <c r="D1904" s="181">
        <f>39*2.24</f>
        <v>87.360000000000014</v>
      </c>
      <c r="E1904" s="181">
        <v>1.65</v>
      </c>
      <c r="F1904" s="238">
        <f>E1904*D1904</f>
        <v>144.14400000000001</v>
      </c>
    </row>
    <row r="1905" spans="1:6">
      <c r="A1905" s="196"/>
      <c r="B1905" s="357" t="s">
        <v>14</v>
      </c>
      <c r="C1905" s="357"/>
      <c r="D1905" s="357"/>
      <c r="E1905" s="357"/>
      <c r="F1905" s="216">
        <f>F1903-F1904</f>
        <v>305.60599999999999</v>
      </c>
    </row>
    <row r="1906" spans="1:6">
      <c r="A1906" s="14"/>
      <c r="B1906" s="21" t="s">
        <v>241</v>
      </c>
      <c r="C1906" s="17" t="s">
        <v>16</v>
      </c>
      <c r="D1906" s="181" t="s">
        <v>96</v>
      </c>
      <c r="E1906" s="181" t="s">
        <v>95</v>
      </c>
      <c r="F1906" s="238" t="s">
        <v>9</v>
      </c>
    </row>
    <row r="1907" spans="1:6">
      <c r="A1907" s="14"/>
      <c r="B1907" s="21" t="s">
        <v>919</v>
      </c>
      <c r="C1907" s="17"/>
      <c r="D1907" s="181">
        <v>4.25</v>
      </c>
      <c r="E1907" s="181">
        <v>123</v>
      </c>
      <c r="F1907" s="238">
        <f>E1907*D1907</f>
        <v>522.75</v>
      </c>
    </row>
    <row r="1908" spans="1:6">
      <c r="A1908" s="14"/>
      <c r="B1908" s="21" t="s">
        <v>242</v>
      </c>
      <c r="C1908" s="17" t="s">
        <v>16</v>
      </c>
      <c r="D1908" s="181" t="s">
        <v>96</v>
      </c>
      <c r="E1908" s="181" t="s">
        <v>95</v>
      </c>
      <c r="F1908" s="238" t="s">
        <v>9</v>
      </c>
    </row>
    <row r="1909" spans="1:6">
      <c r="A1909" s="14"/>
      <c r="B1909" s="21" t="s">
        <v>919</v>
      </c>
      <c r="C1909" s="17"/>
      <c r="D1909" s="181">
        <v>4.25</v>
      </c>
      <c r="E1909" s="181">
        <v>95</v>
      </c>
      <c r="F1909" s="238">
        <f>E1909*D1909</f>
        <v>403.75</v>
      </c>
    </row>
    <row r="1910" spans="1:6">
      <c r="A1910" s="196"/>
      <c r="B1910" s="357" t="s">
        <v>14</v>
      </c>
      <c r="C1910" s="357"/>
      <c r="D1910" s="357"/>
      <c r="E1910" s="357"/>
      <c r="F1910" s="216">
        <f>F1907+F1909</f>
        <v>926.5</v>
      </c>
    </row>
    <row r="1911" spans="1:6">
      <c r="A1911" s="196"/>
      <c r="B1911" s="141" t="s">
        <v>881</v>
      </c>
      <c r="C1911" s="17" t="s">
        <v>16</v>
      </c>
      <c r="D1911" s="181" t="s">
        <v>19</v>
      </c>
      <c r="E1911" s="181" t="s">
        <v>18</v>
      </c>
      <c r="F1911" s="238" t="s">
        <v>9</v>
      </c>
    </row>
    <row r="1912" spans="1:6">
      <c r="A1912" s="196"/>
      <c r="B1912" s="21" t="s">
        <v>882</v>
      </c>
      <c r="C1912" s="174"/>
      <c r="D1912" s="181">
        <v>6</v>
      </c>
      <c r="E1912" s="181">
        <v>4.5</v>
      </c>
      <c r="F1912" s="238">
        <f>E1912*D1912*2</f>
        <v>54</v>
      </c>
    </row>
    <row r="1913" spans="1:6">
      <c r="A1913" s="196"/>
      <c r="B1913" s="21" t="s">
        <v>883</v>
      </c>
      <c r="C1913" s="174"/>
      <c r="D1913" s="181">
        <v>2.2000000000000002</v>
      </c>
      <c r="E1913" s="181">
        <v>2</v>
      </c>
      <c r="F1913" s="238">
        <f>E1913*D1913</f>
        <v>4.4000000000000004</v>
      </c>
    </row>
    <row r="1914" spans="1:6">
      <c r="A1914" s="196"/>
      <c r="B1914" s="357" t="s">
        <v>14</v>
      </c>
      <c r="C1914" s="357"/>
      <c r="D1914" s="357"/>
      <c r="E1914" s="357"/>
      <c r="F1914" s="216">
        <f>F1912+F1913</f>
        <v>58.4</v>
      </c>
    </row>
    <row r="1915" spans="1:6">
      <c r="A1915" s="198"/>
      <c r="B1915" s="374" t="s">
        <v>186</v>
      </c>
      <c r="C1915" s="374"/>
      <c r="D1915" s="374"/>
      <c r="E1915" s="374"/>
      <c r="F1915" s="216">
        <v>2303.6799999999998</v>
      </c>
    </row>
    <row r="1916" spans="1:6">
      <c r="A1916" s="231" t="str">
        <f>ORÇAMENTO!A111</f>
        <v>16.4</v>
      </c>
      <c r="B1916" s="102" t="s">
        <v>790</v>
      </c>
      <c r="C1916" s="189" t="s">
        <v>16</v>
      </c>
      <c r="D1916" s="189" t="s">
        <v>19</v>
      </c>
      <c r="E1916" s="189" t="s">
        <v>18</v>
      </c>
      <c r="F1916" s="252" t="s">
        <v>8</v>
      </c>
    </row>
    <row r="1917" spans="1:6">
      <c r="A1917" s="14"/>
      <c r="B1917" s="21" t="s">
        <v>475</v>
      </c>
      <c r="C1917" s="17"/>
      <c r="D1917" s="181">
        <f>4*8.3</f>
        <v>33.200000000000003</v>
      </c>
      <c r="E1917" s="181">
        <v>1.1499999999999999</v>
      </c>
      <c r="F1917" s="238">
        <f t="shared" ref="F1917:F1923" si="78">D1917*E1917</f>
        <v>38.18</v>
      </c>
    </row>
    <row r="1918" spans="1:6" s="134" customFormat="1" ht="30">
      <c r="A1918" s="225"/>
      <c r="B1918" s="180" t="s">
        <v>477</v>
      </c>
      <c r="C1918" s="133"/>
      <c r="D1918" s="179">
        <f>(4*(13.5+13.4+4.6+2.7+3.9+5.7+5.7+8.1+18.4+13.5+13.4))</f>
        <v>411.6</v>
      </c>
      <c r="E1918" s="179">
        <v>1</v>
      </c>
      <c r="F1918" s="238">
        <f t="shared" si="78"/>
        <v>411.6</v>
      </c>
    </row>
    <row r="1919" spans="1:6" s="134" customFormat="1">
      <c r="A1919" s="225"/>
      <c r="B1919" s="180" t="s">
        <v>476</v>
      </c>
      <c r="C1919" s="133"/>
      <c r="D1919" s="179">
        <f>(4*(5.5+5.5+5.5+5.5))</f>
        <v>88</v>
      </c>
      <c r="E1919" s="179">
        <v>0.75</v>
      </c>
      <c r="F1919" s="238">
        <f t="shared" si="78"/>
        <v>66</v>
      </c>
    </row>
    <row r="1920" spans="1:6">
      <c r="A1920" s="14"/>
      <c r="B1920" s="21" t="s">
        <v>478</v>
      </c>
      <c r="C1920" s="17"/>
      <c r="D1920" s="181">
        <f>4*6.15</f>
        <v>24.6</v>
      </c>
      <c r="E1920" s="181">
        <v>1.1499999999999999</v>
      </c>
      <c r="F1920" s="238">
        <f t="shared" si="78"/>
        <v>28.29</v>
      </c>
    </row>
    <row r="1921" spans="1:6">
      <c r="A1921" s="14"/>
      <c r="B1921" s="21" t="s">
        <v>478</v>
      </c>
      <c r="C1921" s="17"/>
      <c r="D1921" s="181">
        <f>4*6.15</f>
        <v>24.6</v>
      </c>
      <c r="E1921" s="181">
        <v>1.1499999999999999</v>
      </c>
      <c r="F1921" s="238">
        <f t="shared" si="78"/>
        <v>28.29</v>
      </c>
    </row>
    <row r="1922" spans="1:6">
      <c r="A1922" s="14"/>
      <c r="B1922" s="21" t="s">
        <v>197</v>
      </c>
      <c r="C1922" s="17"/>
      <c r="D1922" s="181">
        <f>15.1+15.1+3</f>
        <v>33.200000000000003</v>
      </c>
      <c r="E1922" s="181">
        <v>1.55</v>
      </c>
      <c r="F1922" s="238">
        <f t="shared" si="78"/>
        <v>51.460000000000008</v>
      </c>
    </row>
    <row r="1923" spans="1:6">
      <c r="A1923" s="14"/>
      <c r="B1923" s="21" t="s">
        <v>409</v>
      </c>
      <c r="C1923" s="17"/>
      <c r="D1923" s="181">
        <v>15.15</v>
      </c>
      <c r="E1923" s="181">
        <v>3.15</v>
      </c>
      <c r="F1923" s="238">
        <f t="shared" si="78"/>
        <v>47.722499999999997</v>
      </c>
    </row>
    <row r="1924" spans="1:6">
      <c r="A1924" s="201"/>
      <c r="B1924" s="19" t="s">
        <v>791</v>
      </c>
      <c r="C1924" s="35"/>
      <c r="D1924" s="39">
        <f>(4*(2.35+3.8))</f>
        <v>24.6</v>
      </c>
      <c r="E1924" s="179">
        <v>0.9</v>
      </c>
      <c r="F1924" s="241">
        <f>D1924*E1924</f>
        <v>22.14</v>
      </c>
    </row>
    <row r="1925" spans="1:6">
      <c r="A1925" s="201"/>
      <c r="B1925" s="19" t="s">
        <v>1013</v>
      </c>
      <c r="C1925" s="35"/>
      <c r="D1925" s="39">
        <v>0.55000000000000004</v>
      </c>
      <c r="E1925" s="179">
        <v>0.6</v>
      </c>
      <c r="F1925" s="241">
        <f>D1925*E1925*11</f>
        <v>3.6300000000000003</v>
      </c>
    </row>
    <row r="1926" spans="1:6">
      <c r="A1926" s="201"/>
      <c r="B1926" s="19" t="s">
        <v>1014</v>
      </c>
      <c r="C1926" s="35"/>
      <c r="D1926" s="39">
        <v>1.8</v>
      </c>
      <c r="E1926" s="179">
        <v>1</v>
      </c>
      <c r="F1926" s="241">
        <f>D1926*E1926</f>
        <v>1.8</v>
      </c>
    </row>
    <row r="1927" spans="1:6">
      <c r="A1927" s="201"/>
      <c r="B1927" s="19" t="s">
        <v>1015</v>
      </c>
      <c r="C1927" s="35"/>
      <c r="D1927" s="39">
        <f>0.45</f>
        <v>0.45</v>
      </c>
      <c r="E1927" s="179">
        <v>0.1</v>
      </c>
      <c r="F1927" s="241">
        <f>D1927*E1927*40</f>
        <v>1.8000000000000003</v>
      </c>
    </row>
    <row r="1928" spans="1:6">
      <c r="A1928" s="201"/>
      <c r="B1928" s="19" t="s">
        <v>1016</v>
      </c>
      <c r="C1928" s="35"/>
      <c r="D1928" s="39">
        <v>0.5</v>
      </c>
      <c r="E1928" s="179">
        <v>3</v>
      </c>
      <c r="F1928" s="241">
        <f>D1928*E1928*10</f>
        <v>15</v>
      </c>
    </row>
    <row r="1929" spans="1:6">
      <c r="A1929" s="201"/>
      <c r="B1929" s="19" t="s">
        <v>1017</v>
      </c>
      <c r="C1929" s="35"/>
      <c r="D1929" s="39">
        <v>0.1</v>
      </c>
      <c r="E1929" s="179">
        <v>2.5</v>
      </c>
      <c r="F1929" s="241">
        <f>D1929*E1929*10</f>
        <v>2.5</v>
      </c>
    </row>
    <row r="1930" spans="1:6">
      <c r="A1930" s="198"/>
      <c r="B1930" s="374" t="s">
        <v>8</v>
      </c>
      <c r="C1930" s="374"/>
      <c r="D1930" s="374"/>
      <c r="E1930" s="374"/>
      <c r="F1930" s="216">
        <v>718.41</v>
      </c>
    </row>
    <row r="1931" spans="1:6">
      <c r="A1931" s="231" t="str">
        <f>ORÇAMENTO!A112</f>
        <v>16.5</v>
      </c>
      <c r="B1931" s="102" t="str">
        <f>ORÇAMENTO!D112</f>
        <v xml:space="preserve">PINT.ESMALTE 2 DEM. ESQ.FERRO (SEM FUNDO ANTICOR.) </v>
      </c>
      <c r="C1931" s="189" t="s">
        <v>16</v>
      </c>
      <c r="D1931" s="189" t="s">
        <v>19</v>
      </c>
      <c r="E1931" s="189" t="s">
        <v>18</v>
      </c>
      <c r="F1931" s="252" t="s">
        <v>8</v>
      </c>
    </row>
    <row r="1932" spans="1:6">
      <c r="A1932" s="14"/>
      <c r="B1932" s="21" t="s">
        <v>475</v>
      </c>
      <c r="C1932" s="17"/>
      <c r="D1932" s="181">
        <f>4*8.3</f>
        <v>33.200000000000003</v>
      </c>
      <c r="E1932" s="181">
        <v>1.1499999999999999</v>
      </c>
      <c r="F1932" s="238">
        <f t="shared" ref="F1932:F1938" si="79">D1932*E1932</f>
        <v>38.18</v>
      </c>
    </row>
    <row r="1933" spans="1:6" s="134" customFormat="1" ht="30">
      <c r="A1933" s="225"/>
      <c r="B1933" s="180" t="s">
        <v>477</v>
      </c>
      <c r="C1933" s="133"/>
      <c r="D1933" s="179">
        <f>(4*(13.5+13.4+4.6+2.7+3.9+5.7+5.7+8.1+18.4+13.5+13.4))</f>
        <v>411.6</v>
      </c>
      <c r="E1933" s="179">
        <v>1</v>
      </c>
      <c r="F1933" s="238">
        <f t="shared" si="79"/>
        <v>411.6</v>
      </c>
    </row>
    <row r="1934" spans="1:6" s="134" customFormat="1">
      <c r="A1934" s="225"/>
      <c r="B1934" s="180" t="s">
        <v>476</v>
      </c>
      <c r="C1934" s="133"/>
      <c r="D1934" s="179">
        <f>(4*(5.5+5.5+5.5+5.5))</f>
        <v>88</v>
      </c>
      <c r="E1934" s="179">
        <v>0.75</v>
      </c>
      <c r="F1934" s="238">
        <f t="shared" si="79"/>
        <v>66</v>
      </c>
    </row>
    <row r="1935" spans="1:6">
      <c r="A1935" s="14"/>
      <c r="B1935" s="21" t="s">
        <v>478</v>
      </c>
      <c r="C1935" s="17"/>
      <c r="D1935" s="181">
        <f>4*6.15</f>
        <v>24.6</v>
      </c>
      <c r="E1935" s="181">
        <v>1.1499999999999999</v>
      </c>
      <c r="F1935" s="238">
        <f t="shared" si="79"/>
        <v>28.29</v>
      </c>
    </row>
    <row r="1936" spans="1:6">
      <c r="A1936" s="14"/>
      <c r="B1936" s="21" t="s">
        <v>478</v>
      </c>
      <c r="C1936" s="17"/>
      <c r="D1936" s="181">
        <f>4*6.15</f>
        <v>24.6</v>
      </c>
      <c r="E1936" s="181">
        <v>1.1499999999999999</v>
      </c>
      <c r="F1936" s="238">
        <f t="shared" si="79"/>
        <v>28.29</v>
      </c>
    </row>
    <row r="1937" spans="1:6">
      <c r="A1937" s="14"/>
      <c r="B1937" s="21" t="s">
        <v>197</v>
      </c>
      <c r="C1937" s="17"/>
      <c r="D1937" s="181">
        <f>15.1+15.1+3</f>
        <v>33.200000000000003</v>
      </c>
      <c r="E1937" s="181">
        <v>1.55</v>
      </c>
      <c r="F1937" s="238">
        <f t="shared" si="79"/>
        <v>51.460000000000008</v>
      </c>
    </row>
    <row r="1938" spans="1:6">
      <c r="A1938" s="14"/>
      <c r="B1938" s="21" t="s">
        <v>409</v>
      </c>
      <c r="C1938" s="17"/>
      <c r="D1938" s="181">
        <v>15.15</v>
      </c>
      <c r="E1938" s="181">
        <v>3.15</v>
      </c>
      <c r="F1938" s="238">
        <f t="shared" si="79"/>
        <v>47.722499999999997</v>
      </c>
    </row>
    <row r="1939" spans="1:6">
      <c r="A1939" s="201"/>
      <c r="B1939" s="19" t="s">
        <v>791</v>
      </c>
      <c r="C1939" s="35"/>
      <c r="D1939" s="39">
        <f>(4*(2.35+3.8))</f>
        <v>24.6</v>
      </c>
      <c r="E1939" s="179">
        <v>0.9</v>
      </c>
      <c r="F1939" s="241">
        <f>D1939*E1939</f>
        <v>22.14</v>
      </c>
    </row>
    <row r="1940" spans="1:6">
      <c r="A1940" s="196"/>
      <c r="B1940" s="357" t="s">
        <v>14</v>
      </c>
      <c r="C1940" s="357"/>
      <c r="D1940" s="357"/>
      <c r="E1940" s="357"/>
      <c r="F1940" s="216">
        <f>SUM(F1932:F1939)</f>
        <v>693.68249999999989</v>
      </c>
    </row>
    <row r="1941" spans="1:6">
      <c r="A1941" s="196"/>
      <c r="B1941" s="19" t="s">
        <v>1013</v>
      </c>
      <c r="C1941" s="35"/>
      <c r="D1941" s="39">
        <v>0.55000000000000004</v>
      </c>
      <c r="E1941" s="179">
        <v>0.6</v>
      </c>
      <c r="F1941" s="241">
        <f>D1941*E1941*11</f>
        <v>3.6300000000000003</v>
      </c>
    </row>
    <row r="1942" spans="1:6">
      <c r="A1942" s="196"/>
      <c r="B1942" s="19" t="s">
        <v>1014</v>
      </c>
      <c r="C1942" s="35"/>
      <c r="D1942" s="39">
        <v>1.8</v>
      </c>
      <c r="E1942" s="179">
        <v>1</v>
      </c>
      <c r="F1942" s="241">
        <f>D1942*E1942</f>
        <v>1.8</v>
      </c>
    </row>
    <row r="1943" spans="1:6">
      <c r="A1943" s="196"/>
      <c r="B1943" s="19" t="s">
        <v>1015</v>
      </c>
      <c r="C1943" s="35"/>
      <c r="D1943" s="39">
        <f>0.45</f>
        <v>0.45</v>
      </c>
      <c r="E1943" s="179">
        <v>0.1</v>
      </c>
      <c r="F1943" s="241">
        <f>D1943*E1943*40</f>
        <v>1.8000000000000003</v>
      </c>
    </row>
    <row r="1944" spans="1:6">
      <c r="A1944" s="196"/>
      <c r="B1944" s="19" t="s">
        <v>1016</v>
      </c>
      <c r="C1944" s="35"/>
      <c r="D1944" s="39">
        <v>0.5</v>
      </c>
      <c r="E1944" s="179">
        <v>3</v>
      </c>
      <c r="F1944" s="241">
        <f>D1944*E1944*10</f>
        <v>15</v>
      </c>
    </row>
    <row r="1945" spans="1:6">
      <c r="A1945" s="196"/>
      <c r="B1945" s="19" t="s">
        <v>1017</v>
      </c>
      <c r="C1945" s="35"/>
      <c r="D1945" s="39">
        <v>0.1</v>
      </c>
      <c r="E1945" s="179">
        <v>2.5</v>
      </c>
      <c r="F1945" s="241">
        <f>D1945*E1945*10</f>
        <v>2.5</v>
      </c>
    </row>
    <row r="1946" spans="1:6">
      <c r="A1946" s="196"/>
      <c r="B1946" s="357" t="s">
        <v>14</v>
      </c>
      <c r="C1946" s="357"/>
      <c r="D1946" s="357"/>
      <c r="E1946" s="357"/>
      <c r="F1946" s="216">
        <f>SUM(F1941:F1945)</f>
        <v>24.73</v>
      </c>
    </row>
    <row r="1947" spans="1:6">
      <c r="A1947" s="14"/>
      <c r="B1947" s="132" t="s">
        <v>215</v>
      </c>
      <c r="C1947" s="17"/>
      <c r="D1947" s="181"/>
      <c r="E1947" s="181"/>
      <c r="F1947" s="238"/>
    </row>
    <row r="1948" spans="1:6">
      <c r="A1948" s="220"/>
      <c r="B1948" s="132" t="s">
        <v>792</v>
      </c>
      <c r="C1948" s="17"/>
      <c r="D1948" s="181"/>
      <c r="E1948" s="181"/>
      <c r="F1948" s="238"/>
    </row>
    <row r="1949" spans="1:6">
      <c r="A1949" s="201"/>
      <c r="B1949" s="15" t="s">
        <v>954</v>
      </c>
      <c r="C1949" s="17"/>
      <c r="D1949" s="176">
        <f>2*(2.24*2)</f>
        <v>8.9600000000000009</v>
      </c>
      <c r="E1949" s="181">
        <v>1</v>
      </c>
      <c r="F1949" s="217">
        <f>E1949*D1949</f>
        <v>8.9600000000000009</v>
      </c>
    </row>
    <row r="1950" spans="1:6">
      <c r="A1950" s="201"/>
      <c r="B1950" s="15" t="s">
        <v>793</v>
      </c>
      <c r="C1950" s="18"/>
      <c r="D1950" s="176">
        <f>0.5*2</f>
        <v>1</v>
      </c>
      <c r="E1950" s="42">
        <v>2</v>
      </c>
      <c r="F1950" s="217">
        <f>E1950*D1950</f>
        <v>2</v>
      </c>
    </row>
    <row r="1951" spans="1:6">
      <c r="A1951" s="201"/>
      <c r="B1951" s="356" t="s">
        <v>14</v>
      </c>
      <c r="C1951" s="356"/>
      <c r="D1951" s="356"/>
      <c r="E1951" s="356"/>
      <c r="F1951" s="222">
        <f>F1949-F1950</f>
        <v>6.9600000000000009</v>
      </c>
    </row>
    <row r="1952" spans="1:6">
      <c r="A1952" s="201"/>
      <c r="B1952" s="15" t="s">
        <v>955</v>
      </c>
      <c r="C1952" s="35"/>
      <c r="D1952" s="176">
        <f>2*(2.24*2)</f>
        <v>8.9600000000000009</v>
      </c>
      <c r="E1952" s="181">
        <v>1</v>
      </c>
      <c r="F1952" s="217">
        <f>E1952*D1952</f>
        <v>8.9600000000000009</v>
      </c>
    </row>
    <row r="1953" spans="1:6">
      <c r="A1953" s="201"/>
      <c r="B1953" s="15" t="s">
        <v>793</v>
      </c>
      <c r="C1953" s="18"/>
      <c r="D1953" s="176">
        <f>0.5*2</f>
        <v>1</v>
      </c>
      <c r="E1953" s="42">
        <v>2</v>
      </c>
      <c r="F1953" s="217">
        <f>E1953*D1953</f>
        <v>2</v>
      </c>
    </row>
    <row r="1954" spans="1:6">
      <c r="A1954" s="201"/>
      <c r="B1954" s="356" t="s">
        <v>14</v>
      </c>
      <c r="C1954" s="356"/>
      <c r="D1954" s="356"/>
      <c r="E1954" s="356"/>
      <c r="F1954" s="222">
        <f>F1952-F1953</f>
        <v>6.9600000000000009</v>
      </c>
    </row>
    <row r="1955" spans="1:6">
      <c r="A1955" s="201"/>
      <c r="B1955" s="15" t="s">
        <v>956</v>
      </c>
      <c r="C1955" s="135"/>
      <c r="D1955" s="176">
        <f>2*(2.24*2)</f>
        <v>8.9600000000000009</v>
      </c>
      <c r="E1955" s="181">
        <v>1</v>
      </c>
      <c r="F1955" s="217">
        <f>E1955*D1955</f>
        <v>8.9600000000000009</v>
      </c>
    </row>
    <row r="1956" spans="1:6">
      <c r="A1956" s="201"/>
      <c r="B1956" s="15" t="s">
        <v>793</v>
      </c>
      <c r="C1956" s="18"/>
      <c r="D1956" s="176">
        <f>0.5*2</f>
        <v>1</v>
      </c>
      <c r="E1956" s="42">
        <v>2</v>
      </c>
      <c r="F1956" s="217">
        <f>E1956*D1956</f>
        <v>2</v>
      </c>
    </row>
    <row r="1957" spans="1:6">
      <c r="A1957" s="201"/>
      <c r="B1957" s="356" t="s">
        <v>14</v>
      </c>
      <c r="C1957" s="356"/>
      <c r="D1957" s="356"/>
      <c r="E1957" s="356"/>
      <c r="F1957" s="222">
        <f>F1955-F1956</f>
        <v>6.9600000000000009</v>
      </c>
    </row>
    <row r="1958" spans="1:6">
      <c r="A1958" s="201"/>
      <c r="B1958" s="15" t="s">
        <v>957</v>
      </c>
      <c r="C1958" s="135"/>
      <c r="D1958" s="176">
        <f>2*(2.24*2)</f>
        <v>8.9600000000000009</v>
      </c>
      <c r="E1958" s="181">
        <v>1</v>
      </c>
      <c r="F1958" s="217">
        <f>E1958*D1958</f>
        <v>8.9600000000000009</v>
      </c>
    </row>
    <row r="1959" spans="1:6">
      <c r="A1959" s="201"/>
      <c r="B1959" s="15" t="s">
        <v>793</v>
      </c>
      <c r="C1959" s="56"/>
      <c r="D1959" s="176">
        <f>0.5*2</f>
        <v>1</v>
      </c>
      <c r="E1959" s="42">
        <v>2</v>
      </c>
      <c r="F1959" s="217">
        <f>E1959*D1959</f>
        <v>2</v>
      </c>
    </row>
    <row r="1960" spans="1:6">
      <c r="A1960" s="201"/>
      <c r="B1960" s="356" t="s">
        <v>14</v>
      </c>
      <c r="C1960" s="356"/>
      <c r="D1960" s="356"/>
      <c r="E1960" s="356"/>
      <c r="F1960" s="222">
        <f>F1958-F1959</f>
        <v>6.9600000000000009</v>
      </c>
    </row>
    <row r="1961" spans="1:6">
      <c r="A1961" s="201"/>
      <c r="B1961" s="15" t="s">
        <v>958</v>
      </c>
      <c r="C1961" s="135"/>
      <c r="D1961" s="176">
        <f>2*(2.24*2)</f>
        <v>8.9600000000000009</v>
      </c>
      <c r="E1961" s="181">
        <v>1</v>
      </c>
      <c r="F1961" s="217">
        <f>E1961*D1961</f>
        <v>8.9600000000000009</v>
      </c>
    </row>
    <row r="1962" spans="1:6">
      <c r="A1962" s="201"/>
      <c r="B1962" s="15" t="s">
        <v>793</v>
      </c>
      <c r="C1962" s="56"/>
      <c r="D1962" s="176">
        <f>0.5*2</f>
        <v>1</v>
      </c>
      <c r="E1962" s="42">
        <v>2</v>
      </c>
      <c r="F1962" s="217">
        <f>E1962*D1962</f>
        <v>2</v>
      </c>
    </row>
    <row r="1963" spans="1:6">
      <c r="A1963" s="201"/>
      <c r="B1963" s="356" t="s">
        <v>14</v>
      </c>
      <c r="C1963" s="356"/>
      <c r="D1963" s="356"/>
      <c r="E1963" s="356"/>
      <c r="F1963" s="222">
        <f>F1961-F1962</f>
        <v>6.9600000000000009</v>
      </c>
    </row>
    <row r="1964" spans="1:6">
      <c r="A1964" s="201"/>
      <c r="B1964" s="15" t="s">
        <v>959</v>
      </c>
      <c r="C1964" s="135"/>
      <c r="D1964" s="176">
        <f>2*(2.24*2)</f>
        <v>8.9600000000000009</v>
      </c>
      <c r="E1964" s="181">
        <v>1</v>
      </c>
      <c r="F1964" s="217">
        <f>E1964*D1964</f>
        <v>8.9600000000000009</v>
      </c>
    </row>
    <row r="1965" spans="1:6">
      <c r="A1965" s="201"/>
      <c r="B1965" s="15" t="s">
        <v>793</v>
      </c>
      <c r="C1965" s="56"/>
      <c r="D1965" s="176">
        <f>0.5*2</f>
        <v>1</v>
      </c>
      <c r="E1965" s="42">
        <v>2</v>
      </c>
      <c r="F1965" s="217">
        <f>E1965*D1965</f>
        <v>2</v>
      </c>
    </row>
    <row r="1966" spans="1:6">
      <c r="A1966" s="201"/>
      <c r="B1966" s="356" t="s">
        <v>14</v>
      </c>
      <c r="C1966" s="356"/>
      <c r="D1966" s="356"/>
      <c r="E1966" s="356"/>
      <c r="F1966" s="222">
        <f>F1964-F1965</f>
        <v>6.9600000000000009</v>
      </c>
    </row>
    <row r="1967" spans="1:6">
      <c r="A1967" s="201"/>
      <c r="B1967" s="15" t="s">
        <v>960</v>
      </c>
      <c r="C1967" s="135"/>
      <c r="D1967" s="176">
        <f>2*(2.24*2)</f>
        <v>8.9600000000000009</v>
      </c>
      <c r="E1967" s="181">
        <v>2</v>
      </c>
      <c r="F1967" s="217">
        <f>E1967*D1967</f>
        <v>17.920000000000002</v>
      </c>
    </row>
    <row r="1968" spans="1:6">
      <c r="A1968" s="201"/>
      <c r="B1968" s="15" t="s">
        <v>793</v>
      </c>
      <c r="C1968" s="56"/>
      <c r="D1968" s="176">
        <f>0.5*2</f>
        <v>1</v>
      </c>
      <c r="E1968" s="42">
        <v>4</v>
      </c>
      <c r="F1968" s="217">
        <f>E1968*D1968</f>
        <v>4</v>
      </c>
    </row>
    <row r="1969" spans="1:6">
      <c r="A1969" s="201"/>
      <c r="B1969" s="356" t="s">
        <v>14</v>
      </c>
      <c r="C1969" s="356"/>
      <c r="D1969" s="356"/>
      <c r="E1969" s="356"/>
      <c r="F1969" s="222">
        <f>F1967-F1968</f>
        <v>13.920000000000002</v>
      </c>
    </row>
    <row r="1970" spans="1:6">
      <c r="A1970" s="201"/>
      <c r="B1970" s="15" t="s">
        <v>961</v>
      </c>
      <c r="C1970" s="135"/>
      <c r="D1970" s="176">
        <f>2*(2.24*2)</f>
        <v>8.9600000000000009</v>
      </c>
      <c r="E1970" s="181">
        <v>2</v>
      </c>
      <c r="F1970" s="217">
        <f>E1970*D1970</f>
        <v>17.920000000000002</v>
      </c>
    </row>
    <row r="1971" spans="1:6">
      <c r="A1971" s="201"/>
      <c r="B1971" s="15" t="s">
        <v>793</v>
      </c>
      <c r="C1971" s="56"/>
      <c r="D1971" s="176">
        <f>0.5*2</f>
        <v>1</v>
      </c>
      <c r="E1971" s="42">
        <v>4</v>
      </c>
      <c r="F1971" s="217">
        <f>E1971*D1971</f>
        <v>4</v>
      </c>
    </row>
    <row r="1972" spans="1:6">
      <c r="A1972" s="201"/>
      <c r="B1972" s="356" t="s">
        <v>14</v>
      </c>
      <c r="C1972" s="356"/>
      <c r="D1972" s="356"/>
      <c r="E1972" s="356"/>
      <c r="F1972" s="222">
        <f>F1970-F1971</f>
        <v>13.920000000000002</v>
      </c>
    </row>
    <row r="1973" spans="1:6">
      <c r="A1973" s="201"/>
      <c r="B1973" s="15" t="s">
        <v>962</v>
      </c>
      <c r="C1973" s="56"/>
      <c r="D1973" s="176">
        <f>2*(2.24*2)</f>
        <v>8.9600000000000009</v>
      </c>
      <c r="E1973" s="181">
        <v>2</v>
      </c>
      <c r="F1973" s="217">
        <f>E1973*D1973</f>
        <v>17.920000000000002</v>
      </c>
    </row>
    <row r="1974" spans="1:6">
      <c r="A1974" s="201"/>
      <c r="B1974" s="15" t="s">
        <v>793</v>
      </c>
      <c r="C1974" s="135"/>
      <c r="D1974" s="176">
        <f>0.5*2</f>
        <v>1</v>
      </c>
      <c r="E1974" s="42">
        <v>4</v>
      </c>
      <c r="F1974" s="217">
        <f>E1974*D1974</f>
        <v>4</v>
      </c>
    </row>
    <row r="1975" spans="1:6">
      <c r="A1975" s="201"/>
      <c r="B1975" s="356" t="s">
        <v>14</v>
      </c>
      <c r="C1975" s="356"/>
      <c r="D1975" s="356"/>
      <c r="E1975" s="356"/>
      <c r="F1975" s="222">
        <f>F1973-F1974</f>
        <v>13.920000000000002</v>
      </c>
    </row>
    <row r="1976" spans="1:6">
      <c r="A1976" s="198"/>
      <c r="B1976" s="374" t="s">
        <v>794</v>
      </c>
      <c r="C1976" s="374"/>
      <c r="D1976" s="374"/>
      <c r="E1976" s="374"/>
      <c r="F1976" s="216">
        <f>F1975+F1972+F1969+F1966+F1963+F1957+F1960+F1954+F1951</f>
        <v>83.52000000000001</v>
      </c>
    </row>
    <row r="1977" spans="1:6">
      <c r="A1977" s="220"/>
      <c r="B1977" s="132" t="s">
        <v>795</v>
      </c>
      <c r="C1977" s="17"/>
      <c r="D1977" s="181"/>
      <c r="E1977" s="181"/>
      <c r="F1977" s="238"/>
    </row>
    <row r="1978" spans="1:6">
      <c r="A1978" s="201"/>
      <c r="B1978" s="15" t="s">
        <v>796</v>
      </c>
      <c r="C1978" s="18"/>
      <c r="D1978" s="176">
        <f>2*(2.24*2)</f>
        <v>8.9600000000000009</v>
      </c>
      <c r="E1978" s="181">
        <v>2</v>
      </c>
      <c r="F1978" s="217">
        <f>E1978*D1978</f>
        <v>17.920000000000002</v>
      </c>
    </row>
    <row r="1979" spans="1:6">
      <c r="A1979" s="201"/>
      <c r="B1979" s="15" t="s">
        <v>793</v>
      </c>
      <c r="C1979" s="18"/>
      <c r="D1979" s="176">
        <f>0.5*2</f>
        <v>1</v>
      </c>
      <c r="E1979" s="181">
        <v>4</v>
      </c>
      <c r="F1979" s="217">
        <f>E1979*D1979</f>
        <v>4</v>
      </c>
    </row>
    <row r="1980" spans="1:6">
      <c r="A1980" s="201"/>
      <c r="B1980" s="15" t="s">
        <v>797</v>
      </c>
      <c r="C1980" s="18"/>
      <c r="D1980" s="176">
        <f>2*(1.35*2)</f>
        <v>5.4</v>
      </c>
      <c r="E1980" s="181">
        <v>1</v>
      </c>
      <c r="F1980" s="217">
        <f>E1980*D1980</f>
        <v>5.4</v>
      </c>
    </row>
    <row r="1981" spans="1:6">
      <c r="A1981" s="201"/>
      <c r="B1981" s="15" t="s">
        <v>793</v>
      </c>
      <c r="C1981" s="18"/>
      <c r="D1981" s="176">
        <f>0.5*2</f>
        <v>1</v>
      </c>
      <c r="E1981" s="181">
        <v>1</v>
      </c>
      <c r="F1981" s="217">
        <f>E1981*D1981</f>
        <v>1</v>
      </c>
    </row>
    <row r="1982" spans="1:6">
      <c r="A1982" s="201"/>
      <c r="B1982" s="356" t="s">
        <v>14</v>
      </c>
      <c r="C1982" s="356"/>
      <c r="D1982" s="356"/>
      <c r="E1982" s="356"/>
      <c r="F1982" s="222">
        <f>F1978-F1979+F1980-F1981</f>
        <v>18.32</v>
      </c>
    </row>
    <row r="1983" spans="1:6">
      <c r="A1983" s="201"/>
      <c r="B1983" s="15" t="s">
        <v>798</v>
      </c>
      <c r="C1983" s="166"/>
      <c r="D1983" s="176">
        <f>2*(2.24*2)</f>
        <v>8.9600000000000009</v>
      </c>
      <c r="E1983" s="181">
        <v>1</v>
      </c>
      <c r="F1983" s="217">
        <f>E1983*D1983</f>
        <v>8.9600000000000009</v>
      </c>
    </row>
    <row r="1984" spans="1:6">
      <c r="A1984" s="201"/>
      <c r="B1984" s="15" t="s">
        <v>793</v>
      </c>
      <c r="C1984" s="18"/>
      <c r="D1984" s="176">
        <f>0.5*2</f>
        <v>1</v>
      </c>
      <c r="E1984" s="181">
        <v>2</v>
      </c>
      <c r="F1984" s="217">
        <f>E1984*D1984</f>
        <v>2</v>
      </c>
    </row>
    <row r="1985" spans="1:6">
      <c r="A1985" s="201"/>
      <c r="B1985" s="356" t="s">
        <v>14</v>
      </c>
      <c r="C1985" s="356"/>
      <c r="D1985" s="356"/>
      <c r="E1985" s="356"/>
      <c r="F1985" s="222">
        <f>F1983-F1984</f>
        <v>6.9600000000000009</v>
      </c>
    </row>
    <row r="1986" spans="1:6">
      <c r="A1986" s="201"/>
      <c r="B1986" s="15" t="s">
        <v>799</v>
      </c>
      <c r="C1986" s="18"/>
      <c r="D1986" s="176">
        <f>2*(2.24*2)</f>
        <v>8.9600000000000009</v>
      </c>
      <c r="E1986" s="181">
        <v>1</v>
      </c>
      <c r="F1986" s="217">
        <f>E1986*D1986</f>
        <v>8.9600000000000009</v>
      </c>
    </row>
    <row r="1987" spans="1:6">
      <c r="A1987" s="201"/>
      <c r="B1987" s="15" t="s">
        <v>793</v>
      </c>
      <c r="C1987" s="18"/>
      <c r="D1987" s="176">
        <f>0.5*2</f>
        <v>1</v>
      </c>
      <c r="E1987" s="181">
        <v>2</v>
      </c>
      <c r="F1987" s="217">
        <f>E1987*D1987</f>
        <v>2</v>
      </c>
    </row>
    <row r="1988" spans="1:6">
      <c r="A1988" s="201"/>
      <c r="B1988" s="15" t="s">
        <v>800</v>
      </c>
      <c r="C1988" s="18"/>
      <c r="D1988" s="176">
        <f>2*(1.35*2)</f>
        <v>5.4</v>
      </c>
      <c r="E1988" s="181">
        <v>1</v>
      </c>
      <c r="F1988" s="217">
        <f>E1988*D1988</f>
        <v>5.4</v>
      </c>
    </row>
    <row r="1989" spans="1:6">
      <c r="A1989" s="201"/>
      <c r="B1989" s="15" t="s">
        <v>793</v>
      </c>
      <c r="C1989" s="18"/>
      <c r="D1989" s="176">
        <f>0.5*2</f>
        <v>1</v>
      </c>
      <c r="E1989" s="181">
        <v>1</v>
      </c>
      <c r="F1989" s="217">
        <f>E1989*D1989</f>
        <v>1</v>
      </c>
    </row>
    <row r="1990" spans="1:6">
      <c r="A1990" s="201"/>
      <c r="B1990" s="356" t="s">
        <v>14</v>
      </c>
      <c r="C1990" s="356"/>
      <c r="D1990" s="356"/>
      <c r="E1990" s="356"/>
      <c r="F1990" s="222">
        <f>F1986-F1987+F1988-F1989</f>
        <v>11.360000000000001</v>
      </c>
    </row>
    <row r="1991" spans="1:6">
      <c r="A1991" s="201"/>
      <c r="B1991" s="19" t="s">
        <v>801</v>
      </c>
      <c r="C1991" s="18"/>
      <c r="D1991" s="176">
        <f>2*(2.24*2)</f>
        <v>8.9600000000000009</v>
      </c>
      <c r="E1991" s="181">
        <v>1</v>
      </c>
      <c r="F1991" s="217">
        <f>E1991*D1991</f>
        <v>8.9600000000000009</v>
      </c>
    </row>
    <row r="1992" spans="1:6">
      <c r="A1992" s="201"/>
      <c r="B1992" s="19" t="s">
        <v>793</v>
      </c>
      <c r="C1992" s="18"/>
      <c r="D1992" s="176">
        <f>0.5*2</f>
        <v>1</v>
      </c>
      <c r="E1992" s="181">
        <v>2</v>
      </c>
      <c r="F1992" s="217">
        <f>E1992*D1992</f>
        <v>2</v>
      </c>
    </row>
    <row r="1993" spans="1:6">
      <c r="A1993" s="201"/>
      <c r="B1993" s="356" t="s">
        <v>14</v>
      </c>
      <c r="C1993" s="356"/>
      <c r="D1993" s="356"/>
      <c r="E1993" s="356"/>
      <c r="F1993" s="222">
        <f>F1991-F1992</f>
        <v>6.9600000000000009</v>
      </c>
    </row>
    <row r="1994" spans="1:6">
      <c r="A1994" s="201"/>
      <c r="B1994" s="15" t="s">
        <v>802</v>
      </c>
      <c r="C1994" s="18"/>
      <c r="D1994" s="176">
        <f>2*(2.24*2)</f>
        <v>8.9600000000000009</v>
      </c>
      <c r="E1994" s="181">
        <v>2</v>
      </c>
      <c r="F1994" s="217">
        <f>E1994*D1994</f>
        <v>17.920000000000002</v>
      </c>
    </row>
    <row r="1995" spans="1:6">
      <c r="A1995" s="201"/>
      <c r="B1995" s="15" t="s">
        <v>793</v>
      </c>
      <c r="C1995" s="18"/>
      <c r="D1995" s="176">
        <f>0.5*2</f>
        <v>1</v>
      </c>
      <c r="E1995" s="181">
        <v>4</v>
      </c>
      <c r="F1995" s="217">
        <f>E1995*D1995</f>
        <v>4</v>
      </c>
    </row>
    <row r="1996" spans="1:6">
      <c r="A1996" s="201"/>
      <c r="B1996" s="356" t="s">
        <v>14</v>
      </c>
      <c r="C1996" s="356"/>
      <c r="D1996" s="356"/>
      <c r="E1996" s="356"/>
      <c r="F1996" s="222">
        <f>F1994-F1995</f>
        <v>13.920000000000002</v>
      </c>
    </row>
    <row r="1997" spans="1:6">
      <c r="A1997" s="201"/>
      <c r="B1997" s="15" t="s">
        <v>803</v>
      </c>
      <c r="C1997" s="18"/>
      <c r="D1997" s="176">
        <f>2*(2.24*2)</f>
        <v>8.9600000000000009</v>
      </c>
      <c r="E1997" s="181">
        <v>2</v>
      </c>
      <c r="F1997" s="217">
        <f>E1997*D1997</f>
        <v>17.920000000000002</v>
      </c>
    </row>
    <row r="1998" spans="1:6">
      <c r="A1998" s="201"/>
      <c r="B1998" s="15" t="s">
        <v>793</v>
      </c>
      <c r="C1998" s="18"/>
      <c r="D1998" s="176">
        <f>0.5*2</f>
        <v>1</v>
      </c>
      <c r="E1998" s="181">
        <v>4</v>
      </c>
      <c r="F1998" s="217">
        <f>E1998*D1998</f>
        <v>4</v>
      </c>
    </row>
    <row r="1999" spans="1:6">
      <c r="A1999" s="201"/>
      <c r="B1999" s="356" t="s">
        <v>14</v>
      </c>
      <c r="C1999" s="356"/>
      <c r="D1999" s="356"/>
      <c r="E1999" s="356"/>
      <c r="F1999" s="222">
        <f>F1997-F1998</f>
        <v>13.920000000000002</v>
      </c>
    </row>
    <row r="2000" spans="1:6">
      <c r="A2000" s="201"/>
      <c r="B2000" s="15" t="s">
        <v>804</v>
      </c>
      <c r="C2000" s="18"/>
      <c r="D2000" s="176">
        <f>2*(2.24*2)</f>
        <v>8.9600000000000009</v>
      </c>
      <c r="E2000" s="181">
        <v>2</v>
      </c>
      <c r="F2000" s="217">
        <f>E2000*D2000</f>
        <v>17.920000000000002</v>
      </c>
    </row>
    <row r="2001" spans="1:6">
      <c r="A2001" s="201"/>
      <c r="B2001" s="15" t="s">
        <v>793</v>
      </c>
      <c r="C2001" s="18"/>
      <c r="D2001" s="176">
        <f>0.5*2</f>
        <v>1</v>
      </c>
      <c r="E2001" s="181">
        <v>4</v>
      </c>
      <c r="F2001" s="217">
        <f>E2001*D2001</f>
        <v>4</v>
      </c>
    </row>
    <row r="2002" spans="1:6">
      <c r="A2002" s="201"/>
      <c r="B2002" s="356" t="s">
        <v>14</v>
      </c>
      <c r="C2002" s="356"/>
      <c r="D2002" s="356"/>
      <c r="E2002" s="356"/>
      <c r="F2002" s="222">
        <f>F2000-F2001</f>
        <v>13.920000000000002</v>
      </c>
    </row>
    <row r="2003" spans="1:6">
      <c r="A2003" s="201"/>
      <c r="B2003" s="15" t="s">
        <v>805</v>
      </c>
      <c r="C2003" s="56"/>
      <c r="D2003" s="176">
        <f>2*(2.24*2)</f>
        <v>8.9600000000000009</v>
      </c>
      <c r="E2003" s="181">
        <v>2</v>
      </c>
      <c r="F2003" s="217">
        <f>E2003*D2003</f>
        <v>17.920000000000002</v>
      </c>
    </row>
    <row r="2004" spans="1:6">
      <c r="A2004" s="201"/>
      <c r="B2004" s="15" t="s">
        <v>793</v>
      </c>
      <c r="C2004" s="18"/>
      <c r="D2004" s="176">
        <f>0.5*2</f>
        <v>1</v>
      </c>
      <c r="E2004" s="181">
        <v>4</v>
      </c>
      <c r="F2004" s="217">
        <f>E2004*D2004</f>
        <v>4</v>
      </c>
    </row>
    <row r="2005" spans="1:6">
      <c r="A2005" s="201"/>
      <c r="B2005" s="356" t="s">
        <v>14</v>
      </c>
      <c r="C2005" s="356"/>
      <c r="D2005" s="356"/>
      <c r="E2005" s="356"/>
      <c r="F2005" s="222">
        <f>F2003-F2004</f>
        <v>13.920000000000002</v>
      </c>
    </row>
    <row r="2006" spans="1:6">
      <c r="A2006" s="201"/>
      <c r="B2006" s="100" t="s">
        <v>806</v>
      </c>
      <c r="C2006" s="17"/>
      <c r="D2006" s="176">
        <f>2*(2.24*2)</f>
        <v>8.9600000000000009</v>
      </c>
      <c r="E2006" s="181">
        <v>5</v>
      </c>
      <c r="F2006" s="217">
        <f>E2006*D2006</f>
        <v>44.800000000000004</v>
      </c>
    </row>
    <row r="2007" spans="1:6">
      <c r="A2007" s="201"/>
      <c r="B2007" s="15" t="s">
        <v>793</v>
      </c>
      <c r="C2007" s="18"/>
      <c r="D2007" s="176">
        <f>0.5*2</f>
        <v>1</v>
      </c>
      <c r="E2007" s="181">
        <v>3</v>
      </c>
      <c r="F2007" s="217">
        <f>E2007*D2007</f>
        <v>3</v>
      </c>
    </row>
    <row r="2008" spans="1:6">
      <c r="A2008" s="201"/>
      <c r="B2008" s="356" t="s">
        <v>14</v>
      </c>
      <c r="C2008" s="356"/>
      <c r="D2008" s="356"/>
      <c r="E2008" s="356"/>
      <c r="F2008" s="222">
        <f>F2006-F2007</f>
        <v>41.800000000000004</v>
      </c>
    </row>
    <row r="2009" spans="1:6">
      <c r="A2009" s="201"/>
      <c r="B2009" s="15" t="s">
        <v>807</v>
      </c>
      <c r="C2009" s="17"/>
      <c r="D2009" s="176">
        <f>2*(2.24*2)</f>
        <v>8.9600000000000009</v>
      </c>
      <c r="E2009" s="181">
        <v>9</v>
      </c>
      <c r="F2009" s="217">
        <f>E2009*D2009</f>
        <v>80.640000000000015</v>
      </c>
    </row>
    <row r="2010" spans="1:6">
      <c r="A2010" s="201"/>
      <c r="B2010" s="15" t="s">
        <v>793</v>
      </c>
      <c r="C2010" s="18"/>
      <c r="D2010" s="176">
        <f>0.5*2</f>
        <v>1</v>
      </c>
      <c r="E2010" s="42">
        <v>18</v>
      </c>
      <c r="F2010" s="217">
        <f>E2010*D2010</f>
        <v>18</v>
      </c>
    </row>
    <row r="2011" spans="1:6">
      <c r="A2011" s="201"/>
      <c r="B2011" s="15" t="s">
        <v>808</v>
      </c>
      <c r="C2011" s="17"/>
      <c r="D2011" s="176">
        <f>2*(1.25*2)</f>
        <v>5</v>
      </c>
      <c r="E2011" s="181">
        <v>1</v>
      </c>
      <c r="F2011" s="217">
        <f>E2011*D2011</f>
        <v>5</v>
      </c>
    </row>
    <row r="2012" spans="1:6">
      <c r="A2012" s="201"/>
      <c r="B2012" s="15" t="s">
        <v>793</v>
      </c>
      <c r="C2012" s="18"/>
      <c r="D2012" s="176">
        <f>0.5*2</f>
        <v>1</v>
      </c>
      <c r="E2012" s="42">
        <v>12</v>
      </c>
      <c r="F2012" s="217">
        <f>E2012*D2012</f>
        <v>12</v>
      </c>
    </row>
    <row r="2013" spans="1:6">
      <c r="A2013" s="201"/>
      <c r="B2013" s="356" t="s">
        <v>14</v>
      </c>
      <c r="C2013" s="356"/>
      <c r="D2013" s="356"/>
      <c r="E2013" s="356"/>
      <c r="F2013" s="222">
        <f>F2009-F2010+F2011-F2012</f>
        <v>55.640000000000015</v>
      </c>
    </row>
    <row r="2014" spans="1:6">
      <c r="A2014" s="201"/>
      <c r="B2014" s="15" t="s">
        <v>809</v>
      </c>
      <c r="C2014" s="17"/>
      <c r="D2014" s="176">
        <f>2*(2.24*2)</f>
        <v>8.9600000000000009</v>
      </c>
      <c r="E2014" s="181">
        <v>1</v>
      </c>
      <c r="F2014" s="217">
        <f>E2014*D2014</f>
        <v>8.9600000000000009</v>
      </c>
    </row>
    <row r="2015" spans="1:6">
      <c r="A2015" s="201"/>
      <c r="B2015" s="15" t="s">
        <v>793</v>
      </c>
      <c r="C2015" s="18"/>
      <c r="D2015" s="176">
        <f>0.5*2</f>
        <v>1</v>
      </c>
      <c r="E2015" s="42">
        <v>2</v>
      </c>
      <c r="F2015" s="217">
        <f>E2015*D2015</f>
        <v>2</v>
      </c>
    </row>
    <row r="2016" spans="1:6">
      <c r="A2016" s="201"/>
      <c r="B2016" s="356" t="s">
        <v>14</v>
      </c>
      <c r="C2016" s="356"/>
      <c r="D2016" s="356"/>
      <c r="E2016" s="356"/>
      <c r="F2016" s="222">
        <f>F2014-F2015</f>
        <v>6.9600000000000009</v>
      </c>
    </row>
    <row r="2017" spans="1:6">
      <c r="A2017" s="198"/>
      <c r="B2017" s="374" t="s">
        <v>810</v>
      </c>
      <c r="C2017" s="374"/>
      <c r="D2017" s="374"/>
      <c r="E2017" s="374"/>
      <c r="F2017" s="216">
        <v>203.68</v>
      </c>
    </row>
    <row r="2018" spans="1:6">
      <c r="A2018" s="220"/>
      <c r="B2018" s="132" t="s">
        <v>811</v>
      </c>
      <c r="C2018" s="17"/>
      <c r="D2018" s="181"/>
      <c r="E2018" s="181"/>
      <c r="F2018" s="238"/>
    </row>
    <row r="2019" spans="1:6">
      <c r="A2019" s="14"/>
      <c r="B2019" s="21" t="s">
        <v>218</v>
      </c>
      <c r="C2019" s="17" t="s">
        <v>16</v>
      </c>
      <c r="D2019" s="181" t="s">
        <v>96</v>
      </c>
      <c r="E2019" s="181" t="s">
        <v>95</v>
      </c>
      <c r="F2019" s="238" t="s">
        <v>8</v>
      </c>
    </row>
    <row r="2020" spans="1:6">
      <c r="A2020" s="14"/>
      <c r="B2020" s="21" t="s">
        <v>243</v>
      </c>
      <c r="C2020" s="17"/>
      <c r="D2020" s="181">
        <f>2*(2.25*1.6)</f>
        <v>7.2</v>
      </c>
      <c r="E2020" s="181">
        <v>2</v>
      </c>
      <c r="F2020" s="238">
        <f t="shared" ref="F2020:F2036" si="80">E2020*D2020</f>
        <v>14.4</v>
      </c>
    </row>
    <row r="2021" spans="1:6">
      <c r="A2021" s="14"/>
      <c r="B2021" s="21" t="s">
        <v>347</v>
      </c>
      <c r="C2021" s="17"/>
      <c r="D2021" s="181">
        <f>0.5*1.6</f>
        <v>0.8</v>
      </c>
      <c r="E2021" s="181">
        <v>6</v>
      </c>
      <c r="F2021" s="238">
        <f t="shared" si="80"/>
        <v>4.8000000000000007</v>
      </c>
    </row>
    <row r="2022" spans="1:6">
      <c r="A2022" s="196"/>
      <c r="B2022" s="357" t="s">
        <v>14</v>
      </c>
      <c r="C2022" s="357"/>
      <c r="D2022" s="357"/>
      <c r="E2022" s="357"/>
      <c r="F2022" s="216">
        <f>F2020-F2021</f>
        <v>9.6</v>
      </c>
    </row>
    <row r="2023" spans="1:6">
      <c r="A2023" s="14"/>
      <c r="B2023" s="21" t="s">
        <v>216</v>
      </c>
      <c r="C2023" s="17"/>
      <c r="D2023" s="181">
        <f>2*(2.25*1.6)</f>
        <v>7.2</v>
      </c>
      <c r="E2023" s="181">
        <v>1</v>
      </c>
      <c r="F2023" s="238">
        <f t="shared" si="80"/>
        <v>7.2</v>
      </c>
    </row>
    <row r="2024" spans="1:6">
      <c r="A2024" s="14"/>
      <c r="B2024" s="21" t="s">
        <v>347</v>
      </c>
      <c r="C2024" s="17"/>
      <c r="D2024" s="181">
        <f>0.5*1.6</f>
        <v>0.8</v>
      </c>
      <c r="E2024" s="181">
        <v>5</v>
      </c>
      <c r="F2024" s="238">
        <f t="shared" si="80"/>
        <v>4</v>
      </c>
    </row>
    <row r="2025" spans="1:6">
      <c r="A2025" s="196"/>
      <c r="B2025" s="357" t="s">
        <v>14</v>
      </c>
      <c r="C2025" s="357"/>
      <c r="D2025" s="357"/>
      <c r="E2025" s="357"/>
      <c r="F2025" s="216">
        <f>F2023-F2024</f>
        <v>3.2</v>
      </c>
    </row>
    <row r="2026" spans="1:6">
      <c r="A2026" s="14"/>
      <c r="B2026" s="21" t="s">
        <v>199</v>
      </c>
      <c r="C2026" s="17"/>
      <c r="D2026" s="181">
        <f>2*(2.25*1.6)</f>
        <v>7.2</v>
      </c>
      <c r="E2026" s="181">
        <v>6</v>
      </c>
      <c r="F2026" s="238">
        <f>E2026*D2026</f>
        <v>43.2</v>
      </c>
    </row>
    <row r="2027" spans="1:6">
      <c r="A2027" s="14"/>
      <c r="B2027" s="21" t="s">
        <v>347</v>
      </c>
      <c r="C2027" s="17"/>
      <c r="D2027" s="181">
        <f>0.5*1.6</f>
        <v>0.8</v>
      </c>
      <c r="E2027" s="181">
        <v>6</v>
      </c>
      <c r="F2027" s="238">
        <f>E2027*D2027</f>
        <v>4.8000000000000007</v>
      </c>
    </row>
    <row r="2028" spans="1:6">
      <c r="A2028" s="196"/>
      <c r="B2028" s="357" t="s">
        <v>14</v>
      </c>
      <c r="C2028" s="357"/>
      <c r="D2028" s="357"/>
      <c r="E2028" s="357"/>
      <c r="F2028" s="216">
        <f>F2026-F2027</f>
        <v>38.400000000000006</v>
      </c>
    </row>
    <row r="2029" spans="1:6">
      <c r="A2029" s="14"/>
      <c r="B2029" s="21" t="s">
        <v>117</v>
      </c>
      <c r="C2029" s="17"/>
      <c r="D2029" s="181">
        <f t="shared" ref="D2029" si="81">3*(2.25*1.6)</f>
        <v>10.8</v>
      </c>
      <c r="E2029" s="181">
        <v>2</v>
      </c>
      <c r="F2029" s="238">
        <f t="shared" si="80"/>
        <v>21.6</v>
      </c>
    </row>
    <row r="2030" spans="1:6">
      <c r="A2030" s="14"/>
      <c r="B2030" s="21" t="s">
        <v>347</v>
      </c>
      <c r="C2030" s="17"/>
      <c r="D2030" s="181">
        <f>0.5*1.6</f>
        <v>0.8</v>
      </c>
      <c r="E2030" s="181">
        <v>5</v>
      </c>
      <c r="F2030" s="238">
        <f t="shared" si="80"/>
        <v>4</v>
      </c>
    </row>
    <row r="2031" spans="1:6">
      <c r="A2031" s="196"/>
      <c r="B2031" s="357" t="s">
        <v>14</v>
      </c>
      <c r="C2031" s="357"/>
      <c r="D2031" s="357"/>
      <c r="E2031" s="357"/>
      <c r="F2031" s="216">
        <f>F2029-F2030</f>
        <v>17.600000000000001</v>
      </c>
    </row>
    <row r="2032" spans="1:6">
      <c r="A2032" s="14"/>
      <c r="B2032" s="21" t="s">
        <v>116</v>
      </c>
      <c r="C2032" s="17"/>
      <c r="D2032" s="181">
        <f>2*(2.25*1.6)</f>
        <v>7.2</v>
      </c>
      <c r="E2032" s="181">
        <v>4</v>
      </c>
      <c r="F2032" s="238">
        <f t="shared" si="80"/>
        <v>28.8</v>
      </c>
    </row>
    <row r="2033" spans="1:6">
      <c r="A2033" s="14"/>
      <c r="B2033" s="21" t="s">
        <v>347</v>
      </c>
      <c r="C2033" s="17"/>
      <c r="D2033" s="181">
        <f>0.5*1.6</f>
        <v>0.8</v>
      </c>
      <c r="E2033" s="181">
        <v>5</v>
      </c>
      <c r="F2033" s="238">
        <f t="shared" si="80"/>
        <v>4</v>
      </c>
    </row>
    <row r="2034" spans="1:6">
      <c r="A2034" s="196"/>
      <c r="B2034" s="357" t="s">
        <v>14</v>
      </c>
      <c r="C2034" s="357"/>
      <c r="D2034" s="357"/>
      <c r="E2034" s="357"/>
      <c r="F2034" s="216">
        <f>F2032-F2033</f>
        <v>24.8</v>
      </c>
    </row>
    <row r="2035" spans="1:6">
      <c r="A2035" s="14"/>
      <c r="B2035" s="21" t="s">
        <v>221</v>
      </c>
      <c r="C2035" s="17"/>
      <c r="D2035" s="181">
        <f>2*(2.25*1.6)</f>
        <v>7.2</v>
      </c>
      <c r="E2035" s="181">
        <v>2</v>
      </c>
      <c r="F2035" s="238">
        <f t="shared" si="80"/>
        <v>14.4</v>
      </c>
    </row>
    <row r="2036" spans="1:6">
      <c r="A2036" s="14"/>
      <c r="B2036" s="21" t="s">
        <v>347</v>
      </c>
      <c r="C2036" s="17"/>
      <c r="D2036" s="181">
        <f>0.5*1.6</f>
        <v>0.8</v>
      </c>
      <c r="E2036" s="181">
        <v>5</v>
      </c>
      <c r="F2036" s="238">
        <f t="shared" si="80"/>
        <v>4</v>
      </c>
    </row>
    <row r="2037" spans="1:6">
      <c r="A2037" s="196"/>
      <c r="B2037" s="357" t="s">
        <v>14</v>
      </c>
      <c r="C2037" s="357"/>
      <c r="D2037" s="357"/>
      <c r="E2037" s="357"/>
      <c r="F2037" s="216">
        <f>F2035-F2036</f>
        <v>10.4</v>
      </c>
    </row>
    <row r="2038" spans="1:6">
      <c r="A2038" s="14"/>
      <c r="B2038" s="21" t="s">
        <v>114</v>
      </c>
      <c r="C2038" s="17"/>
      <c r="D2038" s="181">
        <f>2*(2.25*1.6)</f>
        <v>7.2</v>
      </c>
      <c r="E2038" s="181">
        <v>2</v>
      </c>
      <c r="F2038" s="238">
        <f t="shared" ref="F2038:F2048" si="82">E2038*D2038</f>
        <v>14.4</v>
      </c>
    </row>
    <row r="2039" spans="1:6">
      <c r="A2039" s="14"/>
      <c r="B2039" s="21" t="s">
        <v>347</v>
      </c>
      <c r="C2039" s="17"/>
      <c r="D2039" s="181">
        <f>0.5*1.6</f>
        <v>0.8</v>
      </c>
      <c r="E2039" s="181">
        <v>5</v>
      </c>
      <c r="F2039" s="238">
        <f t="shared" si="82"/>
        <v>4</v>
      </c>
    </row>
    <row r="2040" spans="1:6">
      <c r="A2040" s="196"/>
      <c r="B2040" s="357" t="s">
        <v>14</v>
      </c>
      <c r="C2040" s="357"/>
      <c r="D2040" s="357"/>
      <c r="E2040" s="357"/>
      <c r="F2040" s="216">
        <f>F2038-F2039</f>
        <v>10.4</v>
      </c>
    </row>
    <row r="2041" spans="1:6">
      <c r="A2041" s="14"/>
      <c r="B2041" s="21" t="s">
        <v>219</v>
      </c>
      <c r="C2041" s="17"/>
      <c r="D2041" s="181">
        <f>2*(2.25*1.6)</f>
        <v>7.2</v>
      </c>
      <c r="E2041" s="181">
        <v>1</v>
      </c>
      <c r="F2041" s="238">
        <f t="shared" si="82"/>
        <v>7.2</v>
      </c>
    </row>
    <row r="2042" spans="1:6">
      <c r="A2042" s="14"/>
      <c r="B2042" s="21" t="s">
        <v>347</v>
      </c>
      <c r="C2042" s="17"/>
      <c r="D2042" s="181">
        <f>0.5*1.6</f>
        <v>0.8</v>
      </c>
      <c r="E2042" s="181">
        <v>5</v>
      </c>
      <c r="F2042" s="238">
        <f t="shared" si="82"/>
        <v>4</v>
      </c>
    </row>
    <row r="2043" spans="1:6">
      <c r="A2043" s="196"/>
      <c r="B2043" s="357" t="s">
        <v>14</v>
      </c>
      <c r="C2043" s="357"/>
      <c r="D2043" s="357"/>
      <c r="E2043" s="357"/>
      <c r="F2043" s="216">
        <f>F2041-F2042</f>
        <v>3.2</v>
      </c>
    </row>
    <row r="2044" spans="1:6">
      <c r="A2044" s="14"/>
      <c r="B2044" s="21" t="s">
        <v>217</v>
      </c>
      <c r="C2044" s="17"/>
      <c r="D2044" s="181">
        <f>2*(2.25*1.6)</f>
        <v>7.2</v>
      </c>
      <c r="E2044" s="181">
        <v>2</v>
      </c>
      <c r="F2044" s="238">
        <f t="shared" si="82"/>
        <v>14.4</v>
      </c>
    </row>
    <row r="2045" spans="1:6">
      <c r="A2045" s="14"/>
      <c r="B2045" s="21" t="s">
        <v>347</v>
      </c>
      <c r="C2045" s="17"/>
      <c r="D2045" s="181">
        <f>0.5*1.6</f>
        <v>0.8</v>
      </c>
      <c r="E2045" s="181">
        <v>5</v>
      </c>
      <c r="F2045" s="238">
        <f t="shared" si="82"/>
        <v>4</v>
      </c>
    </row>
    <row r="2046" spans="1:6">
      <c r="A2046" s="14"/>
      <c r="B2046" s="356" t="s">
        <v>14</v>
      </c>
      <c r="C2046" s="356"/>
      <c r="D2046" s="356"/>
      <c r="E2046" s="356"/>
      <c r="F2046" s="222">
        <f>F2044-F2045</f>
        <v>10.4</v>
      </c>
    </row>
    <row r="2047" spans="1:6">
      <c r="A2047" s="14"/>
      <c r="B2047" s="15" t="s">
        <v>115</v>
      </c>
      <c r="C2047" s="17"/>
      <c r="D2047" s="176">
        <f>2*(2.25*1.6)</f>
        <v>7.2</v>
      </c>
      <c r="E2047" s="42">
        <v>3</v>
      </c>
      <c r="F2047" s="218">
        <f t="shared" si="82"/>
        <v>21.6</v>
      </c>
    </row>
    <row r="2048" spans="1:6">
      <c r="A2048" s="14"/>
      <c r="B2048" s="15" t="s">
        <v>347</v>
      </c>
      <c r="C2048" s="17"/>
      <c r="D2048" s="176">
        <f>0.5*1.6</f>
        <v>0.8</v>
      </c>
      <c r="E2048" s="42">
        <v>5</v>
      </c>
      <c r="F2048" s="218">
        <f t="shared" si="82"/>
        <v>4</v>
      </c>
    </row>
    <row r="2049" spans="1:6">
      <c r="A2049" s="14"/>
      <c r="B2049" s="356" t="s">
        <v>14</v>
      </c>
      <c r="C2049" s="356"/>
      <c r="D2049" s="356"/>
      <c r="E2049" s="356"/>
      <c r="F2049" s="222">
        <f>F2047-F2048</f>
        <v>17.600000000000001</v>
      </c>
    </row>
    <row r="2050" spans="1:6">
      <c r="A2050" s="14"/>
      <c r="B2050" s="15" t="s">
        <v>196</v>
      </c>
      <c r="C2050" s="17"/>
      <c r="D2050" s="176">
        <f>2*2*1</f>
        <v>4</v>
      </c>
      <c r="E2050" s="42">
        <v>5</v>
      </c>
      <c r="F2050" s="218">
        <f t="shared" ref="F2050:F2052" si="83">E2050*D2050</f>
        <v>20</v>
      </c>
    </row>
    <row r="2051" spans="1:6">
      <c r="A2051" s="14"/>
      <c r="B2051" s="15" t="s">
        <v>391</v>
      </c>
      <c r="C2051" s="17"/>
      <c r="D2051" s="176">
        <v>2.2400000000000002</v>
      </c>
      <c r="E2051" s="42">
        <v>0.35</v>
      </c>
      <c r="F2051" s="218">
        <f t="shared" si="83"/>
        <v>0.78400000000000003</v>
      </c>
    </row>
    <row r="2052" spans="1:6">
      <c r="A2052" s="14"/>
      <c r="B2052" s="32" t="s">
        <v>392</v>
      </c>
      <c r="C2052" s="28"/>
      <c r="D2052" s="176">
        <f>1.6*0.6</f>
        <v>0.96</v>
      </c>
      <c r="E2052" s="63">
        <v>5</v>
      </c>
      <c r="F2052" s="218">
        <f t="shared" si="83"/>
        <v>4.8</v>
      </c>
    </row>
    <row r="2053" spans="1:6">
      <c r="A2053" s="14"/>
      <c r="B2053" s="356" t="s">
        <v>14</v>
      </c>
      <c r="C2053" s="356"/>
      <c r="D2053" s="356"/>
      <c r="E2053" s="356"/>
      <c r="F2053" s="222">
        <f>F2050+F2051-F2052</f>
        <v>15.983999999999998</v>
      </c>
    </row>
    <row r="2054" spans="1:6">
      <c r="A2054" s="14"/>
      <c r="B2054" s="15" t="s">
        <v>380</v>
      </c>
      <c r="C2054" s="35" t="s">
        <v>16</v>
      </c>
      <c r="D2054" s="29" t="s">
        <v>96</v>
      </c>
      <c r="E2054" s="181" t="s">
        <v>95</v>
      </c>
      <c r="F2054" s="241" t="s">
        <v>8</v>
      </c>
    </row>
    <row r="2055" spans="1:6">
      <c r="A2055" s="14"/>
      <c r="B2055" s="15" t="s">
        <v>97</v>
      </c>
      <c r="C2055" s="18"/>
      <c r="D2055" s="181">
        <f>2*(2.25*1.6)</f>
        <v>7.2</v>
      </c>
      <c r="E2055" s="42">
        <v>3</v>
      </c>
      <c r="F2055" s="218">
        <f t="shared" ref="F2055:F2092" si="84">E2055*D2055</f>
        <v>21.6</v>
      </c>
    </row>
    <row r="2056" spans="1:6">
      <c r="A2056" s="14"/>
      <c r="B2056" s="15" t="s">
        <v>347</v>
      </c>
      <c r="C2056" s="56"/>
      <c r="D2056" s="176">
        <f>0.5*1.6</f>
        <v>0.8</v>
      </c>
      <c r="E2056" s="42">
        <v>5</v>
      </c>
      <c r="F2056" s="218">
        <f t="shared" si="84"/>
        <v>4</v>
      </c>
    </row>
    <row r="2057" spans="1:6">
      <c r="A2057" s="14"/>
      <c r="B2057" s="356" t="s">
        <v>14</v>
      </c>
      <c r="C2057" s="356"/>
      <c r="D2057" s="356"/>
      <c r="E2057" s="356"/>
      <c r="F2057" s="222">
        <f>F2055-F2056</f>
        <v>17.600000000000001</v>
      </c>
    </row>
    <row r="2058" spans="1:6">
      <c r="A2058" s="14"/>
      <c r="B2058" s="15" t="s">
        <v>118</v>
      </c>
      <c r="C2058" s="18"/>
      <c r="D2058" s="181">
        <f>2*(2.25*1.6)</f>
        <v>7.2</v>
      </c>
      <c r="E2058" s="42">
        <v>3</v>
      </c>
      <c r="F2058" s="218">
        <f t="shared" si="84"/>
        <v>21.6</v>
      </c>
    </row>
    <row r="2059" spans="1:6">
      <c r="A2059" s="14"/>
      <c r="B2059" s="15" t="s">
        <v>347</v>
      </c>
      <c r="C2059" s="56"/>
      <c r="D2059" s="176">
        <f>0.5*1.6</f>
        <v>0.8</v>
      </c>
      <c r="E2059" s="42">
        <v>5</v>
      </c>
      <c r="F2059" s="218">
        <f t="shared" si="84"/>
        <v>4</v>
      </c>
    </row>
    <row r="2060" spans="1:6">
      <c r="A2060" s="14"/>
      <c r="B2060" s="356" t="s">
        <v>14</v>
      </c>
      <c r="C2060" s="356"/>
      <c r="D2060" s="356"/>
      <c r="E2060" s="356"/>
      <c r="F2060" s="222">
        <f>F2058-F2059</f>
        <v>17.600000000000001</v>
      </c>
    </row>
    <row r="2061" spans="1:6">
      <c r="A2061" s="14"/>
      <c r="B2061" s="15" t="s">
        <v>119</v>
      </c>
      <c r="C2061" s="56"/>
      <c r="D2061" s="181">
        <f>2*(2.25*1.6)</f>
        <v>7.2</v>
      </c>
      <c r="E2061" s="42">
        <v>3</v>
      </c>
      <c r="F2061" s="218">
        <f t="shared" si="84"/>
        <v>21.6</v>
      </c>
    </row>
    <row r="2062" spans="1:6">
      <c r="A2062" s="14"/>
      <c r="B2062" s="15" t="s">
        <v>347</v>
      </c>
      <c r="C2062" s="56"/>
      <c r="D2062" s="176">
        <f>0.5*1.6</f>
        <v>0.8</v>
      </c>
      <c r="E2062" s="42">
        <v>5</v>
      </c>
      <c r="F2062" s="218">
        <f t="shared" si="84"/>
        <v>4</v>
      </c>
    </row>
    <row r="2063" spans="1:6">
      <c r="A2063" s="14"/>
      <c r="B2063" s="356" t="s">
        <v>14</v>
      </c>
      <c r="C2063" s="356"/>
      <c r="D2063" s="356"/>
      <c r="E2063" s="356"/>
      <c r="F2063" s="222">
        <f>F2061-F2062</f>
        <v>17.600000000000001</v>
      </c>
    </row>
    <row r="2064" spans="1:6">
      <c r="A2064" s="14"/>
      <c r="B2064" s="15" t="s">
        <v>120</v>
      </c>
      <c r="C2064" s="17"/>
      <c r="D2064" s="181">
        <f t="shared" ref="D2064:D2091" si="85">2*(2.25*1.6)</f>
        <v>7.2</v>
      </c>
      <c r="E2064" s="42">
        <v>3</v>
      </c>
      <c r="F2064" s="218">
        <f t="shared" si="84"/>
        <v>21.6</v>
      </c>
    </row>
    <row r="2065" spans="1:6">
      <c r="A2065" s="14"/>
      <c r="B2065" s="15" t="s">
        <v>347</v>
      </c>
      <c r="C2065" s="56"/>
      <c r="D2065" s="176">
        <f>0.5*1.6</f>
        <v>0.8</v>
      </c>
      <c r="E2065" s="42">
        <v>5</v>
      </c>
      <c r="F2065" s="218">
        <f t="shared" si="84"/>
        <v>4</v>
      </c>
    </row>
    <row r="2066" spans="1:6">
      <c r="A2066" s="14"/>
      <c r="B2066" s="356" t="s">
        <v>14</v>
      </c>
      <c r="C2066" s="356"/>
      <c r="D2066" s="356"/>
      <c r="E2066" s="356"/>
      <c r="F2066" s="222">
        <f>F2064-F2065</f>
        <v>17.600000000000001</v>
      </c>
    </row>
    <row r="2067" spans="1:6">
      <c r="A2067" s="14"/>
      <c r="B2067" s="15" t="s">
        <v>121</v>
      </c>
      <c r="C2067" s="18"/>
      <c r="D2067" s="181">
        <f t="shared" si="85"/>
        <v>7.2</v>
      </c>
      <c r="E2067" s="42">
        <v>3</v>
      </c>
      <c r="F2067" s="218">
        <f t="shared" si="84"/>
        <v>21.6</v>
      </c>
    </row>
    <row r="2068" spans="1:6">
      <c r="A2068" s="14"/>
      <c r="B2068" s="15" t="s">
        <v>347</v>
      </c>
      <c r="C2068" s="56"/>
      <c r="D2068" s="176">
        <f>0.5*1.6</f>
        <v>0.8</v>
      </c>
      <c r="E2068" s="42">
        <v>5</v>
      </c>
      <c r="F2068" s="218">
        <f t="shared" si="84"/>
        <v>4</v>
      </c>
    </row>
    <row r="2069" spans="1:6">
      <c r="A2069" s="14"/>
      <c r="B2069" s="356" t="s">
        <v>14</v>
      </c>
      <c r="C2069" s="356"/>
      <c r="D2069" s="356"/>
      <c r="E2069" s="356"/>
      <c r="F2069" s="222">
        <f>F2067-F2068</f>
        <v>17.600000000000001</v>
      </c>
    </row>
    <row r="2070" spans="1:6">
      <c r="A2070" s="14"/>
      <c r="B2070" s="15" t="s">
        <v>122</v>
      </c>
      <c r="C2070" s="18"/>
      <c r="D2070" s="181">
        <f t="shared" si="85"/>
        <v>7.2</v>
      </c>
      <c r="E2070" s="42">
        <v>3</v>
      </c>
      <c r="F2070" s="218">
        <f t="shared" si="84"/>
        <v>21.6</v>
      </c>
    </row>
    <row r="2071" spans="1:6">
      <c r="A2071" s="14"/>
      <c r="B2071" s="15" t="s">
        <v>347</v>
      </c>
      <c r="C2071" s="56"/>
      <c r="D2071" s="176">
        <f>0.5*1.6</f>
        <v>0.8</v>
      </c>
      <c r="E2071" s="42">
        <v>5</v>
      </c>
      <c r="F2071" s="218">
        <f t="shared" si="84"/>
        <v>4</v>
      </c>
    </row>
    <row r="2072" spans="1:6">
      <c r="A2072" s="14"/>
      <c r="B2072" s="356" t="s">
        <v>14</v>
      </c>
      <c r="C2072" s="356"/>
      <c r="D2072" s="356"/>
      <c r="E2072" s="356"/>
      <c r="F2072" s="222">
        <f>F2070-F2071</f>
        <v>17.600000000000001</v>
      </c>
    </row>
    <row r="2073" spans="1:6">
      <c r="A2073" s="14"/>
      <c r="B2073" s="15" t="s">
        <v>134</v>
      </c>
      <c r="C2073" s="18"/>
      <c r="D2073" s="181">
        <f t="shared" si="85"/>
        <v>7.2</v>
      </c>
      <c r="E2073" s="42">
        <v>3</v>
      </c>
      <c r="F2073" s="218">
        <f t="shared" si="84"/>
        <v>21.6</v>
      </c>
    </row>
    <row r="2074" spans="1:6">
      <c r="A2074" s="14"/>
      <c r="B2074" s="15" t="s">
        <v>347</v>
      </c>
      <c r="C2074" s="56"/>
      <c r="D2074" s="176">
        <f>0.5*1.6</f>
        <v>0.8</v>
      </c>
      <c r="E2074" s="42">
        <v>5</v>
      </c>
      <c r="F2074" s="218">
        <f t="shared" si="84"/>
        <v>4</v>
      </c>
    </row>
    <row r="2075" spans="1:6">
      <c r="A2075" s="14"/>
      <c r="B2075" s="356" t="s">
        <v>14</v>
      </c>
      <c r="C2075" s="356"/>
      <c r="D2075" s="356"/>
      <c r="E2075" s="356"/>
      <c r="F2075" s="222">
        <f>F2073-F2074</f>
        <v>17.600000000000001</v>
      </c>
    </row>
    <row r="2076" spans="1:6">
      <c r="A2076" s="14"/>
      <c r="B2076" s="15" t="s">
        <v>135</v>
      </c>
      <c r="C2076" s="18"/>
      <c r="D2076" s="181">
        <f t="shared" si="85"/>
        <v>7.2</v>
      </c>
      <c r="E2076" s="42">
        <v>3</v>
      </c>
      <c r="F2076" s="218">
        <f t="shared" si="84"/>
        <v>21.6</v>
      </c>
    </row>
    <row r="2077" spans="1:6">
      <c r="A2077" s="14"/>
      <c r="B2077" s="15" t="s">
        <v>347</v>
      </c>
      <c r="C2077" s="56"/>
      <c r="D2077" s="176">
        <f>0.5*1.6</f>
        <v>0.8</v>
      </c>
      <c r="E2077" s="42">
        <v>5</v>
      </c>
      <c r="F2077" s="218">
        <f t="shared" si="84"/>
        <v>4</v>
      </c>
    </row>
    <row r="2078" spans="1:6">
      <c r="A2078" s="14"/>
      <c r="B2078" s="356" t="s">
        <v>14</v>
      </c>
      <c r="C2078" s="356"/>
      <c r="D2078" s="356"/>
      <c r="E2078" s="356"/>
      <c r="F2078" s="222">
        <f>F2076-F2077</f>
        <v>17.600000000000001</v>
      </c>
    </row>
    <row r="2079" spans="1:6">
      <c r="A2079" s="14"/>
      <c r="B2079" s="15" t="s">
        <v>136</v>
      </c>
      <c r="C2079" s="56"/>
      <c r="D2079" s="181">
        <f t="shared" si="85"/>
        <v>7.2</v>
      </c>
      <c r="E2079" s="42">
        <v>3</v>
      </c>
      <c r="F2079" s="218">
        <f t="shared" si="84"/>
        <v>21.6</v>
      </c>
    </row>
    <row r="2080" spans="1:6">
      <c r="A2080" s="14"/>
      <c r="B2080" s="15" t="s">
        <v>347</v>
      </c>
      <c r="C2080" s="56"/>
      <c r="D2080" s="176">
        <f>0.5*1.6</f>
        <v>0.8</v>
      </c>
      <c r="E2080" s="42">
        <v>5</v>
      </c>
      <c r="F2080" s="218">
        <f t="shared" si="84"/>
        <v>4</v>
      </c>
    </row>
    <row r="2081" spans="1:6">
      <c r="A2081" s="14"/>
      <c r="B2081" s="356" t="s">
        <v>14</v>
      </c>
      <c r="C2081" s="356"/>
      <c r="D2081" s="356"/>
      <c r="E2081" s="356"/>
      <c r="F2081" s="222">
        <f>F2079-F2080</f>
        <v>17.600000000000001</v>
      </c>
    </row>
    <row r="2082" spans="1:6">
      <c r="A2082" s="14"/>
      <c r="B2082" s="15" t="s">
        <v>137</v>
      </c>
      <c r="C2082" s="17"/>
      <c r="D2082" s="181">
        <f t="shared" si="85"/>
        <v>7.2</v>
      </c>
      <c r="E2082" s="42">
        <v>3</v>
      </c>
      <c r="F2082" s="218">
        <f t="shared" si="84"/>
        <v>21.6</v>
      </c>
    </row>
    <row r="2083" spans="1:6">
      <c r="A2083" s="14"/>
      <c r="B2083" s="15" t="s">
        <v>347</v>
      </c>
      <c r="C2083" s="56"/>
      <c r="D2083" s="176">
        <f>0.5*1.6</f>
        <v>0.8</v>
      </c>
      <c r="E2083" s="42">
        <v>5</v>
      </c>
      <c r="F2083" s="218">
        <f t="shared" si="84"/>
        <v>4</v>
      </c>
    </row>
    <row r="2084" spans="1:6">
      <c r="A2084" s="14"/>
      <c r="B2084" s="356" t="s">
        <v>14</v>
      </c>
      <c r="C2084" s="356"/>
      <c r="D2084" s="356"/>
      <c r="E2084" s="356"/>
      <c r="F2084" s="222">
        <f>F2082-F2083</f>
        <v>17.600000000000001</v>
      </c>
    </row>
    <row r="2085" spans="1:6">
      <c r="A2085" s="14"/>
      <c r="B2085" s="15" t="s">
        <v>138</v>
      </c>
      <c r="C2085" s="18"/>
      <c r="D2085" s="181">
        <f t="shared" si="85"/>
        <v>7.2</v>
      </c>
      <c r="E2085" s="42">
        <v>3</v>
      </c>
      <c r="F2085" s="218">
        <f t="shared" si="84"/>
        <v>21.6</v>
      </c>
    </row>
    <row r="2086" spans="1:6">
      <c r="A2086" s="14"/>
      <c r="B2086" s="15" t="s">
        <v>347</v>
      </c>
      <c r="C2086" s="56"/>
      <c r="D2086" s="176">
        <f>0.5*1.6</f>
        <v>0.8</v>
      </c>
      <c r="E2086" s="42">
        <v>5</v>
      </c>
      <c r="F2086" s="218">
        <f t="shared" si="84"/>
        <v>4</v>
      </c>
    </row>
    <row r="2087" spans="1:6">
      <c r="A2087" s="14"/>
      <c r="B2087" s="356" t="s">
        <v>14</v>
      </c>
      <c r="C2087" s="356"/>
      <c r="D2087" s="356"/>
      <c r="E2087" s="356"/>
      <c r="F2087" s="222">
        <f>F2085-F2086</f>
        <v>17.600000000000001</v>
      </c>
    </row>
    <row r="2088" spans="1:6">
      <c r="A2088" s="14"/>
      <c r="B2088" s="15" t="s">
        <v>139</v>
      </c>
      <c r="C2088" s="18"/>
      <c r="D2088" s="181">
        <f t="shared" si="85"/>
        <v>7.2</v>
      </c>
      <c r="E2088" s="42">
        <v>3</v>
      </c>
      <c r="F2088" s="218">
        <f t="shared" si="84"/>
        <v>21.6</v>
      </c>
    </row>
    <row r="2089" spans="1:6">
      <c r="A2089" s="14"/>
      <c r="B2089" s="15" t="s">
        <v>347</v>
      </c>
      <c r="C2089" s="56"/>
      <c r="D2089" s="176">
        <f>0.5*1.6</f>
        <v>0.8</v>
      </c>
      <c r="E2089" s="42">
        <v>5</v>
      </c>
      <c r="F2089" s="218">
        <f t="shared" si="84"/>
        <v>4</v>
      </c>
    </row>
    <row r="2090" spans="1:6">
      <c r="A2090" s="14"/>
      <c r="B2090" s="356" t="s">
        <v>14</v>
      </c>
      <c r="C2090" s="356"/>
      <c r="D2090" s="356"/>
      <c r="E2090" s="356"/>
      <c r="F2090" s="222">
        <f>F2088-F2089</f>
        <v>17.600000000000001</v>
      </c>
    </row>
    <row r="2091" spans="1:6">
      <c r="A2091" s="14"/>
      <c r="B2091" s="15" t="s">
        <v>123</v>
      </c>
      <c r="C2091" s="18"/>
      <c r="D2091" s="181">
        <f t="shared" si="85"/>
        <v>7.2</v>
      </c>
      <c r="E2091" s="42">
        <v>3</v>
      </c>
      <c r="F2091" s="218">
        <f t="shared" si="84"/>
        <v>21.6</v>
      </c>
    </row>
    <row r="2092" spans="1:6">
      <c r="A2092" s="14"/>
      <c r="B2092" s="15" t="s">
        <v>347</v>
      </c>
      <c r="C2092" s="56"/>
      <c r="D2092" s="176">
        <f>0.5*1.6</f>
        <v>0.8</v>
      </c>
      <c r="E2092" s="42">
        <v>5</v>
      </c>
      <c r="F2092" s="218">
        <f t="shared" si="84"/>
        <v>4</v>
      </c>
    </row>
    <row r="2093" spans="1:6">
      <c r="A2093" s="14"/>
      <c r="B2093" s="356" t="s">
        <v>14</v>
      </c>
      <c r="C2093" s="356"/>
      <c r="D2093" s="356"/>
      <c r="E2093" s="356"/>
      <c r="F2093" s="222">
        <f>F2091-F2092</f>
        <v>17.600000000000001</v>
      </c>
    </row>
    <row r="2094" spans="1:6">
      <c r="A2094" s="198"/>
      <c r="B2094" s="374" t="s">
        <v>812</v>
      </c>
      <c r="C2094" s="374"/>
      <c r="D2094" s="374"/>
      <c r="E2094" s="374"/>
      <c r="F2094" s="216">
        <v>390.38</v>
      </c>
    </row>
    <row r="2095" spans="1:6">
      <c r="A2095" s="198"/>
      <c r="B2095" s="374" t="s">
        <v>813</v>
      </c>
      <c r="C2095" s="374"/>
      <c r="D2095" s="374"/>
      <c r="E2095" s="374"/>
      <c r="F2095" s="216">
        <v>677.58</v>
      </c>
    </row>
    <row r="2096" spans="1:6">
      <c r="A2096" s="14"/>
      <c r="B2096" s="132" t="s">
        <v>220</v>
      </c>
      <c r="C2096" s="35" t="s">
        <v>16</v>
      </c>
      <c r="D2096" s="29" t="s">
        <v>96</v>
      </c>
      <c r="E2096" s="181" t="s">
        <v>95</v>
      </c>
      <c r="F2096" s="238" t="s">
        <v>8</v>
      </c>
    </row>
    <row r="2097" spans="1:6">
      <c r="A2097" s="220"/>
      <c r="B2097" s="358" t="s">
        <v>814</v>
      </c>
      <c r="C2097" s="359"/>
      <c r="D2097" s="359"/>
      <c r="E2097" s="359"/>
      <c r="F2097" s="360"/>
    </row>
    <row r="2098" spans="1:6">
      <c r="A2098" s="201"/>
      <c r="B2098" s="15" t="s">
        <v>815</v>
      </c>
      <c r="C2098" s="101"/>
      <c r="D2098" s="39">
        <f>(2*(0.9*2.5))</f>
        <v>4.5</v>
      </c>
      <c r="E2098" s="42">
        <v>1</v>
      </c>
      <c r="F2098" s="241">
        <f t="shared" ref="F2098:F2114" si="86">E2098*D2098</f>
        <v>4.5</v>
      </c>
    </row>
    <row r="2099" spans="1:6">
      <c r="A2099" s="201"/>
      <c r="B2099" s="15" t="s">
        <v>816</v>
      </c>
      <c r="C2099" s="101"/>
      <c r="D2099" s="39">
        <f>(2*(2.25*2.5))</f>
        <v>11.25</v>
      </c>
      <c r="E2099" s="42">
        <v>1</v>
      </c>
      <c r="F2099" s="241">
        <f t="shared" si="86"/>
        <v>11.25</v>
      </c>
    </row>
    <row r="2100" spans="1:6">
      <c r="A2100" s="201"/>
      <c r="B2100" s="15" t="s">
        <v>817</v>
      </c>
      <c r="C2100" s="101"/>
      <c r="D2100" s="39">
        <f>(2*(2.25*2.5))</f>
        <v>11.25</v>
      </c>
      <c r="E2100" s="42">
        <v>1</v>
      </c>
      <c r="F2100" s="241">
        <f t="shared" si="86"/>
        <v>11.25</v>
      </c>
    </row>
    <row r="2101" spans="1:6">
      <c r="A2101" s="201"/>
      <c r="B2101" s="15" t="s">
        <v>818</v>
      </c>
      <c r="C2101" s="101"/>
      <c r="D2101" s="39">
        <f t="shared" ref="D2101:D2109" si="87">(2*(0.9*2.5))</f>
        <v>4.5</v>
      </c>
      <c r="E2101" s="42">
        <v>1</v>
      </c>
      <c r="F2101" s="241">
        <f t="shared" si="86"/>
        <v>4.5</v>
      </c>
    </row>
    <row r="2102" spans="1:6">
      <c r="A2102" s="201"/>
      <c r="B2102" s="15" t="s">
        <v>819</v>
      </c>
      <c r="C2102" s="101"/>
      <c r="D2102" s="39">
        <f t="shared" si="87"/>
        <v>4.5</v>
      </c>
      <c r="E2102" s="42">
        <v>1</v>
      </c>
      <c r="F2102" s="241">
        <f t="shared" si="86"/>
        <v>4.5</v>
      </c>
    </row>
    <row r="2103" spans="1:6">
      <c r="A2103" s="201"/>
      <c r="B2103" s="15" t="s">
        <v>820</v>
      </c>
      <c r="C2103" s="101"/>
      <c r="D2103" s="39">
        <f t="shared" si="87"/>
        <v>4.5</v>
      </c>
      <c r="E2103" s="42">
        <v>1</v>
      </c>
      <c r="F2103" s="241">
        <f t="shared" si="86"/>
        <v>4.5</v>
      </c>
    </row>
    <row r="2104" spans="1:6">
      <c r="A2104" s="201"/>
      <c r="B2104" s="15" t="s">
        <v>821</v>
      </c>
      <c r="C2104" s="101"/>
      <c r="D2104" s="39">
        <f t="shared" si="87"/>
        <v>4.5</v>
      </c>
      <c r="E2104" s="42">
        <v>1</v>
      </c>
      <c r="F2104" s="241">
        <f t="shared" si="86"/>
        <v>4.5</v>
      </c>
    </row>
    <row r="2105" spans="1:6">
      <c r="A2105" s="201"/>
      <c r="B2105" s="15" t="s">
        <v>822</v>
      </c>
      <c r="C2105" s="101"/>
      <c r="D2105" s="39">
        <f t="shared" si="87"/>
        <v>4.5</v>
      </c>
      <c r="E2105" s="42">
        <v>1</v>
      </c>
      <c r="F2105" s="241">
        <f t="shared" si="86"/>
        <v>4.5</v>
      </c>
    </row>
    <row r="2106" spans="1:6">
      <c r="A2106" s="201"/>
      <c r="B2106" s="15" t="s">
        <v>823</v>
      </c>
      <c r="C2106" s="101"/>
      <c r="D2106" s="39">
        <f t="shared" si="87"/>
        <v>4.5</v>
      </c>
      <c r="E2106" s="42">
        <v>1</v>
      </c>
      <c r="F2106" s="241">
        <f t="shared" si="86"/>
        <v>4.5</v>
      </c>
    </row>
    <row r="2107" spans="1:6">
      <c r="A2107" s="201"/>
      <c r="B2107" s="15" t="s">
        <v>824</v>
      </c>
      <c r="C2107" s="101"/>
      <c r="D2107" s="39">
        <f t="shared" si="87"/>
        <v>4.5</v>
      </c>
      <c r="E2107" s="42">
        <v>1</v>
      </c>
      <c r="F2107" s="241">
        <f t="shared" si="86"/>
        <v>4.5</v>
      </c>
    </row>
    <row r="2108" spans="1:6">
      <c r="A2108" s="201"/>
      <c r="B2108" s="15" t="s">
        <v>825</v>
      </c>
      <c r="C2108" s="101"/>
      <c r="D2108" s="39">
        <f t="shared" si="87"/>
        <v>4.5</v>
      </c>
      <c r="E2108" s="42">
        <v>1</v>
      </c>
      <c r="F2108" s="241">
        <f t="shared" si="86"/>
        <v>4.5</v>
      </c>
    </row>
    <row r="2109" spans="1:6">
      <c r="A2109" s="201"/>
      <c r="B2109" s="15" t="s">
        <v>826</v>
      </c>
      <c r="C2109" s="101"/>
      <c r="D2109" s="39">
        <f t="shared" si="87"/>
        <v>4.5</v>
      </c>
      <c r="E2109" s="42">
        <v>1</v>
      </c>
      <c r="F2109" s="241">
        <f t="shared" si="86"/>
        <v>4.5</v>
      </c>
    </row>
    <row r="2110" spans="1:6">
      <c r="A2110" s="201"/>
      <c r="B2110" s="15" t="s">
        <v>827</v>
      </c>
      <c r="C2110" s="101"/>
      <c r="D2110" s="39">
        <f>2*(0.7*2.5)</f>
        <v>3.5</v>
      </c>
      <c r="E2110" s="42">
        <v>1</v>
      </c>
      <c r="F2110" s="241">
        <f t="shared" si="86"/>
        <v>3.5</v>
      </c>
    </row>
    <row r="2111" spans="1:6">
      <c r="A2111" s="201"/>
      <c r="B2111" s="15" t="s">
        <v>828</v>
      </c>
      <c r="C2111" s="101"/>
      <c r="D2111" s="39">
        <f>2*(0.7*2.5)</f>
        <v>3.5</v>
      </c>
      <c r="E2111" s="42">
        <v>1</v>
      </c>
      <c r="F2111" s="241">
        <f t="shared" si="86"/>
        <v>3.5</v>
      </c>
    </row>
    <row r="2112" spans="1:6" s="30" customFormat="1">
      <c r="A2112" s="223"/>
      <c r="B2112" s="32" t="s">
        <v>833</v>
      </c>
      <c r="C2112" s="131"/>
      <c r="D2112" s="35">
        <f>2*(0.9*2.5)</f>
        <v>4.5</v>
      </c>
      <c r="E2112" s="63">
        <v>1</v>
      </c>
      <c r="F2112" s="241">
        <f t="shared" si="86"/>
        <v>4.5</v>
      </c>
    </row>
    <row r="2113" spans="1:6">
      <c r="A2113" s="201"/>
      <c r="B2113" s="15" t="s">
        <v>829</v>
      </c>
      <c r="C2113" s="101"/>
      <c r="D2113" s="39">
        <f>2*(0.7*2.5)</f>
        <v>3.5</v>
      </c>
      <c r="E2113" s="42">
        <v>1</v>
      </c>
      <c r="F2113" s="241">
        <f t="shared" si="86"/>
        <v>3.5</v>
      </c>
    </row>
    <row r="2114" spans="1:6">
      <c r="A2114" s="201"/>
      <c r="B2114" s="15" t="s">
        <v>827</v>
      </c>
      <c r="C2114" s="101"/>
      <c r="D2114" s="39">
        <f>2*(0.7*2.5)</f>
        <v>3.5</v>
      </c>
      <c r="E2114" s="42">
        <v>1</v>
      </c>
      <c r="F2114" s="241">
        <f t="shared" si="86"/>
        <v>3.5</v>
      </c>
    </row>
    <row r="2115" spans="1:6">
      <c r="A2115" s="201"/>
      <c r="B2115" s="15" t="s">
        <v>832</v>
      </c>
      <c r="C2115" s="101"/>
      <c r="D2115" s="39">
        <f>2*(0.9*2.5)</f>
        <v>4.5</v>
      </c>
      <c r="E2115" s="42">
        <v>1</v>
      </c>
      <c r="F2115" s="241">
        <f>E2115*D2115</f>
        <v>4.5</v>
      </c>
    </row>
    <row r="2116" spans="1:6">
      <c r="A2116" s="201"/>
      <c r="B2116" s="15" t="s">
        <v>830</v>
      </c>
      <c r="C2116" s="101"/>
      <c r="D2116" s="39">
        <f>2*(0.7*2.5)</f>
        <v>3.5</v>
      </c>
      <c r="E2116" s="42">
        <v>1</v>
      </c>
      <c r="F2116" s="241">
        <f>E2116*D2116</f>
        <v>3.5</v>
      </c>
    </row>
    <row r="2117" spans="1:6">
      <c r="A2117" s="201"/>
      <c r="B2117" s="15" t="s">
        <v>831</v>
      </c>
      <c r="C2117" s="101"/>
      <c r="D2117" s="39">
        <f>2*(0.7*2.5)</f>
        <v>3.5</v>
      </c>
      <c r="E2117" s="42">
        <v>1</v>
      </c>
      <c r="F2117" s="241">
        <f>E2117*D2117</f>
        <v>3.5</v>
      </c>
    </row>
    <row r="2118" spans="1:6">
      <c r="A2118" s="201"/>
      <c r="B2118" s="356" t="s">
        <v>14</v>
      </c>
      <c r="C2118" s="356"/>
      <c r="D2118" s="356"/>
      <c r="E2118" s="356"/>
      <c r="F2118" s="222">
        <f>SUM(F2098:F2117)</f>
        <v>97.5</v>
      </c>
    </row>
    <row r="2119" spans="1:6">
      <c r="A2119" s="220"/>
      <c r="B2119" s="358" t="s">
        <v>834</v>
      </c>
      <c r="C2119" s="359"/>
      <c r="D2119" s="359"/>
      <c r="E2119" s="359"/>
      <c r="F2119" s="360"/>
    </row>
    <row r="2120" spans="1:6">
      <c r="A2120" s="201"/>
      <c r="B2120" s="15" t="s">
        <v>835</v>
      </c>
      <c r="C2120" s="35"/>
      <c r="D2120" s="39">
        <f>(2*(2.25*2.5))</f>
        <v>11.25</v>
      </c>
      <c r="E2120" s="42">
        <v>1</v>
      </c>
      <c r="F2120" s="241">
        <f>E2120*D2120</f>
        <v>11.25</v>
      </c>
    </row>
    <row r="2121" spans="1:6">
      <c r="A2121" s="201"/>
      <c r="B2121" s="15" t="s">
        <v>836</v>
      </c>
      <c r="C2121" s="35"/>
      <c r="D2121" s="39">
        <f>(2*(0.9*2.5))</f>
        <v>4.5</v>
      </c>
      <c r="E2121" s="42">
        <v>1</v>
      </c>
      <c r="F2121" s="241">
        <f>E2121*D2121</f>
        <v>4.5</v>
      </c>
    </row>
    <row r="2122" spans="1:6">
      <c r="A2122" s="201"/>
      <c r="B2122" s="15" t="s">
        <v>837</v>
      </c>
      <c r="C2122" s="35"/>
      <c r="D2122" s="39">
        <f>(2*(3*2.5))</f>
        <v>15</v>
      </c>
      <c r="E2122" s="42">
        <v>1</v>
      </c>
      <c r="F2122" s="241">
        <f>E2122*D2122</f>
        <v>15</v>
      </c>
    </row>
    <row r="2123" spans="1:6">
      <c r="A2123" s="201"/>
      <c r="B2123" s="15" t="s">
        <v>838</v>
      </c>
      <c r="C2123" s="35"/>
      <c r="D2123" s="39">
        <f>(2*(0.9*2.5))</f>
        <v>4.5</v>
      </c>
      <c r="E2123" s="42">
        <v>2</v>
      </c>
      <c r="F2123" s="241">
        <f t="shared" ref="F2123:F2146" si="88">E2123*D2123</f>
        <v>9</v>
      </c>
    </row>
    <row r="2124" spans="1:6">
      <c r="A2124" s="201"/>
      <c r="B2124" s="15" t="s">
        <v>839</v>
      </c>
      <c r="C2124" s="17"/>
      <c r="D2124" s="39">
        <f>2*(0.7*2.5)</f>
        <v>3.5</v>
      </c>
      <c r="E2124" s="42">
        <v>1</v>
      </c>
      <c r="F2124" s="241">
        <f t="shared" si="88"/>
        <v>3.5</v>
      </c>
    </row>
    <row r="2125" spans="1:6">
      <c r="A2125" s="201"/>
      <c r="B2125" s="15" t="s">
        <v>840</v>
      </c>
      <c r="C2125" s="17"/>
      <c r="D2125" s="39">
        <f>2*(0.7*2.5)</f>
        <v>3.5</v>
      </c>
      <c r="E2125" s="42">
        <v>1</v>
      </c>
      <c r="F2125" s="241">
        <f t="shared" si="88"/>
        <v>3.5</v>
      </c>
    </row>
    <row r="2126" spans="1:6">
      <c r="A2126" s="201"/>
      <c r="B2126" s="15" t="s">
        <v>841</v>
      </c>
      <c r="C2126" s="29"/>
      <c r="D2126" s="39">
        <f>2*(0.9*2.5)</f>
        <v>4.5</v>
      </c>
      <c r="E2126" s="42">
        <v>2</v>
      </c>
      <c r="F2126" s="241">
        <f t="shared" si="88"/>
        <v>9</v>
      </c>
    </row>
    <row r="2127" spans="1:6">
      <c r="A2127" s="201"/>
      <c r="B2127" s="15" t="s">
        <v>842</v>
      </c>
      <c r="C2127" s="17"/>
      <c r="D2127" s="39">
        <f>(2*(0.9*2.5))</f>
        <v>4.5</v>
      </c>
      <c r="E2127" s="42">
        <v>1</v>
      </c>
      <c r="F2127" s="241">
        <f t="shared" si="88"/>
        <v>4.5</v>
      </c>
    </row>
    <row r="2128" spans="1:6">
      <c r="A2128" s="201"/>
      <c r="B2128" s="15" t="s">
        <v>843</v>
      </c>
      <c r="C2128" s="17"/>
      <c r="D2128" s="39">
        <f>(2*(0.9*2.5))</f>
        <v>4.5</v>
      </c>
      <c r="E2128" s="42">
        <v>1</v>
      </c>
      <c r="F2128" s="241">
        <f t="shared" si="88"/>
        <v>4.5</v>
      </c>
    </row>
    <row r="2129" spans="1:6">
      <c r="A2129" s="201"/>
      <c r="B2129" s="15" t="s">
        <v>844</v>
      </c>
      <c r="C2129" s="17"/>
      <c r="D2129" s="39">
        <f>(2*(0.9*2.5))</f>
        <v>4.5</v>
      </c>
      <c r="E2129" s="42">
        <v>1</v>
      </c>
      <c r="F2129" s="241">
        <f t="shared" si="88"/>
        <v>4.5</v>
      </c>
    </row>
    <row r="2130" spans="1:6">
      <c r="A2130" s="201"/>
      <c r="B2130" s="15" t="s">
        <v>845</v>
      </c>
      <c r="C2130" s="135"/>
      <c r="D2130" s="39">
        <f>(2*(0.9*2.5))</f>
        <v>4.5</v>
      </c>
      <c r="E2130" s="42">
        <v>1</v>
      </c>
      <c r="F2130" s="241">
        <f t="shared" si="88"/>
        <v>4.5</v>
      </c>
    </row>
    <row r="2131" spans="1:6">
      <c r="A2131" s="201"/>
      <c r="B2131" s="15" t="s">
        <v>846</v>
      </c>
      <c r="C2131" s="101"/>
      <c r="D2131" s="39">
        <f>(2*(0.9*2.5))</f>
        <v>4.5</v>
      </c>
      <c r="E2131" s="42">
        <v>1</v>
      </c>
      <c r="F2131" s="241">
        <f t="shared" si="88"/>
        <v>4.5</v>
      </c>
    </row>
    <row r="2132" spans="1:6">
      <c r="A2132" s="201"/>
      <c r="B2132" s="100" t="s">
        <v>847</v>
      </c>
      <c r="C2132" s="101"/>
      <c r="D2132" s="39">
        <f>(2*(2.25*2.5))</f>
        <v>11.25</v>
      </c>
      <c r="E2132" s="42">
        <v>1</v>
      </c>
      <c r="F2132" s="241">
        <f t="shared" si="88"/>
        <v>11.25</v>
      </c>
    </row>
    <row r="2133" spans="1:6">
      <c r="A2133" s="201"/>
      <c r="B2133" s="100" t="s">
        <v>848</v>
      </c>
      <c r="C2133" s="101"/>
      <c r="D2133" s="39">
        <f>(2*(2.25*2.5))</f>
        <v>11.25</v>
      </c>
      <c r="E2133" s="42">
        <v>1</v>
      </c>
      <c r="F2133" s="241">
        <f t="shared" si="88"/>
        <v>11.25</v>
      </c>
    </row>
    <row r="2134" spans="1:6">
      <c r="A2134" s="201"/>
      <c r="B2134" s="100" t="s">
        <v>849</v>
      </c>
      <c r="C2134" s="101"/>
      <c r="D2134" s="39">
        <f>(2*(0.9*2.5))</f>
        <v>4.5</v>
      </c>
      <c r="E2134" s="42">
        <v>1</v>
      </c>
      <c r="F2134" s="241">
        <f t="shared" si="88"/>
        <v>4.5</v>
      </c>
    </row>
    <row r="2135" spans="1:6">
      <c r="A2135" s="201"/>
      <c r="B2135" s="100" t="s">
        <v>850</v>
      </c>
      <c r="C2135" s="101"/>
      <c r="D2135" s="39">
        <f>(2*(0.9*2.5))</f>
        <v>4.5</v>
      </c>
      <c r="E2135" s="42">
        <v>1</v>
      </c>
      <c r="F2135" s="241">
        <f t="shared" si="88"/>
        <v>4.5</v>
      </c>
    </row>
    <row r="2136" spans="1:6">
      <c r="A2136" s="201"/>
      <c r="B2136" s="15" t="s">
        <v>851</v>
      </c>
      <c r="C2136" s="101"/>
      <c r="D2136" s="39">
        <f>(2*(1*2.5))</f>
        <v>5</v>
      </c>
      <c r="E2136" s="42">
        <v>1</v>
      </c>
      <c r="F2136" s="241">
        <f t="shared" si="88"/>
        <v>5</v>
      </c>
    </row>
    <row r="2137" spans="1:6">
      <c r="A2137" s="201"/>
      <c r="B2137" s="15" t="s">
        <v>852</v>
      </c>
      <c r="C2137" s="101"/>
      <c r="D2137" s="39">
        <f>(2*(2.25*2.5))</f>
        <v>11.25</v>
      </c>
      <c r="E2137" s="42">
        <v>1</v>
      </c>
      <c r="F2137" s="241">
        <f t="shared" si="88"/>
        <v>11.25</v>
      </c>
    </row>
    <row r="2138" spans="1:6">
      <c r="A2138" s="201"/>
      <c r="B2138" s="15" t="s">
        <v>853</v>
      </c>
      <c r="C2138" s="101"/>
      <c r="D2138" s="39">
        <f>(2*(0.9*2.5))</f>
        <v>4.5</v>
      </c>
      <c r="E2138" s="42">
        <v>1</v>
      </c>
      <c r="F2138" s="241">
        <f t="shared" si="88"/>
        <v>4.5</v>
      </c>
    </row>
    <row r="2139" spans="1:6">
      <c r="A2139" s="201"/>
      <c r="B2139" s="15" t="s">
        <v>859</v>
      </c>
      <c r="C2139" s="101"/>
      <c r="D2139" s="39">
        <f>2*(0.7*2.5)</f>
        <v>3.5</v>
      </c>
      <c r="E2139" s="42">
        <v>1</v>
      </c>
      <c r="F2139" s="241">
        <f t="shared" si="88"/>
        <v>3.5</v>
      </c>
    </row>
    <row r="2140" spans="1:6">
      <c r="A2140" s="201"/>
      <c r="B2140" s="15" t="s">
        <v>859</v>
      </c>
      <c r="C2140" s="101"/>
      <c r="D2140" s="39">
        <f>2*(0.7*2.5)</f>
        <v>3.5</v>
      </c>
      <c r="E2140" s="42">
        <v>1</v>
      </c>
      <c r="F2140" s="241">
        <f t="shared" si="88"/>
        <v>3.5</v>
      </c>
    </row>
    <row r="2141" spans="1:6">
      <c r="A2141" s="201"/>
      <c r="B2141" s="15" t="s">
        <v>854</v>
      </c>
      <c r="C2141" s="101"/>
      <c r="D2141" s="39">
        <f>(2*(0.9*2.5))</f>
        <v>4.5</v>
      </c>
      <c r="E2141" s="42">
        <v>2</v>
      </c>
      <c r="F2141" s="241">
        <f t="shared" si="88"/>
        <v>9</v>
      </c>
    </row>
    <row r="2142" spans="1:6">
      <c r="A2142" s="201"/>
      <c r="B2142" s="15" t="s">
        <v>855</v>
      </c>
      <c r="C2142" s="101"/>
      <c r="D2142" s="39">
        <f>2*(0.7*2.5)</f>
        <v>3.5</v>
      </c>
      <c r="E2142" s="42">
        <v>1</v>
      </c>
      <c r="F2142" s="241">
        <f t="shared" si="88"/>
        <v>3.5</v>
      </c>
    </row>
    <row r="2143" spans="1:6">
      <c r="A2143" s="201"/>
      <c r="B2143" s="15" t="s">
        <v>856</v>
      </c>
      <c r="C2143" s="101"/>
      <c r="D2143" s="39">
        <f>2*(0.7*2.5)</f>
        <v>3.5</v>
      </c>
      <c r="E2143" s="42">
        <v>1</v>
      </c>
      <c r="F2143" s="241">
        <f t="shared" si="88"/>
        <v>3.5</v>
      </c>
    </row>
    <row r="2144" spans="1:6">
      <c r="A2144" s="201"/>
      <c r="B2144" s="32" t="s">
        <v>857</v>
      </c>
      <c r="C2144" s="101"/>
      <c r="D2144" s="39">
        <f>(2*(2.25*2.5))</f>
        <v>11.25</v>
      </c>
      <c r="E2144" s="42">
        <v>1</v>
      </c>
      <c r="F2144" s="241">
        <f t="shared" si="88"/>
        <v>11.25</v>
      </c>
    </row>
    <row r="2145" spans="1:6">
      <c r="A2145" s="201"/>
      <c r="B2145" s="32" t="s">
        <v>963</v>
      </c>
      <c r="C2145" s="101"/>
      <c r="D2145" s="39">
        <f>(2*(2.25*2.5))</f>
        <v>11.25</v>
      </c>
      <c r="E2145" s="42">
        <v>1</v>
      </c>
      <c r="F2145" s="241">
        <f t="shared" ref="F2145" si="89">E2145*D2145</f>
        <v>11.25</v>
      </c>
    </row>
    <row r="2146" spans="1:6">
      <c r="A2146" s="201"/>
      <c r="B2146" s="32" t="s">
        <v>858</v>
      </c>
      <c r="C2146" s="101"/>
      <c r="D2146" s="39">
        <f>(2*(2.25*2.5))</f>
        <v>11.25</v>
      </c>
      <c r="E2146" s="42">
        <v>1</v>
      </c>
      <c r="F2146" s="241">
        <f t="shared" si="88"/>
        <v>11.25</v>
      </c>
    </row>
    <row r="2147" spans="1:6">
      <c r="A2147" s="201"/>
      <c r="B2147" s="356" t="s">
        <v>14</v>
      </c>
      <c r="C2147" s="356"/>
      <c r="D2147" s="356"/>
      <c r="E2147" s="356"/>
      <c r="F2147" s="222">
        <f>SUM(F2120:F2146)</f>
        <v>187.25</v>
      </c>
    </row>
    <row r="2148" spans="1:6">
      <c r="A2148" s="220"/>
      <c r="B2148" s="358" t="s">
        <v>860</v>
      </c>
      <c r="C2148" s="359"/>
      <c r="D2148" s="359"/>
      <c r="E2148" s="359"/>
      <c r="F2148" s="360"/>
    </row>
    <row r="2149" spans="1:6">
      <c r="A2149" s="14"/>
      <c r="B2149" s="87" t="s">
        <v>238</v>
      </c>
      <c r="C2149" s="35" t="s">
        <v>16</v>
      </c>
      <c r="D2149" s="29" t="s">
        <v>96</v>
      </c>
      <c r="E2149" s="181" t="s">
        <v>95</v>
      </c>
      <c r="F2149" s="241" t="s">
        <v>8</v>
      </c>
    </row>
    <row r="2150" spans="1:6">
      <c r="A2150" s="14"/>
      <c r="B2150" s="87" t="s">
        <v>223</v>
      </c>
      <c r="C2150" s="35"/>
      <c r="D2150" s="39">
        <f>(2*(1.2*2.5))</f>
        <v>6</v>
      </c>
      <c r="E2150" s="42">
        <v>1</v>
      </c>
      <c r="F2150" s="241">
        <f>E2150*D2150</f>
        <v>6</v>
      </c>
    </row>
    <row r="2151" spans="1:6">
      <c r="A2151" s="14"/>
      <c r="B2151" s="87" t="s">
        <v>224</v>
      </c>
      <c r="C2151" s="35"/>
      <c r="D2151" s="39">
        <f>(2*(1.2*2.5))</f>
        <v>6</v>
      </c>
      <c r="E2151" s="42">
        <v>1</v>
      </c>
      <c r="F2151" s="241">
        <f t="shared" ref="F2151:F2193" si="90">E2151*D2151</f>
        <v>6</v>
      </c>
    </row>
    <row r="2152" spans="1:6">
      <c r="A2152" s="14"/>
      <c r="B2152" s="19" t="s">
        <v>225</v>
      </c>
      <c r="C2152" s="17"/>
      <c r="D2152" s="39">
        <f>2*(0.9*2.5)</f>
        <v>4.5</v>
      </c>
      <c r="E2152" s="42">
        <v>1</v>
      </c>
      <c r="F2152" s="241">
        <f t="shared" si="90"/>
        <v>4.5</v>
      </c>
    </row>
    <row r="2153" spans="1:6">
      <c r="A2153" s="14"/>
      <c r="B2153" s="19" t="s">
        <v>226</v>
      </c>
      <c r="C2153" s="17"/>
      <c r="D2153" s="39">
        <f t="shared" ref="D2153:D2155" si="91">2*(0.9*2.5)</f>
        <v>4.5</v>
      </c>
      <c r="E2153" s="42">
        <v>1</v>
      </c>
      <c r="F2153" s="241">
        <f t="shared" si="90"/>
        <v>4.5</v>
      </c>
    </row>
    <row r="2154" spans="1:6">
      <c r="A2154" s="14"/>
      <c r="B2154" s="37" t="s">
        <v>227</v>
      </c>
      <c r="C2154" s="29"/>
      <c r="D2154" s="39">
        <f t="shared" si="91"/>
        <v>4.5</v>
      </c>
      <c r="E2154" s="42">
        <v>2</v>
      </c>
      <c r="F2154" s="241">
        <f t="shared" si="90"/>
        <v>9</v>
      </c>
    </row>
    <row r="2155" spans="1:6">
      <c r="A2155" s="14"/>
      <c r="B2155" s="19" t="s">
        <v>228</v>
      </c>
      <c r="C2155" s="17"/>
      <c r="D2155" s="39">
        <f t="shared" si="91"/>
        <v>4.5</v>
      </c>
      <c r="E2155" s="42">
        <v>1</v>
      </c>
      <c r="F2155" s="241">
        <f t="shared" si="90"/>
        <v>4.5</v>
      </c>
    </row>
    <row r="2156" spans="1:6">
      <c r="A2156" s="14"/>
      <c r="B2156" s="19" t="s">
        <v>378</v>
      </c>
      <c r="C2156" s="17"/>
      <c r="D2156" s="39">
        <f>2*1*2.5</f>
        <v>5</v>
      </c>
      <c r="E2156" s="42">
        <v>1</v>
      </c>
      <c r="F2156" s="241">
        <f t="shared" si="90"/>
        <v>5</v>
      </c>
    </row>
    <row r="2157" spans="1:6">
      <c r="A2157" s="14"/>
      <c r="B2157" s="19" t="s">
        <v>222</v>
      </c>
      <c r="C2157" s="17"/>
      <c r="D2157" s="39">
        <f>2*(0.9*2.1)</f>
        <v>3.7800000000000002</v>
      </c>
      <c r="E2157" s="42">
        <v>1</v>
      </c>
      <c r="F2157" s="241">
        <f t="shared" si="90"/>
        <v>3.7800000000000002</v>
      </c>
    </row>
    <row r="2158" spans="1:6">
      <c r="A2158" s="14"/>
      <c r="B2158" s="19" t="s">
        <v>915</v>
      </c>
      <c r="C2158" s="17"/>
      <c r="D2158" s="39">
        <f>(2*(2.35*1))</f>
        <v>4.7</v>
      </c>
      <c r="E2158" s="42">
        <v>1</v>
      </c>
      <c r="F2158" s="241">
        <f t="shared" ref="F2158" si="92">E2158*D2158</f>
        <v>4.7</v>
      </c>
    </row>
    <row r="2159" spans="1:6">
      <c r="A2159" s="14"/>
      <c r="B2159" s="356" t="s">
        <v>14</v>
      </c>
      <c r="C2159" s="356"/>
      <c r="D2159" s="356"/>
      <c r="E2159" s="356"/>
      <c r="F2159" s="222">
        <f>SUM(F2150:F2158)</f>
        <v>47.980000000000004</v>
      </c>
    </row>
    <row r="2160" spans="1:6">
      <c r="A2160" s="14"/>
      <c r="B2160" s="19" t="s">
        <v>389</v>
      </c>
      <c r="C2160" s="17"/>
      <c r="D2160" s="39">
        <f>2*2.25*2.5</f>
        <v>11.25</v>
      </c>
      <c r="E2160" s="42">
        <v>1</v>
      </c>
      <c r="F2160" s="241">
        <f t="shared" ref="F2160:F2161" si="93">E2160*D2160</f>
        <v>11.25</v>
      </c>
    </row>
    <row r="2161" spans="1:6">
      <c r="A2161" s="14"/>
      <c r="B2161" s="15" t="s">
        <v>388</v>
      </c>
      <c r="C2161" s="56"/>
      <c r="D2161" s="176">
        <f>1.8*1.2</f>
        <v>2.16</v>
      </c>
      <c r="E2161" s="42">
        <v>1</v>
      </c>
      <c r="F2161" s="218">
        <f t="shared" si="93"/>
        <v>2.16</v>
      </c>
    </row>
    <row r="2162" spans="1:6">
      <c r="A2162" s="14"/>
      <c r="B2162" s="356" t="s">
        <v>14</v>
      </c>
      <c r="C2162" s="356"/>
      <c r="D2162" s="356"/>
      <c r="E2162" s="356"/>
      <c r="F2162" s="222">
        <f>F2160-F2161</f>
        <v>9.09</v>
      </c>
    </row>
    <row r="2163" spans="1:6">
      <c r="A2163" s="14"/>
      <c r="B2163" s="19" t="s">
        <v>229</v>
      </c>
      <c r="C2163" s="17"/>
      <c r="D2163" s="39">
        <f>2*(0.9*2.5)</f>
        <v>4.5</v>
      </c>
      <c r="E2163" s="42">
        <v>1</v>
      </c>
      <c r="F2163" s="241">
        <f t="shared" si="90"/>
        <v>4.5</v>
      </c>
    </row>
    <row r="2164" spans="1:6">
      <c r="A2164" s="14"/>
      <c r="B2164" s="15" t="s">
        <v>379</v>
      </c>
      <c r="C2164" s="56"/>
      <c r="D2164" s="176">
        <f>0.7*1.2</f>
        <v>0.84</v>
      </c>
      <c r="E2164" s="42">
        <v>1</v>
      </c>
      <c r="F2164" s="218">
        <f t="shared" si="90"/>
        <v>0.84</v>
      </c>
    </row>
    <row r="2165" spans="1:6">
      <c r="A2165" s="14"/>
      <c r="B2165" s="356" t="s">
        <v>14</v>
      </c>
      <c r="C2165" s="356"/>
      <c r="D2165" s="356"/>
      <c r="E2165" s="356"/>
      <c r="F2165" s="222">
        <f>F2163-F2164</f>
        <v>3.66</v>
      </c>
    </row>
    <row r="2166" spans="1:6">
      <c r="A2166" s="14"/>
      <c r="B2166" s="19" t="s">
        <v>230</v>
      </c>
      <c r="C2166" s="17"/>
      <c r="D2166" s="39">
        <f>2*(0.9*2.5)</f>
        <v>4.5</v>
      </c>
      <c r="E2166" s="42">
        <v>1</v>
      </c>
      <c r="F2166" s="241">
        <f t="shared" si="90"/>
        <v>4.5</v>
      </c>
    </row>
    <row r="2167" spans="1:6">
      <c r="A2167" s="14"/>
      <c r="B2167" s="15" t="s">
        <v>379</v>
      </c>
      <c r="C2167" s="56"/>
      <c r="D2167" s="176">
        <f>0.7*1.2</f>
        <v>0.84</v>
      </c>
      <c r="E2167" s="42">
        <v>1</v>
      </c>
      <c r="F2167" s="218">
        <f>E2167*D2167</f>
        <v>0.84</v>
      </c>
    </row>
    <row r="2168" spans="1:6">
      <c r="A2168" s="14"/>
      <c r="B2168" s="356" t="s">
        <v>14</v>
      </c>
      <c r="C2168" s="356"/>
      <c r="D2168" s="356"/>
      <c r="E2168" s="356"/>
      <c r="F2168" s="222">
        <f>F2166-F2167</f>
        <v>3.66</v>
      </c>
    </row>
    <row r="2169" spans="1:6">
      <c r="A2169" s="14"/>
      <c r="B2169" s="19" t="s">
        <v>231</v>
      </c>
      <c r="C2169" s="56"/>
      <c r="D2169" s="39">
        <f>2*(0.9*2.5)</f>
        <v>4.5</v>
      </c>
      <c r="E2169" s="42">
        <v>1</v>
      </c>
      <c r="F2169" s="241">
        <f t="shared" si="90"/>
        <v>4.5</v>
      </c>
    </row>
    <row r="2170" spans="1:6">
      <c r="A2170" s="14"/>
      <c r="B2170" s="15" t="s">
        <v>379</v>
      </c>
      <c r="C2170" s="56"/>
      <c r="D2170" s="176">
        <f>0.7*1.2</f>
        <v>0.84</v>
      </c>
      <c r="E2170" s="42">
        <v>1</v>
      </c>
      <c r="F2170" s="218">
        <f t="shared" si="90"/>
        <v>0.84</v>
      </c>
    </row>
    <row r="2171" spans="1:6">
      <c r="A2171" s="14"/>
      <c r="B2171" s="356" t="s">
        <v>14</v>
      </c>
      <c r="C2171" s="356"/>
      <c r="D2171" s="356"/>
      <c r="E2171" s="356"/>
      <c r="F2171" s="222">
        <f>F2169-F2170</f>
        <v>3.66</v>
      </c>
    </row>
    <row r="2172" spans="1:6">
      <c r="A2172" s="14"/>
      <c r="B2172" s="19" t="s">
        <v>232</v>
      </c>
      <c r="C2172" s="22"/>
      <c r="D2172" s="39">
        <f>2*(0.9*2.5)</f>
        <v>4.5</v>
      </c>
      <c r="E2172" s="42">
        <v>1</v>
      </c>
      <c r="F2172" s="241">
        <f t="shared" si="90"/>
        <v>4.5</v>
      </c>
    </row>
    <row r="2173" spans="1:6">
      <c r="A2173" s="14"/>
      <c r="B2173" s="15" t="s">
        <v>379</v>
      </c>
      <c r="C2173" s="56"/>
      <c r="D2173" s="176">
        <f>0.7*1.2</f>
        <v>0.84</v>
      </c>
      <c r="E2173" s="42">
        <v>1</v>
      </c>
      <c r="F2173" s="218">
        <f t="shared" si="90"/>
        <v>0.84</v>
      </c>
    </row>
    <row r="2174" spans="1:6">
      <c r="A2174" s="14"/>
      <c r="B2174" s="356" t="s">
        <v>14</v>
      </c>
      <c r="C2174" s="356"/>
      <c r="D2174" s="356"/>
      <c r="E2174" s="356"/>
      <c r="F2174" s="222">
        <f>F2172-F2173</f>
        <v>3.66</v>
      </c>
    </row>
    <row r="2175" spans="1:6">
      <c r="A2175" s="14"/>
      <c r="B2175" s="19" t="s">
        <v>233</v>
      </c>
      <c r="C2175" s="22"/>
      <c r="D2175" s="39">
        <f>2*(0.9*2.5)</f>
        <v>4.5</v>
      </c>
      <c r="E2175" s="42">
        <v>1</v>
      </c>
      <c r="F2175" s="241">
        <f t="shared" si="90"/>
        <v>4.5</v>
      </c>
    </row>
    <row r="2176" spans="1:6">
      <c r="A2176" s="14"/>
      <c r="B2176" s="15" t="s">
        <v>379</v>
      </c>
      <c r="C2176" s="56"/>
      <c r="D2176" s="176">
        <f>0.7*1.2</f>
        <v>0.84</v>
      </c>
      <c r="E2176" s="42">
        <v>1</v>
      </c>
      <c r="F2176" s="218">
        <f t="shared" si="90"/>
        <v>0.84</v>
      </c>
    </row>
    <row r="2177" spans="1:6">
      <c r="A2177" s="14"/>
      <c r="B2177" s="356" t="s">
        <v>14</v>
      </c>
      <c r="C2177" s="356"/>
      <c r="D2177" s="356"/>
      <c r="E2177" s="356"/>
      <c r="F2177" s="222">
        <f>F2175-F2176</f>
        <v>3.66</v>
      </c>
    </row>
    <row r="2178" spans="1:6">
      <c r="A2178" s="14"/>
      <c r="B2178" s="19" t="s">
        <v>222</v>
      </c>
      <c r="C2178" s="17"/>
      <c r="D2178" s="39">
        <f>2*(0.9*2.5)</f>
        <v>4.5</v>
      </c>
      <c r="E2178" s="42">
        <v>1</v>
      </c>
      <c r="F2178" s="241">
        <f t="shared" si="90"/>
        <v>4.5</v>
      </c>
    </row>
    <row r="2179" spans="1:6">
      <c r="A2179" s="14"/>
      <c r="B2179" s="19" t="s">
        <v>390</v>
      </c>
      <c r="C2179" s="17"/>
      <c r="D2179" s="39">
        <f>0.9</f>
        <v>0.9</v>
      </c>
      <c r="E2179" s="42">
        <v>2.15</v>
      </c>
      <c r="F2179" s="241">
        <f t="shared" si="90"/>
        <v>1.9350000000000001</v>
      </c>
    </row>
    <row r="2180" spans="1:6">
      <c r="A2180" s="14"/>
      <c r="B2180" s="15" t="s">
        <v>379</v>
      </c>
      <c r="C2180" s="56"/>
      <c r="D2180" s="176">
        <f>0.5*1.6</f>
        <v>0.8</v>
      </c>
      <c r="E2180" s="42">
        <v>1</v>
      </c>
      <c r="F2180" s="218">
        <f t="shared" si="90"/>
        <v>0.8</v>
      </c>
    </row>
    <row r="2181" spans="1:6">
      <c r="A2181" s="14"/>
      <c r="B2181" s="15" t="s">
        <v>421</v>
      </c>
      <c r="C2181" s="56"/>
      <c r="D2181" s="176">
        <v>0.9</v>
      </c>
      <c r="E2181" s="42">
        <v>2.1</v>
      </c>
      <c r="F2181" s="218">
        <f t="shared" si="90"/>
        <v>1.8900000000000001</v>
      </c>
    </row>
    <row r="2182" spans="1:6">
      <c r="A2182" s="14"/>
      <c r="B2182" s="356" t="s">
        <v>14</v>
      </c>
      <c r="C2182" s="356"/>
      <c r="D2182" s="356"/>
      <c r="E2182" s="356"/>
      <c r="F2182" s="222">
        <f>F2178-F2180+F2179+F2181</f>
        <v>7.5250000000000004</v>
      </c>
    </row>
    <row r="2183" spans="1:6">
      <c r="A2183" s="14"/>
      <c r="B2183" s="19" t="s">
        <v>234</v>
      </c>
      <c r="C2183" s="17"/>
      <c r="D2183" s="39">
        <f>2*(0.9*2.5)</f>
        <v>4.5</v>
      </c>
      <c r="E2183" s="42">
        <v>1</v>
      </c>
      <c r="F2183" s="241">
        <f t="shared" si="90"/>
        <v>4.5</v>
      </c>
    </row>
    <row r="2184" spans="1:6">
      <c r="A2184" s="14"/>
      <c r="B2184" s="15" t="s">
        <v>379</v>
      </c>
      <c r="C2184" s="56"/>
      <c r="D2184" s="176">
        <f>0.7*1.2</f>
        <v>0.84</v>
      </c>
      <c r="E2184" s="42">
        <v>1</v>
      </c>
      <c r="F2184" s="218">
        <f t="shared" si="90"/>
        <v>0.84</v>
      </c>
    </row>
    <row r="2185" spans="1:6">
      <c r="A2185" s="14"/>
      <c r="B2185" s="356" t="s">
        <v>14</v>
      </c>
      <c r="C2185" s="356"/>
      <c r="D2185" s="356"/>
      <c r="E2185" s="356"/>
      <c r="F2185" s="222">
        <f>F2183-F2184</f>
        <v>3.66</v>
      </c>
    </row>
    <row r="2186" spans="1:6">
      <c r="A2186" s="14"/>
      <c r="B2186" s="19" t="s">
        <v>236</v>
      </c>
      <c r="C2186" s="56" t="s">
        <v>235</v>
      </c>
      <c r="D2186" s="39">
        <f>2*(0.9*2.5)</f>
        <v>4.5</v>
      </c>
      <c r="E2186" s="42">
        <v>1</v>
      </c>
      <c r="F2186" s="241">
        <f t="shared" si="90"/>
        <v>4.5</v>
      </c>
    </row>
    <row r="2187" spans="1:6">
      <c r="A2187" s="14"/>
      <c r="B2187" s="15" t="s">
        <v>379</v>
      </c>
      <c r="C2187" s="56"/>
      <c r="D2187" s="176">
        <f>0.7*1.2</f>
        <v>0.84</v>
      </c>
      <c r="E2187" s="42">
        <v>1</v>
      </c>
      <c r="F2187" s="218">
        <f t="shared" si="90"/>
        <v>0.84</v>
      </c>
    </row>
    <row r="2188" spans="1:6">
      <c r="A2188" s="14"/>
      <c r="B2188" s="356" t="s">
        <v>14</v>
      </c>
      <c r="C2188" s="356"/>
      <c r="D2188" s="356"/>
      <c r="E2188" s="356"/>
      <c r="F2188" s="222">
        <f>F2186-F2187</f>
        <v>3.66</v>
      </c>
    </row>
    <row r="2189" spans="1:6">
      <c r="A2189" s="14"/>
      <c r="B2189" s="19" t="s">
        <v>237</v>
      </c>
      <c r="C2189" s="22"/>
      <c r="D2189" s="39">
        <f>2*(0.9*2.5)</f>
        <v>4.5</v>
      </c>
      <c r="E2189" s="42">
        <v>1</v>
      </c>
      <c r="F2189" s="241">
        <f t="shared" si="90"/>
        <v>4.5</v>
      </c>
    </row>
    <row r="2190" spans="1:6">
      <c r="A2190" s="14"/>
      <c r="B2190" s="15" t="s">
        <v>379</v>
      </c>
      <c r="C2190" s="56"/>
      <c r="D2190" s="176">
        <f>0.7*1.2</f>
        <v>0.84</v>
      </c>
      <c r="E2190" s="42">
        <v>1</v>
      </c>
      <c r="F2190" s="218">
        <f t="shared" si="90"/>
        <v>0.84</v>
      </c>
    </row>
    <row r="2191" spans="1:6">
      <c r="A2191" s="14"/>
      <c r="B2191" s="356" t="s">
        <v>14</v>
      </c>
      <c r="C2191" s="356"/>
      <c r="D2191" s="356"/>
      <c r="E2191" s="356"/>
      <c r="F2191" s="222">
        <f>F2189-F2190</f>
        <v>3.66</v>
      </c>
    </row>
    <row r="2192" spans="1:6">
      <c r="A2192" s="14"/>
      <c r="B2192" s="19" t="s">
        <v>240</v>
      </c>
      <c r="C2192" s="22"/>
      <c r="D2192" s="39">
        <f>2*(0.9*2.5)</f>
        <v>4.5</v>
      </c>
      <c r="E2192" s="42">
        <v>1</v>
      </c>
      <c r="F2192" s="241">
        <f t="shared" si="90"/>
        <v>4.5</v>
      </c>
    </row>
    <row r="2193" spans="1:6">
      <c r="A2193" s="14"/>
      <c r="B2193" s="15" t="s">
        <v>379</v>
      </c>
      <c r="C2193" s="56"/>
      <c r="D2193" s="176">
        <f>0.7*1.2</f>
        <v>0.84</v>
      </c>
      <c r="E2193" s="42">
        <v>1</v>
      </c>
      <c r="F2193" s="218">
        <f t="shared" si="90"/>
        <v>0.84</v>
      </c>
    </row>
    <row r="2194" spans="1:6">
      <c r="A2194" s="14"/>
      <c r="B2194" s="356" t="s">
        <v>14</v>
      </c>
      <c r="C2194" s="356"/>
      <c r="D2194" s="356"/>
      <c r="E2194" s="356"/>
      <c r="F2194" s="222">
        <f>F2192-F2193</f>
        <v>3.66</v>
      </c>
    </row>
    <row r="2195" spans="1:6">
      <c r="A2195" s="14"/>
      <c r="B2195" s="19" t="s">
        <v>239</v>
      </c>
      <c r="C2195" s="35" t="s">
        <v>16</v>
      </c>
      <c r="D2195" s="29" t="s">
        <v>96</v>
      </c>
      <c r="E2195" s="181" t="s">
        <v>95</v>
      </c>
      <c r="F2195" s="241" t="s">
        <v>8</v>
      </c>
    </row>
    <row r="2196" spans="1:6">
      <c r="A2196" s="14"/>
      <c r="B2196" s="19" t="s">
        <v>98</v>
      </c>
      <c r="C2196" s="35"/>
      <c r="D2196" s="39">
        <f>2*(0.9*2.5)</f>
        <v>4.5</v>
      </c>
      <c r="E2196" s="181">
        <v>1</v>
      </c>
      <c r="F2196" s="241">
        <f t="shared" ref="F2196:F2239" si="94">E2196*D2196</f>
        <v>4.5</v>
      </c>
    </row>
    <row r="2197" spans="1:6">
      <c r="A2197" s="14"/>
      <c r="B2197" s="15" t="s">
        <v>379</v>
      </c>
      <c r="C2197" s="56"/>
      <c r="D2197" s="176">
        <f>0.7*1.2</f>
        <v>0.84</v>
      </c>
      <c r="E2197" s="42">
        <v>1</v>
      </c>
      <c r="F2197" s="218">
        <f t="shared" si="94"/>
        <v>0.84</v>
      </c>
    </row>
    <row r="2198" spans="1:6">
      <c r="A2198" s="14"/>
      <c r="B2198" s="356" t="s">
        <v>14</v>
      </c>
      <c r="C2198" s="356"/>
      <c r="D2198" s="356"/>
      <c r="E2198" s="356"/>
      <c r="F2198" s="222">
        <f>F2196-F2197</f>
        <v>3.66</v>
      </c>
    </row>
    <row r="2199" spans="1:6">
      <c r="A2199" s="14"/>
      <c r="B2199" s="15" t="s">
        <v>97</v>
      </c>
      <c r="C2199" s="35"/>
      <c r="D2199" s="39">
        <f>2*(0.9*2.5)</f>
        <v>4.5</v>
      </c>
      <c r="E2199" s="42">
        <v>1</v>
      </c>
      <c r="F2199" s="241">
        <f t="shared" si="94"/>
        <v>4.5</v>
      </c>
    </row>
    <row r="2200" spans="1:6">
      <c r="A2200" s="14"/>
      <c r="B2200" s="15" t="s">
        <v>379</v>
      </c>
      <c r="C2200" s="56"/>
      <c r="D2200" s="176">
        <f>0.7*1.2</f>
        <v>0.84</v>
      </c>
      <c r="E2200" s="42">
        <v>1</v>
      </c>
      <c r="F2200" s="218">
        <f t="shared" si="94"/>
        <v>0.84</v>
      </c>
    </row>
    <row r="2201" spans="1:6">
      <c r="A2201" s="14"/>
      <c r="B2201" s="356" t="s">
        <v>14</v>
      </c>
      <c r="C2201" s="356"/>
      <c r="D2201" s="356"/>
      <c r="E2201" s="356"/>
      <c r="F2201" s="222">
        <f>F2199-F2200</f>
        <v>3.66</v>
      </c>
    </row>
    <row r="2202" spans="1:6">
      <c r="A2202" s="14"/>
      <c r="B2202" s="15" t="s">
        <v>118</v>
      </c>
      <c r="C2202" s="17"/>
      <c r="D2202" s="39">
        <f>2*(0.9*2.5)</f>
        <v>4.5</v>
      </c>
      <c r="E2202" s="42">
        <v>1</v>
      </c>
      <c r="F2202" s="241">
        <f t="shared" si="94"/>
        <v>4.5</v>
      </c>
    </row>
    <row r="2203" spans="1:6">
      <c r="A2203" s="14"/>
      <c r="B2203" s="15" t="s">
        <v>379</v>
      </c>
      <c r="C2203" s="56"/>
      <c r="D2203" s="176">
        <f>0.7*1.2</f>
        <v>0.84</v>
      </c>
      <c r="E2203" s="42">
        <v>1</v>
      </c>
      <c r="F2203" s="218">
        <f t="shared" si="94"/>
        <v>0.84</v>
      </c>
    </row>
    <row r="2204" spans="1:6">
      <c r="A2204" s="14"/>
      <c r="B2204" s="356" t="s">
        <v>14</v>
      </c>
      <c r="C2204" s="356"/>
      <c r="D2204" s="356"/>
      <c r="E2204" s="356"/>
      <c r="F2204" s="222">
        <f>F2202-F2203</f>
        <v>3.66</v>
      </c>
    </row>
    <row r="2205" spans="1:6">
      <c r="A2205" s="14"/>
      <c r="B2205" s="15" t="s">
        <v>119</v>
      </c>
      <c r="C2205" s="17"/>
      <c r="D2205" s="39">
        <f>2*(0.9*2.5)</f>
        <v>4.5</v>
      </c>
      <c r="E2205" s="42">
        <v>1</v>
      </c>
      <c r="F2205" s="241">
        <f t="shared" si="94"/>
        <v>4.5</v>
      </c>
    </row>
    <row r="2206" spans="1:6">
      <c r="A2206" s="14"/>
      <c r="B2206" s="15" t="s">
        <v>379</v>
      </c>
      <c r="C2206" s="56"/>
      <c r="D2206" s="176">
        <f>0.7*1.2</f>
        <v>0.84</v>
      </c>
      <c r="E2206" s="42">
        <v>1</v>
      </c>
      <c r="F2206" s="218">
        <f t="shared" si="94"/>
        <v>0.84</v>
      </c>
    </row>
    <row r="2207" spans="1:6">
      <c r="A2207" s="14"/>
      <c r="B2207" s="356" t="s">
        <v>14</v>
      </c>
      <c r="C2207" s="356"/>
      <c r="D2207" s="356"/>
      <c r="E2207" s="356"/>
      <c r="F2207" s="222">
        <f>F2205-F2206</f>
        <v>3.66</v>
      </c>
    </row>
    <row r="2208" spans="1:6">
      <c r="A2208" s="14"/>
      <c r="B2208" s="15" t="s">
        <v>120</v>
      </c>
      <c r="C2208" s="56"/>
      <c r="D2208" s="39">
        <f>2*(0.9*2.5)</f>
        <v>4.5</v>
      </c>
      <c r="E2208" s="42">
        <v>1</v>
      </c>
      <c r="F2208" s="241">
        <f t="shared" si="94"/>
        <v>4.5</v>
      </c>
    </row>
    <row r="2209" spans="1:6">
      <c r="A2209" s="14"/>
      <c r="B2209" s="15" t="s">
        <v>379</v>
      </c>
      <c r="C2209" s="56"/>
      <c r="D2209" s="176">
        <f>0.7*1.2</f>
        <v>0.84</v>
      </c>
      <c r="E2209" s="42">
        <v>1</v>
      </c>
      <c r="F2209" s="218">
        <f t="shared" si="94"/>
        <v>0.84</v>
      </c>
    </row>
    <row r="2210" spans="1:6">
      <c r="A2210" s="14"/>
      <c r="B2210" s="356" t="s">
        <v>14</v>
      </c>
      <c r="C2210" s="356"/>
      <c r="D2210" s="356"/>
      <c r="E2210" s="356"/>
      <c r="F2210" s="222">
        <f>F2208-F2209</f>
        <v>3.66</v>
      </c>
    </row>
    <row r="2211" spans="1:6">
      <c r="A2211" s="14"/>
      <c r="B2211" s="15" t="s">
        <v>121</v>
      </c>
      <c r="C2211" s="22"/>
      <c r="D2211" s="39">
        <f>2*(0.9*2.5)</f>
        <v>4.5</v>
      </c>
      <c r="E2211" s="42">
        <v>1</v>
      </c>
      <c r="F2211" s="241">
        <f t="shared" si="94"/>
        <v>4.5</v>
      </c>
    </row>
    <row r="2212" spans="1:6">
      <c r="A2212" s="14"/>
      <c r="B2212" s="15" t="s">
        <v>379</v>
      </c>
      <c r="C2212" s="56"/>
      <c r="D2212" s="176">
        <f>0.7*1.2</f>
        <v>0.84</v>
      </c>
      <c r="E2212" s="42">
        <v>1</v>
      </c>
      <c r="F2212" s="218">
        <f t="shared" si="94"/>
        <v>0.84</v>
      </c>
    </row>
    <row r="2213" spans="1:6">
      <c r="A2213" s="14"/>
      <c r="B2213" s="356" t="s">
        <v>14</v>
      </c>
      <c r="C2213" s="356"/>
      <c r="D2213" s="356"/>
      <c r="E2213" s="356"/>
      <c r="F2213" s="222">
        <f>F2211-F2212</f>
        <v>3.66</v>
      </c>
    </row>
    <row r="2214" spans="1:6">
      <c r="A2214" s="14"/>
      <c r="B2214" s="15" t="s">
        <v>122</v>
      </c>
      <c r="C2214" s="22"/>
      <c r="D2214" s="39">
        <f>2*(0.9*2.5)</f>
        <v>4.5</v>
      </c>
      <c r="E2214" s="42">
        <v>1</v>
      </c>
      <c r="F2214" s="241">
        <f t="shared" si="94"/>
        <v>4.5</v>
      </c>
    </row>
    <row r="2215" spans="1:6">
      <c r="A2215" s="14"/>
      <c r="B2215" s="15" t="s">
        <v>379</v>
      </c>
      <c r="C2215" s="56"/>
      <c r="D2215" s="176">
        <f>0.7*1.2</f>
        <v>0.84</v>
      </c>
      <c r="E2215" s="42">
        <v>1</v>
      </c>
      <c r="F2215" s="218">
        <f t="shared" si="94"/>
        <v>0.84</v>
      </c>
    </row>
    <row r="2216" spans="1:6">
      <c r="A2216" s="14"/>
      <c r="B2216" s="356" t="s">
        <v>14</v>
      </c>
      <c r="C2216" s="356"/>
      <c r="D2216" s="356"/>
      <c r="E2216" s="356"/>
      <c r="F2216" s="222">
        <f>F2214-F2215</f>
        <v>3.66</v>
      </c>
    </row>
    <row r="2217" spans="1:6">
      <c r="A2217" s="14"/>
      <c r="B2217" s="15" t="s">
        <v>134</v>
      </c>
      <c r="C2217" s="17"/>
      <c r="D2217" s="39">
        <f>2*(0.9*2.5)</f>
        <v>4.5</v>
      </c>
      <c r="E2217" s="42">
        <v>1</v>
      </c>
      <c r="F2217" s="241">
        <f t="shared" si="94"/>
        <v>4.5</v>
      </c>
    </row>
    <row r="2218" spans="1:6">
      <c r="A2218" s="14"/>
      <c r="B2218" s="15" t="s">
        <v>379</v>
      </c>
      <c r="C2218" s="56"/>
      <c r="D2218" s="176">
        <f>0.7*1.2</f>
        <v>0.84</v>
      </c>
      <c r="E2218" s="42">
        <v>1</v>
      </c>
      <c r="F2218" s="218">
        <f t="shared" si="94"/>
        <v>0.84</v>
      </c>
    </row>
    <row r="2219" spans="1:6">
      <c r="A2219" s="14"/>
      <c r="B2219" s="356" t="s">
        <v>14</v>
      </c>
      <c r="C2219" s="356"/>
      <c r="D2219" s="356"/>
      <c r="E2219" s="356"/>
      <c r="F2219" s="222">
        <f>F2217-F2218</f>
        <v>3.66</v>
      </c>
    </row>
    <row r="2220" spans="1:6">
      <c r="A2220" s="14"/>
      <c r="B2220" s="15" t="s">
        <v>135</v>
      </c>
      <c r="C2220" s="17"/>
      <c r="D2220" s="39">
        <f>2*(0.9*2.5)</f>
        <v>4.5</v>
      </c>
      <c r="E2220" s="42">
        <v>1</v>
      </c>
      <c r="F2220" s="241">
        <f t="shared" si="94"/>
        <v>4.5</v>
      </c>
    </row>
    <row r="2221" spans="1:6">
      <c r="A2221" s="14"/>
      <c r="B2221" s="15" t="s">
        <v>379</v>
      </c>
      <c r="C2221" s="56"/>
      <c r="D2221" s="176">
        <f>0.7*1.2</f>
        <v>0.84</v>
      </c>
      <c r="E2221" s="42">
        <v>1</v>
      </c>
      <c r="F2221" s="218">
        <f t="shared" si="94"/>
        <v>0.84</v>
      </c>
    </row>
    <row r="2222" spans="1:6">
      <c r="A2222" s="14"/>
      <c r="B2222" s="356" t="s">
        <v>14</v>
      </c>
      <c r="C2222" s="356"/>
      <c r="D2222" s="356"/>
      <c r="E2222" s="356"/>
      <c r="F2222" s="222">
        <f>F2220-F2221</f>
        <v>3.66</v>
      </c>
    </row>
    <row r="2223" spans="1:6">
      <c r="A2223" s="14"/>
      <c r="B2223" s="15" t="s">
        <v>136</v>
      </c>
      <c r="C2223" s="56"/>
      <c r="D2223" s="39">
        <f>2*(0.9*2.5)</f>
        <v>4.5</v>
      </c>
      <c r="E2223" s="42">
        <v>1</v>
      </c>
      <c r="F2223" s="241">
        <f t="shared" si="94"/>
        <v>4.5</v>
      </c>
    </row>
    <row r="2224" spans="1:6">
      <c r="A2224" s="14"/>
      <c r="B2224" s="15" t="s">
        <v>379</v>
      </c>
      <c r="C2224" s="56"/>
      <c r="D2224" s="176">
        <f>0.7*1.2</f>
        <v>0.84</v>
      </c>
      <c r="E2224" s="42">
        <v>1</v>
      </c>
      <c r="F2224" s="218">
        <f t="shared" si="94"/>
        <v>0.84</v>
      </c>
    </row>
    <row r="2225" spans="1:6">
      <c r="A2225" s="14"/>
      <c r="B2225" s="356" t="s">
        <v>14</v>
      </c>
      <c r="C2225" s="356"/>
      <c r="D2225" s="356"/>
      <c r="E2225" s="356"/>
      <c r="F2225" s="222">
        <f>F2223-F2224</f>
        <v>3.66</v>
      </c>
    </row>
    <row r="2226" spans="1:6">
      <c r="A2226" s="14"/>
      <c r="B2226" s="15" t="s">
        <v>137</v>
      </c>
      <c r="C2226" s="22"/>
      <c r="D2226" s="39">
        <f>2*(0.9*2.5)</f>
        <v>4.5</v>
      </c>
      <c r="E2226" s="42">
        <v>1</v>
      </c>
      <c r="F2226" s="241">
        <f t="shared" si="94"/>
        <v>4.5</v>
      </c>
    </row>
    <row r="2227" spans="1:6">
      <c r="A2227" s="14"/>
      <c r="B2227" s="15" t="s">
        <v>379</v>
      </c>
      <c r="C2227" s="56"/>
      <c r="D2227" s="176">
        <f>0.7*1.2</f>
        <v>0.84</v>
      </c>
      <c r="E2227" s="42">
        <v>1</v>
      </c>
      <c r="F2227" s="218">
        <f t="shared" si="94"/>
        <v>0.84</v>
      </c>
    </row>
    <row r="2228" spans="1:6">
      <c r="A2228" s="14"/>
      <c r="B2228" s="356" t="s">
        <v>14</v>
      </c>
      <c r="C2228" s="356"/>
      <c r="D2228" s="356"/>
      <c r="E2228" s="356"/>
      <c r="F2228" s="222">
        <f>F2226-F2227</f>
        <v>3.66</v>
      </c>
    </row>
    <row r="2229" spans="1:6">
      <c r="A2229" s="14"/>
      <c r="B2229" s="15" t="s">
        <v>138</v>
      </c>
      <c r="C2229" s="22"/>
      <c r="D2229" s="39">
        <f>2*(0.9*2.5)</f>
        <v>4.5</v>
      </c>
      <c r="E2229" s="42">
        <v>1</v>
      </c>
      <c r="F2229" s="241">
        <f t="shared" si="94"/>
        <v>4.5</v>
      </c>
    </row>
    <row r="2230" spans="1:6">
      <c r="A2230" s="14"/>
      <c r="B2230" s="15" t="s">
        <v>379</v>
      </c>
      <c r="C2230" s="56"/>
      <c r="D2230" s="176">
        <f>0.7*1.2</f>
        <v>0.84</v>
      </c>
      <c r="E2230" s="42">
        <v>1</v>
      </c>
      <c r="F2230" s="218">
        <f t="shared" si="94"/>
        <v>0.84</v>
      </c>
    </row>
    <row r="2231" spans="1:6">
      <c r="A2231" s="14"/>
      <c r="B2231" s="356" t="s">
        <v>14</v>
      </c>
      <c r="C2231" s="356"/>
      <c r="D2231" s="356"/>
      <c r="E2231" s="356"/>
      <c r="F2231" s="222">
        <f>F2229-F2230</f>
        <v>3.66</v>
      </c>
    </row>
    <row r="2232" spans="1:6">
      <c r="A2232" s="14"/>
      <c r="B2232" s="15" t="s">
        <v>139</v>
      </c>
      <c r="C2232" s="17"/>
      <c r="D2232" s="39">
        <f>2*(0.9*2.5)</f>
        <v>4.5</v>
      </c>
      <c r="E2232" s="42">
        <v>1</v>
      </c>
      <c r="F2232" s="241">
        <f t="shared" si="94"/>
        <v>4.5</v>
      </c>
    </row>
    <row r="2233" spans="1:6">
      <c r="A2233" s="14"/>
      <c r="B2233" s="15" t="s">
        <v>379</v>
      </c>
      <c r="C2233" s="56"/>
      <c r="D2233" s="176">
        <f>0.7*1.2</f>
        <v>0.84</v>
      </c>
      <c r="E2233" s="42">
        <v>1</v>
      </c>
      <c r="F2233" s="218">
        <f t="shared" si="94"/>
        <v>0.84</v>
      </c>
    </row>
    <row r="2234" spans="1:6">
      <c r="A2234" s="14"/>
      <c r="B2234" s="356" t="s">
        <v>14</v>
      </c>
      <c r="C2234" s="356"/>
      <c r="D2234" s="356"/>
      <c r="E2234" s="356"/>
      <c r="F2234" s="222">
        <f>F2232-F2233</f>
        <v>3.66</v>
      </c>
    </row>
    <row r="2235" spans="1:6">
      <c r="A2235" s="14"/>
      <c r="B2235" s="15" t="s">
        <v>123</v>
      </c>
      <c r="C2235" s="17"/>
      <c r="D2235" s="39">
        <f>2*(0.9*2.5)</f>
        <v>4.5</v>
      </c>
      <c r="E2235" s="42">
        <v>1</v>
      </c>
      <c r="F2235" s="241">
        <f t="shared" si="94"/>
        <v>4.5</v>
      </c>
    </row>
    <row r="2236" spans="1:6">
      <c r="A2236" s="14"/>
      <c r="B2236" s="15" t="s">
        <v>379</v>
      </c>
      <c r="C2236" s="56"/>
      <c r="D2236" s="176">
        <f>0.7*1.2</f>
        <v>0.84</v>
      </c>
      <c r="E2236" s="42">
        <v>1</v>
      </c>
      <c r="F2236" s="218">
        <f t="shared" si="94"/>
        <v>0.84</v>
      </c>
    </row>
    <row r="2237" spans="1:6">
      <c r="A2237" s="14"/>
      <c r="B2237" s="356" t="s">
        <v>14</v>
      </c>
      <c r="C2237" s="356"/>
      <c r="D2237" s="356"/>
      <c r="E2237" s="356"/>
      <c r="F2237" s="222">
        <f>F2235-F2236</f>
        <v>3.66</v>
      </c>
    </row>
    <row r="2238" spans="1:6">
      <c r="A2238" s="14"/>
      <c r="B2238" s="15" t="s">
        <v>202</v>
      </c>
      <c r="C2238" s="17"/>
      <c r="D2238" s="39">
        <f>2*(0.9*2.5)</f>
        <v>4.5</v>
      </c>
      <c r="E2238" s="42">
        <v>1</v>
      </c>
      <c r="F2238" s="241">
        <f t="shared" si="94"/>
        <v>4.5</v>
      </c>
    </row>
    <row r="2239" spans="1:6">
      <c r="A2239" s="14"/>
      <c r="B2239" s="15" t="s">
        <v>379</v>
      </c>
      <c r="C2239" s="56"/>
      <c r="D2239" s="176">
        <f>0.7*1.2</f>
        <v>0.84</v>
      </c>
      <c r="E2239" s="42">
        <v>1</v>
      </c>
      <c r="F2239" s="218">
        <f t="shared" si="94"/>
        <v>0.84</v>
      </c>
    </row>
    <row r="2240" spans="1:6">
      <c r="A2240" s="14"/>
      <c r="B2240" s="356" t="s">
        <v>14</v>
      </c>
      <c r="C2240" s="356"/>
      <c r="D2240" s="356"/>
      <c r="E2240" s="356"/>
      <c r="F2240" s="222">
        <f>F2238-F2239</f>
        <v>3.66</v>
      </c>
    </row>
    <row r="2241" spans="1:6">
      <c r="A2241" s="14"/>
      <c r="B2241" s="356" t="s">
        <v>8</v>
      </c>
      <c r="C2241" s="356"/>
      <c r="D2241" s="356"/>
      <c r="E2241" s="356"/>
      <c r="F2241" s="222">
        <v>143.35</v>
      </c>
    </row>
    <row r="2242" spans="1:6">
      <c r="A2242" s="14"/>
      <c r="B2242" s="234" t="s">
        <v>1018</v>
      </c>
      <c r="C2242" s="166"/>
      <c r="D2242" s="166"/>
      <c r="E2242" s="166"/>
      <c r="F2242" s="222"/>
    </row>
    <row r="2243" spans="1:6">
      <c r="A2243" s="14"/>
      <c r="B2243" s="15" t="s">
        <v>1019</v>
      </c>
      <c r="C2243" s="166"/>
      <c r="D2243" s="176">
        <f>0.6*2</f>
        <v>1.2</v>
      </c>
      <c r="E2243" s="42">
        <v>2</v>
      </c>
      <c r="F2243" s="218">
        <f t="shared" ref="F2243" si="95">E2243*D2243</f>
        <v>2.4</v>
      </c>
    </row>
    <row r="2244" spans="1:6">
      <c r="A2244" s="198"/>
      <c r="B2244" s="374" t="s">
        <v>861</v>
      </c>
      <c r="C2244" s="374"/>
      <c r="D2244" s="374"/>
      <c r="E2244" s="374"/>
      <c r="F2244" s="216">
        <v>430.5</v>
      </c>
    </row>
    <row r="2245" spans="1:6">
      <c r="A2245" s="198"/>
      <c r="B2245" s="171"/>
      <c r="C2245" s="171"/>
      <c r="D2245" s="171"/>
      <c r="E2245" s="171"/>
      <c r="F2245" s="216"/>
    </row>
    <row r="2246" spans="1:6">
      <c r="A2246" s="14"/>
      <c r="B2246" s="168" t="s">
        <v>273</v>
      </c>
      <c r="C2246" s="35" t="s">
        <v>16</v>
      </c>
      <c r="D2246" s="29" t="s">
        <v>96</v>
      </c>
      <c r="E2246" s="181" t="s">
        <v>95</v>
      </c>
      <c r="F2246" s="241" t="s">
        <v>8</v>
      </c>
    </row>
    <row r="2247" spans="1:6">
      <c r="A2247" s="14"/>
      <c r="B2247" s="15" t="s">
        <v>274</v>
      </c>
      <c r="C2247" s="18"/>
      <c r="D2247" s="181">
        <f>(2.15*0.6)</f>
        <v>1.2899999999999998</v>
      </c>
      <c r="E2247" s="42">
        <v>123</v>
      </c>
      <c r="F2247" s="218">
        <f>E2247*D2247</f>
        <v>158.66999999999999</v>
      </c>
    </row>
    <row r="2248" spans="1:6">
      <c r="A2248" s="14"/>
      <c r="B2248" s="15" t="s">
        <v>242</v>
      </c>
      <c r="C2248" s="18"/>
      <c r="D2248" s="181">
        <f>(2.15*0.6)</f>
        <v>1.2899999999999998</v>
      </c>
      <c r="E2248" s="42">
        <v>95</v>
      </c>
      <c r="F2248" s="218">
        <f>E2248*D2248</f>
        <v>122.54999999999998</v>
      </c>
    </row>
    <row r="2249" spans="1:6">
      <c r="A2249" s="14"/>
      <c r="B2249" s="356" t="s">
        <v>14</v>
      </c>
      <c r="C2249" s="356"/>
      <c r="D2249" s="356"/>
      <c r="E2249" s="356"/>
      <c r="F2249" s="222">
        <f>SUM(F2247:F2248)</f>
        <v>281.21999999999997</v>
      </c>
    </row>
    <row r="2250" spans="1:6">
      <c r="A2250" s="14"/>
      <c r="B2250" s="136" t="s">
        <v>287</v>
      </c>
      <c r="C2250" s="35" t="s">
        <v>16</v>
      </c>
      <c r="D2250" s="29" t="s">
        <v>96</v>
      </c>
      <c r="E2250" s="181" t="s">
        <v>95</v>
      </c>
      <c r="F2250" s="241" t="s">
        <v>8</v>
      </c>
    </row>
    <row r="2251" spans="1:6">
      <c r="A2251" s="14"/>
      <c r="B2251" s="34" t="s">
        <v>863</v>
      </c>
      <c r="C2251" s="166"/>
      <c r="D2251" s="176">
        <f>(3.2*1.8)*2</f>
        <v>11.520000000000001</v>
      </c>
      <c r="E2251" s="176">
        <v>12</v>
      </c>
      <c r="F2251" s="241">
        <f t="shared" ref="F2251" si="96">E2251*D2251</f>
        <v>138.24</v>
      </c>
    </row>
    <row r="2252" spans="1:6">
      <c r="A2252" s="14"/>
      <c r="B2252" s="34" t="s">
        <v>862</v>
      </c>
      <c r="C2252" s="166"/>
      <c r="D2252" s="176">
        <f>(3.2*1.3)*2</f>
        <v>8.32</v>
      </c>
      <c r="E2252" s="176">
        <v>31</v>
      </c>
      <c r="F2252" s="241">
        <f t="shared" ref="F2252:F2254" si="97">E2252*D2252</f>
        <v>257.92</v>
      </c>
    </row>
    <row r="2253" spans="1:6">
      <c r="A2253" s="14"/>
      <c r="B2253" s="34" t="s">
        <v>864</v>
      </c>
      <c r="C2253" s="166"/>
      <c r="D2253" s="176">
        <f>(3.2*1.8)*2</f>
        <v>11.520000000000001</v>
      </c>
      <c r="E2253" s="176">
        <v>20</v>
      </c>
      <c r="F2253" s="241">
        <f t="shared" si="97"/>
        <v>230.40000000000003</v>
      </c>
    </row>
    <row r="2254" spans="1:6">
      <c r="A2254" s="14"/>
      <c r="B2254" s="34" t="s">
        <v>865</v>
      </c>
      <c r="C2254" s="166"/>
      <c r="D2254" s="176">
        <f>(3.2*1.3)*2</f>
        <v>8.32</v>
      </c>
      <c r="E2254" s="176">
        <v>60</v>
      </c>
      <c r="F2254" s="241">
        <f t="shared" si="97"/>
        <v>499.20000000000005</v>
      </c>
    </row>
    <row r="2255" spans="1:6">
      <c r="A2255" s="14"/>
      <c r="B2255" s="356" t="s">
        <v>14</v>
      </c>
      <c r="C2255" s="356"/>
      <c r="D2255" s="356"/>
      <c r="E2255" s="356"/>
      <c r="F2255" s="222">
        <f>SUM(F2251:F2254)</f>
        <v>1125.7600000000002</v>
      </c>
    </row>
    <row r="2256" spans="1:6">
      <c r="A2256" s="14"/>
      <c r="B2256" s="136" t="s">
        <v>393</v>
      </c>
      <c r="C2256" s="35" t="s">
        <v>16</v>
      </c>
      <c r="D2256" s="29" t="s">
        <v>96</v>
      </c>
      <c r="E2256" s="181" t="s">
        <v>95</v>
      </c>
      <c r="F2256" s="239" t="s">
        <v>8</v>
      </c>
    </row>
    <row r="2257" spans="1:6">
      <c r="A2257" s="14"/>
      <c r="B2257" s="34" t="s">
        <v>394</v>
      </c>
      <c r="C2257" s="166"/>
      <c r="D2257" s="176">
        <f>2*1.5*1.6</f>
        <v>4.8000000000000007</v>
      </c>
      <c r="E2257" s="176">
        <v>6</v>
      </c>
      <c r="F2257" s="241">
        <f t="shared" ref="F2257:F2264" si="98">E2257*D2257</f>
        <v>28.800000000000004</v>
      </c>
    </row>
    <row r="2258" spans="1:6">
      <c r="A2258" s="14"/>
      <c r="B2258" s="34" t="s">
        <v>395</v>
      </c>
      <c r="C2258" s="166"/>
      <c r="D2258" s="176">
        <f>2*2*1.7</f>
        <v>6.8</v>
      </c>
      <c r="E2258" s="176">
        <v>7</v>
      </c>
      <c r="F2258" s="241">
        <f t="shared" si="98"/>
        <v>47.6</v>
      </c>
    </row>
    <row r="2259" spans="1:6">
      <c r="A2259" s="14"/>
      <c r="B2259" s="34" t="s">
        <v>396</v>
      </c>
      <c r="C2259" s="166"/>
      <c r="D2259" s="176">
        <f>2*1.25*1.7</f>
        <v>4.25</v>
      </c>
      <c r="E2259" s="176">
        <v>24</v>
      </c>
      <c r="F2259" s="241">
        <f t="shared" si="98"/>
        <v>102</v>
      </c>
    </row>
    <row r="2260" spans="1:6">
      <c r="A2260" s="14"/>
      <c r="B2260" s="34" t="s">
        <v>397</v>
      </c>
      <c r="C2260" s="166"/>
      <c r="D2260" s="176">
        <f>2*2*2</f>
        <v>8</v>
      </c>
      <c r="E2260" s="176">
        <v>12</v>
      </c>
      <c r="F2260" s="241">
        <f t="shared" si="98"/>
        <v>96</v>
      </c>
    </row>
    <row r="2261" spans="1:6">
      <c r="A2261" s="14"/>
      <c r="B2261" s="34" t="s">
        <v>398</v>
      </c>
      <c r="C2261" s="166"/>
      <c r="D2261" s="176">
        <f>2*1.8*1.8</f>
        <v>6.48</v>
      </c>
      <c r="E2261" s="176">
        <v>5</v>
      </c>
      <c r="F2261" s="241">
        <f t="shared" si="98"/>
        <v>32.400000000000006</v>
      </c>
    </row>
    <row r="2262" spans="1:6">
      <c r="A2262" s="14"/>
      <c r="B2262" s="34" t="s">
        <v>399</v>
      </c>
      <c r="C2262" s="166"/>
      <c r="D2262" s="176">
        <f>2*1.65*1.55</f>
        <v>5.1150000000000002</v>
      </c>
      <c r="E2262" s="176">
        <v>4</v>
      </c>
      <c r="F2262" s="241">
        <f t="shared" si="98"/>
        <v>20.46</v>
      </c>
    </row>
    <row r="2263" spans="1:6">
      <c r="A2263" s="14"/>
      <c r="B2263" s="34" t="s">
        <v>400</v>
      </c>
      <c r="C2263" s="166"/>
      <c r="D2263" s="176">
        <f>2*2*1.7</f>
        <v>6.8</v>
      </c>
      <c r="E2263" s="176">
        <v>15</v>
      </c>
      <c r="F2263" s="241">
        <f t="shared" si="98"/>
        <v>102</v>
      </c>
    </row>
    <row r="2264" spans="1:6">
      <c r="A2264" s="14"/>
      <c r="B2264" s="34" t="s">
        <v>401</v>
      </c>
      <c r="C2264" s="166"/>
      <c r="D2264" s="176">
        <f>2*1.6*2</f>
        <v>6.4</v>
      </c>
      <c r="E2264" s="176">
        <f>23+37+22+65</f>
        <v>147</v>
      </c>
      <c r="F2264" s="241">
        <f t="shared" si="98"/>
        <v>940.80000000000007</v>
      </c>
    </row>
    <row r="2265" spans="1:6">
      <c r="A2265" s="226"/>
      <c r="B2265" s="353" t="s">
        <v>14</v>
      </c>
      <c r="C2265" s="354"/>
      <c r="D2265" s="354"/>
      <c r="E2265" s="355"/>
      <c r="F2265" s="222">
        <f>SUM(F2257:F2264)</f>
        <v>1370.06</v>
      </c>
    </row>
    <row r="2266" spans="1:6">
      <c r="A2266" s="14"/>
      <c r="B2266" s="353" t="s">
        <v>289</v>
      </c>
      <c r="C2266" s="354"/>
      <c r="D2266" s="354"/>
      <c r="E2266" s="355"/>
      <c r="F2266" s="227">
        <v>4890.7299999999996</v>
      </c>
    </row>
    <row r="2267" spans="1:6">
      <c r="A2267" s="232" t="str">
        <f>ORÇAMENTO!A113</f>
        <v>16.6</v>
      </c>
      <c r="B2267" s="97" t="str">
        <f>ORÇAMENTO!D113</f>
        <v>PINT.ESMALTE SINT.PAREDES - 2 DEM.C/SELADOR</v>
      </c>
      <c r="C2267" s="96" t="s">
        <v>16</v>
      </c>
      <c r="D2267" s="94" t="s">
        <v>299</v>
      </c>
      <c r="E2267" s="94" t="s">
        <v>18</v>
      </c>
      <c r="F2267" s="252" t="s">
        <v>8</v>
      </c>
    </row>
    <row r="2268" spans="1:6">
      <c r="A2268" s="14"/>
      <c r="B2268" s="34" t="s">
        <v>1022</v>
      </c>
      <c r="C2268" s="166"/>
      <c r="D2268" s="176">
        <v>8.14</v>
      </c>
      <c r="E2268" s="176">
        <v>1.1499999999999999</v>
      </c>
      <c r="F2268" s="241">
        <f>E2268*D2268*22</f>
        <v>205.94200000000001</v>
      </c>
    </row>
    <row r="2269" spans="1:6">
      <c r="A2269" s="14"/>
      <c r="B2269" s="356" t="s">
        <v>8</v>
      </c>
      <c r="C2269" s="356"/>
      <c r="D2269" s="356"/>
      <c r="E2269" s="356"/>
      <c r="F2269" s="222">
        <v>205.94</v>
      </c>
    </row>
    <row r="2270" spans="1:6">
      <c r="A2270" s="232" t="str">
        <f>ORÇAMENTO!A114</f>
        <v>16.7</v>
      </c>
      <c r="B2270" s="97" t="str">
        <f>ORÇAMENTO!D114</f>
        <v>PINT.ESMALTE/ESQUAD.FERRO C/FUNDO ANTICOR.</v>
      </c>
      <c r="C2270" s="96" t="s">
        <v>16</v>
      </c>
      <c r="D2270" s="94" t="s">
        <v>299</v>
      </c>
      <c r="E2270" s="94" t="s">
        <v>18</v>
      </c>
      <c r="F2270" s="252" t="s">
        <v>8</v>
      </c>
    </row>
    <row r="2271" spans="1:6">
      <c r="A2271" s="14"/>
      <c r="B2271" s="358" t="s">
        <v>563</v>
      </c>
      <c r="C2271" s="359"/>
      <c r="D2271" s="359"/>
      <c r="E2271" s="359"/>
      <c r="F2271" s="360"/>
    </row>
    <row r="2272" spans="1:6">
      <c r="A2272" s="14"/>
      <c r="B2272" s="34" t="s">
        <v>901</v>
      </c>
      <c r="C2272" s="166"/>
      <c r="D2272" s="188">
        <v>10</v>
      </c>
      <c r="E2272" s="188">
        <v>1.75</v>
      </c>
      <c r="F2272" s="241">
        <f>D2272*E2272*2</f>
        <v>35</v>
      </c>
    </row>
    <row r="2273" spans="1:6">
      <c r="A2273" s="14"/>
      <c r="B2273" s="356" t="s">
        <v>8</v>
      </c>
      <c r="C2273" s="356"/>
      <c r="D2273" s="356"/>
      <c r="E2273" s="356"/>
      <c r="F2273" s="222">
        <f>F2272</f>
        <v>35</v>
      </c>
    </row>
    <row r="2274" spans="1:6">
      <c r="A2274" s="232" t="str">
        <f>ORÇAMENTO!A115</f>
        <v>16.8</v>
      </c>
      <c r="B2274" s="97" t="s">
        <v>912</v>
      </c>
      <c r="C2274" s="96" t="s">
        <v>16</v>
      </c>
      <c r="D2274" s="94" t="s">
        <v>19</v>
      </c>
      <c r="E2274" s="94" t="s">
        <v>198</v>
      </c>
      <c r="F2274" s="252" t="s">
        <v>8</v>
      </c>
    </row>
    <row r="2275" spans="1:6">
      <c r="A2275" s="14"/>
      <c r="B2275" s="358" t="s">
        <v>563</v>
      </c>
      <c r="C2275" s="359"/>
      <c r="D2275" s="359"/>
      <c r="E2275" s="359"/>
      <c r="F2275" s="360"/>
    </row>
    <row r="2276" spans="1:6">
      <c r="A2276" s="14"/>
      <c r="B2276" s="34" t="s">
        <v>914</v>
      </c>
      <c r="C2276" s="166"/>
      <c r="D2276" s="188">
        <v>18.399999999999999</v>
      </c>
      <c r="E2276" s="188">
        <v>7.8</v>
      </c>
      <c r="F2276" s="241">
        <f>D2276*E2276</f>
        <v>143.51999999999998</v>
      </c>
    </row>
    <row r="2277" spans="1:6">
      <c r="A2277" s="14"/>
      <c r="B2277" s="353" t="s">
        <v>14</v>
      </c>
      <c r="C2277" s="354"/>
      <c r="D2277" s="354"/>
      <c r="E2277" s="355"/>
      <c r="F2277" s="222">
        <f>F2276</f>
        <v>143.51999999999998</v>
      </c>
    </row>
    <row r="2278" spans="1:6">
      <c r="A2278" s="14"/>
      <c r="B2278" s="34" t="s">
        <v>920</v>
      </c>
      <c r="C2278" s="166"/>
      <c r="D2278" s="188">
        <f>17*0.45</f>
        <v>7.65</v>
      </c>
      <c r="E2278" s="188">
        <v>4.0999999999999996</v>
      </c>
      <c r="F2278" s="241">
        <f>D2278*E2278*2</f>
        <v>62.73</v>
      </c>
    </row>
    <row r="2279" spans="1:6">
      <c r="A2279" s="14"/>
      <c r="B2279" s="356" t="s">
        <v>14</v>
      </c>
      <c r="C2279" s="356"/>
      <c r="D2279" s="356"/>
      <c r="E2279" s="356"/>
      <c r="F2279" s="222">
        <f>F2278</f>
        <v>62.73</v>
      </c>
    </row>
    <row r="2280" spans="1:6">
      <c r="A2280" s="14"/>
      <c r="B2280" s="356" t="s">
        <v>8</v>
      </c>
      <c r="C2280" s="356"/>
      <c r="D2280" s="356"/>
      <c r="E2280" s="356"/>
      <c r="F2280" s="222">
        <v>206.25</v>
      </c>
    </row>
    <row r="2281" spans="1:6">
      <c r="A2281" s="210">
        <v>17</v>
      </c>
      <c r="B2281" s="412" t="s">
        <v>559</v>
      </c>
      <c r="C2281" s="412"/>
      <c r="D2281" s="412"/>
      <c r="E2281" s="412"/>
      <c r="F2281" s="413"/>
    </row>
    <row r="2282" spans="1:6" ht="15" customHeight="1">
      <c r="A2282" s="232" t="str">
        <f>ORÇAMENTO!A119</f>
        <v>17.1</v>
      </c>
      <c r="B2282" s="97" t="str">
        <f>ORÇAMENTO!D119</f>
        <v>PLANTIO GRAMA ESMERALDA PLACA C/ M.O. IRRIG., ADUBO,TERRA VEGETAL (O.C.) A&lt;11.
000,00M2</v>
      </c>
      <c r="C2282" s="96" t="s">
        <v>16</v>
      </c>
      <c r="D2282" s="186" t="s">
        <v>96</v>
      </c>
      <c r="E2282" s="97" t="s">
        <v>95</v>
      </c>
      <c r="F2282" s="248" t="s">
        <v>8</v>
      </c>
    </row>
    <row r="2283" spans="1:6">
      <c r="A2283" s="228"/>
      <c r="B2283" s="103" t="s">
        <v>880</v>
      </c>
      <c r="C2283" s="103"/>
      <c r="D2283" s="188">
        <f>2*2</f>
        <v>4</v>
      </c>
      <c r="E2283" s="188">
        <v>20</v>
      </c>
      <c r="F2283" s="241">
        <f>D2283*E2283</f>
        <v>80</v>
      </c>
    </row>
    <row r="2284" spans="1:6">
      <c r="A2284" s="228"/>
      <c r="B2284" s="356" t="s">
        <v>8</v>
      </c>
      <c r="C2284" s="356"/>
      <c r="D2284" s="356"/>
      <c r="E2284" s="356"/>
      <c r="F2284" s="222">
        <f>F2283</f>
        <v>80</v>
      </c>
    </row>
    <row r="2285" spans="1:6">
      <c r="A2285" s="229" t="str">
        <f>ORÇAMENTO!A120</f>
        <v>17.2</v>
      </c>
      <c r="B2285" s="102" t="s">
        <v>867</v>
      </c>
      <c r="C2285" s="96" t="s">
        <v>16</v>
      </c>
      <c r="D2285" s="94" t="s">
        <v>869</v>
      </c>
      <c r="E2285" s="94" t="s">
        <v>198</v>
      </c>
      <c r="F2285" s="252" t="s">
        <v>8</v>
      </c>
    </row>
    <row r="2286" spans="1:6">
      <c r="A2286" s="14"/>
      <c r="B2286" s="358" t="s">
        <v>288</v>
      </c>
      <c r="C2286" s="359"/>
      <c r="D2286" s="359"/>
      <c r="E2286" s="359"/>
      <c r="F2286" s="360"/>
    </row>
    <row r="2287" spans="1:6">
      <c r="A2287" s="14"/>
      <c r="B2287" s="138" t="s">
        <v>868</v>
      </c>
      <c r="C2287" s="166"/>
      <c r="D2287" s="188">
        <v>376.06</v>
      </c>
      <c r="E2287" s="166">
        <v>0</v>
      </c>
      <c r="F2287" s="241">
        <f>D2287</f>
        <v>376.06</v>
      </c>
    </row>
    <row r="2288" spans="1:6">
      <c r="A2288" s="14" t="s">
        <v>235</v>
      </c>
      <c r="B2288" s="358" t="s">
        <v>550</v>
      </c>
      <c r="C2288" s="359"/>
      <c r="D2288" s="359"/>
      <c r="E2288" s="359"/>
      <c r="F2288" s="360"/>
    </row>
    <row r="2289" spans="1:6">
      <c r="A2289" s="14"/>
      <c r="B2289" s="138" t="s">
        <v>870</v>
      </c>
      <c r="C2289" s="166"/>
      <c r="D2289" s="188">
        <v>927.49</v>
      </c>
      <c r="E2289" s="166">
        <v>0</v>
      </c>
      <c r="F2289" s="241">
        <f>D2289</f>
        <v>927.49</v>
      </c>
    </row>
    <row r="2290" spans="1:6">
      <c r="A2290" s="14"/>
      <c r="B2290" s="358" t="s">
        <v>563</v>
      </c>
      <c r="C2290" s="359"/>
      <c r="D2290" s="359"/>
      <c r="E2290" s="359"/>
      <c r="F2290" s="360"/>
    </row>
    <row r="2291" spans="1:6">
      <c r="A2291" s="14"/>
      <c r="B2291" s="138" t="s">
        <v>871</v>
      </c>
      <c r="C2291" s="166"/>
      <c r="D2291" s="188">
        <v>1096.01</v>
      </c>
      <c r="E2291" s="166">
        <v>0</v>
      </c>
      <c r="F2291" s="241">
        <f>D2291</f>
        <v>1096.01</v>
      </c>
    </row>
    <row r="2292" spans="1:6">
      <c r="A2292" s="14"/>
      <c r="B2292" s="138" t="s">
        <v>622</v>
      </c>
      <c r="C2292" s="166"/>
      <c r="D2292" s="188">
        <v>882.45</v>
      </c>
      <c r="E2292" s="166">
        <v>0</v>
      </c>
      <c r="F2292" s="241">
        <f>D2292</f>
        <v>882.45</v>
      </c>
    </row>
    <row r="2293" spans="1:6">
      <c r="A2293" s="14"/>
      <c r="B2293" s="356" t="s">
        <v>14</v>
      </c>
      <c r="C2293" s="356"/>
      <c r="D2293" s="356"/>
      <c r="E2293" s="356"/>
      <c r="F2293" s="222">
        <v>3282.01</v>
      </c>
    </row>
    <row r="2294" spans="1:6">
      <c r="A2294" s="232" t="str">
        <f>ORÇAMENTO!A121</f>
        <v>17.3</v>
      </c>
      <c r="B2294" s="97" t="str">
        <f>ORÇAMENTO!D121</f>
        <v xml:space="preserve">PLACA DE INAUGURACAO ACO ESCOVADO 80 X 60 CM </v>
      </c>
      <c r="C2294" s="96" t="s">
        <v>16</v>
      </c>
      <c r="D2294" s="439" t="s">
        <v>95</v>
      </c>
      <c r="E2294" s="440"/>
      <c r="F2294" s="248" t="s">
        <v>8</v>
      </c>
    </row>
    <row r="2295" spans="1:6">
      <c r="A2295" s="228"/>
      <c r="B2295" s="103" t="s">
        <v>1040</v>
      </c>
      <c r="C2295" s="166"/>
      <c r="D2295" s="441">
        <v>1</v>
      </c>
      <c r="E2295" s="442"/>
      <c r="F2295" s="241">
        <f>D2295</f>
        <v>1</v>
      </c>
    </row>
    <row r="2296" spans="1:6">
      <c r="A2296" s="228"/>
      <c r="B2296" s="356" t="s">
        <v>8</v>
      </c>
      <c r="C2296" s="356"/>
      <c r="D2296" s="356"/>
      <c r="E2296" s="356"/>
      <c r="F2296" s="222">
        <f>F2295</f>
        <v>1</v>
      </c>
    </row>
    <row r="2297" spans="1:6">
      <c r="A2297" s="229" t="str">
        <f>ORÇAMENTO!A122</f>
        <v>17.4</v>
      </c>
      <c r="B2297" s="102" t="s">
        <v>561</v>
      </c>
      <c r="C2297" s="96" t="s">
        <v>16</v>
      </c>
      <c r="D2297" s="94" t="s">
        <v>19</v>
      </c>
      <c r="E2297" s="94" t="s">
        <v>198</v>
      </c>
      <c r="F2297" s="252" t="s">
        <v>8</v>
      </c>
    </row>
    <row r="2298" spans="1:6">
      <c r="A2298" s="14"/>
      <c r="B2298" s="34" t="s">
        <v>562</v>
      </c>
      <c r="C2298" s="166"/>
      <c r="D2298" s="188">
        <v>2.25</v>
      </c>
      <c r="E2298" s="188">
        <v>0.4</v>
      </c>
      <c r="F2298" s="241">
        <f t="shared" ref="F2298" si="99">E2298*D2298</f>
        <v>0.9</v>
      </c>
    </row>
    <row r="2299" spans="1:6">
      <c r="A2299" s="226"/>
      <c r="B2299" s="356" t="s">
        <v>14</v>
      </c>
      <c r="C2299" s="356"/>
      <c r="D2299" s="356"/>
      <c r="E2299" s="356"/>
      <c r="F2299" s="222">
        <v>0.9</v>
      </c>
    </row>
  </sheetData>
  <mergeCells count="911">
    <mergeCell ref="B2296:E2296"/>
    <mergeCell ref="D2294:E2294"/>
    <mergeCell ref="D2295:E2295"/>
    <mergeCell ref="D427:F427"/>
    <mergeCell ref="B1957:E1957"/>
    <mergeCell ref="B1960:E1960"/>
    <mergeCell ref="B1963:E1963"/>
    <mergeCell ref="B1966:E1966"/>
    <mergeCell ref="B1969:E1969"/>
    <mergeCell ref="B1951:E1951"/>
    <mergeCell ref="B1946:E1946"/>
    <mergeCell ref="B2222:E2222"/>
    <mergeCell ref="B2174:E2174"/>
    <mergeCell ref="B986:E986"/>
    <mergeCell ref="B991:E991"/>
    <mergeCell ref="B996:E996"/>
    <mergeCell ref="B1001:E1001"/>
    <mergeCell ref="B1006:E1006"/>
    <mergeCell ref="B1012:E1012"/>
    <mergeCell ref="B1954:E1954"/>
    <mergeCell ref="B1870:E1870"/>
    <mergeCell ref="D468:F468"/>
    <mergeCell ref="B470:E470"/>
    <mergeCell ref="B458:F458"/>
    <mergeCell ref="D823:F823"/>
    <mergeCell ref="D822:F822"/>
    <mergeCell ref="D848:F848"/>
    <mergeCell ref="D833:F833"/>
    <mergeCell ref="D834:F834"/>
    <mergeCell ref="D835:F835"/>
    <mergeCell ref="D836:F836"/>
    <mergeCell ref="D837:F837"/>
    <mergeCell ref="D838:F838"/>
    <mergeCell ref="D839:F839"/>
    <mergeCell ref="D840:F840"/>
    <mergeCell ref="D841:F841"/>
    <mergeCell ref="D826:F826"/>
    <mergeCell ref="D827:F827"/>
    <mergeCell ref="B2269:E2269"/>
    <mergeCell ref="B2244:E2244"/>
    <mergeCell ref="B2031:E2031"/>
    <mergeCell ref="B1996:E1996"/>
    <mergeCell ref="B1999:E1999"/>
    <mergeCell ref="B2094:E2094"/>
    <mergeCell ref="B2095:E2095"/>
    <mergeCell ref="B2118:E2118"/>
    <mergeCell ref="B2147:E2147"/>
    <mergeCell ref="B2093:E2093"/>
    <mergeCell ref="B2049:E2049"/>
    <mergeCell ref="B2046:E2046"/>
    <mergeCell ref="B2087:E2087"/>
    <mergeCell ref="B2034:E2034"/>
    <mergeCell ref="B2037:E2037"/>
    <mergeCell ref="B2040:E2040"/>
    <mergeCell ref="B1687:E1687"/>
    <mergeCell ref="B1194:E1194"/>
    <mergeCell ref="B1910:E1910"/>
    <mergeCell ref="B1940:E1940"/>
    <mergeCell ref="B1930:E1930"/>
    <mergeCell ref="B1067:F1067"/>
    <mergeCell ref="B981:E981"/>
    <mergeCell ref="B943:F943"/>
    <mergeCell ref="D842:F842"/>
    <mergeCell ref="D843:F843"/>
    <mergeCell ref="B1881:E1881"/>
    <mergeCell ref="B1887:E1887"/>
    <mergeCell ref="B1893:E1893"/>
    <mergeCell ref="B1901:E1901"/>
    <mergeCell ref="B922:E922"/>
    <mergeCell ref="B868:F868"/>
    <mergeCell ref="B928:E928"/>
    <mergeCell ref="B932:E932"/>
    <mergeCell ref="B962:E962"/>
    <mergeCell ref="B967:E967"/>
    <mergeCell ref="D852:F852"/>
    <mergeCell ref="D853:F853"/>
    <mergeCell ref="B862:F862"/>
    <mergeCell ref="D863:F863"/>
    <mergeCell ref="D864:F864"/>
    <mergeCell ref="B2265:E2265"/>
    <mergeCell ref="B2177:E2177"/>
    <mergeCell ref="B2182:E2182"/>
    <mergeCell ref="B2162:E2162"/>
    <mergeCell ref="B2168:E2168"/>
    <mergeCell ref="B2171:E2171"/>
    <mergeCell ref="B2207:E2207"/>
    <mergeCell ref="B2210:E2210"/>
    <mergeCell ref="B1023:E1023"/>
    <mergeCell ref="B1027:E1027"/>
    <mergeCell ref="B1036:E1036"/>
    <mergeCell ref="B1044:E1044"/>
    <mergeCell ref="B1049:E1049"/>
    <mergeCell ref="B1136:E1136"/>
    <mergeCell ref="B1122:E1122"/>
    <mergeCell ref="B1129:E1129"/>
    <mergeCell ref="B1133:E1133"/>
    <mergeCell ref="B1241:E1241"/>
    <mergeCell ref="B1204:E1204"/>
    <mergeCell ref="B900:E900"/>
    <mergeCell ref="B905:E905"/>
    <mergeCell ref="D846:F846"/>
    <mergeCell ref="D857:F857"/>
    <mergeCell ref="D847:F847"/>
    <mergeCell ref="D856:F856"/>
    <mergeCell ref="B971:E971"/>
    <mergeCell ref="B975:E975"/>
    <mergeCell ref="D449:F449"/>
    <mergeCell ref="D450:F450"/>
    <mergeCell ref="B451:E451"/>
    <mergeCell ref="D854:F854"/>
    <mergeCell ref="D855:F855"/>
    <mergeCell ref="B506:F506"/>
    <mergeCell ref="B454:F454"/>
    <mergeCell ref="D457:F457"/>
    <mergeCell ref="D464:F464"/>
    <mergeCell ref="D465:F465"/>
    <mergeCell ref="D466:F466"/>
    <mergeCell ref="D859:F859"/>
    <mergeCell ref="B866:F866"/>
    <mergeCell ref="B751:E751"/>
    <mergeCell ref="B764:F764"/>
    <mergeCell ref="B767:E767"/>
    <mergeCell ref="D516:F516"/>
    <mergeCell ref="B593:F593"/>
    <mergeCell ref="B550:F550"/>
    <mergeCell ref="B498:E498"/>
    <mergeCell ref="D503:F503"/>
    <mergeCell ref="B592:F592"/>
    <mergeCell ref="D525:F525"/>
    <mergeCell ref="B538:F538"/>
    <mergeCell ref="B552:F552"/>
    <mergeCell ref="B554:F554"/>
    <mergeCell ref="B558:F558"/>
    <mergeCell ref="B570:E570"/>
    <mergeCell ref="D519:F519"/>
    <mergeCell ref="D521:F521"/>
    <mergeCell ref="D523:F523"/>
    <mergeCell ref="B556:E556"/>
    <mergeCell ref="D517:F517"/>
    <mergeCell ref="D510:F510"/>
    <mergeCell ref="B571:F571"/>
    <mergeCell ref="D533:F533"/>
    <mergeCell ref="B493:F493"/>
    <mergeCell ref="B543:E543"/>
    <mergeCell ref="B548:E548"/>
    <mergeCell ref="D527:F527"/>
    <mergeCell ref="B528:F528"/>
    <mergeCell ref="B532:F532"/>
    <mergeCell ref="D531:F531"/>
    <mergeCell ref="B508:F508"/>
    <mergeCell ref="B515:F515"/>
    <mergeCell ref="B504:F504"/>
    <mergeCell ref="D514:F514"/>
    <mergeCell ref="D529:F529"/>
    <mergeCell ref="B530:E530"/>
    <mergeCell ref="D501:F501"/>
    <mergeCell ref="D511:F511"/>
    <mergeCell ref="D512:F512"/>
    <mergeCell ref="B518:E518"/>
    <mergeCell ref="B513:E513"/>
    <mergeCell ref="D534:F534"/>
    <mergeCell ref="B535:E535"/>
    <mergeCell ref="D494:F494"/>
    <mergeCell ref="D635:F635"/>
    <mergeCell ref="D636:F636"/>
    <mergeCell ref="B637:E637"/>
    <mergeCell ref="B664:E664"/>
    <mergeCell ref="B806:F806"/>
    <mergeCell ref="B819:F819"/>
    <mergeCell ref="B591:E591"/>
    <mergeCell ref="B757:E757"/>
    <mergeCell ref="B762:E762"/>
    <mergeCell ref="B704:F704"/>
    <mergeCell ref="B734:F734"/>
    <mergeCell ref="B667:F667"/>
    <mergeCell ref="B678:E678"/>
    <mergeCell ref="B615:E615"/>
    <mergeCell ref="B638:F638"/>
    <mergeCell ref="B817:F817"/>
    <mergeCell ref="B665:F665"/>
    <mergeCell ref="D633:F633"/>
    <mergeCell ref="B753:F753"/>
    <mergeCell ref="B718:E718"/>
    <mergeCell ref="B747:E747"/>
    <mergeCell ref="B614:E614"/>
    <mergeCell ref="B640:F640"/>
    <mergeCell ref="B655:F655"/>
    <mergeCell ref="D281:F281"/>
    <mergeCell ref="D270:F270"/>
    <mergeCell ref="D282:F282"/>
    <mergeCell ref="B224:F224"/>
    <mergeCell ref="B197:F197"/>
    <mergeCell ref="B204:E204"/>
    <mergeCell ref="D200:F200"/>
    <mergeCell ref="D275:F275"/>
    <mergeCell ref="B524:E524"/>
    <mergeCell ref="D478:F478"/>
    <mergeCell ref="B520:F520"/>
    <mergeCell ref="B522:F522"/>
    <mergeCell ref="D272:F272"/>
    <mergeCell ref="B411:F411"/>
    <mergeCell ref="D479:F479"/>
    <mergeCell ref="D234:F234"/>
    <mergeCell ref="B240:F240"/>
    <mergeCell ref="D250:F250"/>
    <mergeCell ref="D251:F251"/>
    <mergeCell ref="D252:F252"/>
    <mergeCell ref="B269:E269"/>
    <mergeCell ref="D446:F446"/>
    <mergeCell ref="D448:F448"/>
    <mergeCell ref="D350:F350"/>
    <mergeCell ref="B2281:F2281"/>
    <mergeCell ref="B2299:E2299"/>
    <mergeCell ref="D244:F244"/>
    <mergeCell ref="B257:E257"/>
    <mergeCell ref="B265:F265"/>
    <mergeCell ref="B260:F260"/>
    <mergeCell ref="D261:F261"/>
    <mergeCell ref="B262:F262"/>
    <mergeCell ref="B271:F271"/>
    <mergeCell ref="B273:F273"/>
    <mergeCell ref="B279:F279"/>
    <mergeCell ref="B283:E283"/>
    <mergeCell ref="B284:F284"/>
    <mergeCell ref="B296:F296"/>
    <mergeCell ref="B295:E295"/>
    <mergeCell ref="B310:E310"/>
    <mergeCell ref="B363:F363"/>
    <mergeCell ref="B258:E258"/>
    <mergeCell ref="D267:F267"/>
    <mergeCell ref="B390:F390"/>
    <mergeCell ref="B409:E409"/>
    <mergeCell ref="B410:F410"/>
    <mergeCell ref="D335:F335"/>
    <mergeCell ref="D336:F336"/>
    <mergeCell ref="B333:F333"/>
    <mergeCell ref="D329:F329"/>
    <mergeCell ref="D330:F330"/>
    <mergeCell ref="D331:F331"/>
    <mergeCell ref="B332:E332"/>
    <mergeCell ref="D377:F377"/>
    <mergeCell ref="D370:F370"/>
    <mergeCell ref="B369:F369"/>
    <mergeCell ref="D337:F337"/>
    <mergeCell ref="D366:F366"/>
    <mergeCell ref="B361:F361"/>
    <mergeCell ref="B373:F373"/>
    <mergeCell ref="B375:F375"/>
    <mergeCell ref="D341:F341"/>
    <mergeCell ref="D342:F342"/>
    <mergeCell ref="D344:F344"/>
    <mergeCell ref="D343:F343"/>
    <mergeCell ref="D345:F345"/>
    <mergeCell ref="D347:F347"/>
    <mergeCell ref="D346:F346"/>
    <mergeCell ref="B367:E367"/>
    <mergeCell ref="D340:F340"/>
    <mergeCell ref="D352:F352"/>
    <mergeCell ref="D353:F353"/>
    <mergeCell ref="D360:F360"/>
    <mergeCell ref="D392:F392"/>
    <mergeCell ref="D362:F362"/>
    <mergeCell ref="B358:E358"/>
    <mergeCell ref="D357:F357"/>
    <mergeCell ref="D355:F355"/>
    <mergeCell ref="B359:E359"/>
    <mergeCell ref="D364:F364"/>
    <mergeCell ref="D398:F398"/>
    <mergeCell ref="B399:E399"/>
    <mergeCell ref="B400:F400"/>
    <mergeCell ref="D381:F381"/>
    <mergeCell ref="D383:F383"/>
    <mergeCell ref="D379:F379"/>
    <mergeCell ref="D382:F382"/>
    <mergeCell ref="D365:F365"/>
    <mergeCell ref="D368:F368"/>
    <mergeCell ref="D378:F378"/>
    <mergeCell ref="D376:F376"/>
    <mergeCell ref="D371:F371"/>
    <mergeCell ref="D386:F386"/>
    <mergeCell ref="B388:E388"/>
    <mergeCell ref="D385:F385"/>
    <mergeCell ref="D387:F387"/>
    <mergeCell ref="D372:F372"/>
    <mergeCell ref="D403:F403"/>
    <mergeCell ref="D402:F402"/>
    <mergeCell ref="D404:F404"/>
    <mergeCell ref="D416:F416"/>
    <mergeCell ref="D417:F417"/>
    <mergeCell ref="D418:F418"/>
    <mergeCell ref="D419:F419"/>
    <mergeCell ref="B444:E444"/>
    <mergeCell ref="D396:F396"/>
    <mergeCell ref="D439:F439"/>
    <mergeCell ref="D440:F440"/>
    <mergeCell ref="D424:F424"/>
    <mergeCell ref="D425:F425"/>
    <mergeCell ref="D426:F426"/>
    <mergeCell ref="B428:F428"/>
    <mergeCell ref="D429:F429"/>
    <mergeCell ref="D430:F430"/>
    <mergeCell ref="D433:F433"/>
    <mergeCell ref="D434:F434"/>
    <mergeCell ref="D405:F405"/>
    <mergeCell ref="D406:F406"/>
    <mergeCell ref="D407:F407"/>
    <mergeCell ref="D408:F408"/>
    <mergeCell ref="D401:F401"/>
    <mergeCell ref="B693:F693"/>
    <mergeCell ref="B1055:E1055"/>
    <mergeCell ref="B829:E829"/>
    <mergeCell ref="B770:E770"/>
    <mergeCell ref="B773:E773"/>
    <mergeCell ref="B776:E776"/>
    <mergeCell ref="B779:E779"/>
    <mergeCell ref="B780:E780"/>
    <mergeCell ref="B781:F781"/>
    <mergeCell ref="B786:E786"/>
    <mergeCell ref="B787:E787"/>
    <mergeCell ref="B916:E916"/>
    <mergeCell ref="B942:E942"/>
    <mergeCell ref="D832:F832"/>
    <mergeCell ref="B1040:E1040"/>
    <mergeCell ref="D831:F831"/>
    <mergeCell ref="B844:E844"/>
    <mergeCell ref="B1015:E1015"/>
    <mergeCell ref="B830:F830"/>
    <mergeCell ref="D824:F824"/>
    <mergeCell ref="D825:F825"/>
    <mergeCell ref="B865:E865"/>
    <mergeCell ref="B845:F845"/>
    <mergeCell ref="B860:E860"/>
    <mergeCell ref="D507:F507"/>
    <mergeCell ref="B692:F692"/>
    <mergeCell ref="D505:F505"/>
    <mergeCell ref="B526:F526"/>
    <mergeCell ref="B1754:E1754"/>
    <mergeCell ref="B1664:E1664"/>
    <mergeCell ref="B1673:E1673"/>
    <mergeCell ref="B1199:E1199"/>
    <mergeCell ref="B1573:E1573"/>
    <mergeCell ref="B1536:E1536"/>
    <mergeCell ref="B1658:E1658"/>
    <mergeCell ref="B1237:E1237"/>
    <mergeCell ref="B1591:E1591"/>
    <mergeCell ref="B1291:E1291"/>
    <mergeCell ref="B1348:E1348"/>
    <mergeCell ref="B1353:E1353"/>
    <mergeCell ref="B1256:E1256"/>
    <mergeCell ref="B1391:E1391"/>
    <mergeCell ref="B1372:E1372"/>
    <mergeCell ref="B1378:E1378"/>
    <mergeCell ref="B1385:E1385"/>
    <mergeCell ref="B1364:E1364"/>
    <mergeCell ref="A1245:E1245"/>
    <mergeCell ref="B1247:F1247"/>
    <mergeCell ref="B1357:F1357"/>
    <mergeCell ref="B1470:E1470"/>
    <mergeCell ref="B1475:E1475"/>
    <mergeCell ref="B1480:E1480"/>
    <mergeCell ref="B1486:E1486"/>
    <mergeCell ref="B1598:E1598"/>
    <mergeCell ref="B1542:E1542"/>
    <mergeCell ref="B1548:E1548"/>
    <mergeCell ref="B1679:E1679"/>
    <mergeCell ref="B1652:E1652"/>
    <mergeCell ref="B1501:E1501"/>
    <mergeCell ref="B1582:E1582"/>
    <mergeCell ref="B1523:E1523"/>
    <mergeCell ref="B1560:E1560"/>
    <mergeCell ref="B1554:E1554"/>
    <mergeCell ref="B1530:E1530"/>
    <mergeCell ref="B1668:E1668"/>
    <mergeCell ref="B1604:E1604"/>
    <mergeCell ref="B1622:E1622"/>
    <mergeCell ref="B1869:E1869"/>
    <mergeCell ref="B1610:E1610"/>
    <mergeCell ref="B1616:E1616"/>
    <mergeCell ref="B1422:E1422"/>
    <mergeCell ref="B1427:E1427"/>
    <mergeCell ref="B1432:E1432"/>
    <mergeCell ref="B1437:E1437"/>
    <mergeCell ref="B1447:E1447"/>
    <mergeCell ref="B1452:E1452"/>
    <mergeCell ref="B1703:F1703"/>
    <mergeCell ref="B1728:E1728"/>
    <mergeCell ref="E1702:F1702"/>
    <mergeCell ref="B1496:E1496"/>
    <mergeCell ref="B1701:E1701"/>
    <mergeCell ref="B1755:F1755"/>
    <mergeCell ref="B1518:E1518"/>
    <mergeCell ref="B1696:E1696"/>
    <mergeCell ref="B1692:E1692"/>
    <mergeCell ref="B1801:E1801"/>
    <mergeCell ref="B1809:E1809"/>
    <mergeCell ref="B1828:E1828"/>
    <mergeCell ref="B1868:E1868"/>
    <mergeCell ref="B1457:E1457"/>
    <mergeCell ref="B1463:E1463"/>
    <mergeCell ref="B2216:E2216"/>
    <mergeCell ref="B2219:E2219"/>
    <mergeCell ref="B2249:E2249"/>
    <mergeCell ref="B1490:F1490"/>
    <mergeCell ref="B1403:E1403"/>
    <mergeCell ref="B1409:E1409"/>
    <mergeCell ref="B1567:E1567"/>
    <mergeCell ref="B1577:E1577"/>
    <mergeCell ref="B1628:E1628"/>
    <mergeCell ref="B1640:E1640"/>
    <mergeCell ref="B1634:E1634"/>
    <mergeCell ref="B1646:E1646"/>
    <mergeCell ref="B1587:E1587"/>
    <mergeCell ref="B1504:E1504"/>
    <mergeCell ref="B1509:E1509"/>
    <mergeCell ref="B1779:E1779"/>
    <mergeCell ref="B1700:E1700"/>
    <mergeCell ref="B2043:E2043"/>
    <mergeCell ref="B2057:E2057"/>
    <mergeCell ref="B2060:E2060"/>
    <mergeCell ref="B2063:E2063"/>
    <mergeCell ref="B2188:E2188"/>
    <mergeCell ref="B1915:E1915"/>
    <mergeCell ref="B1905:E1905"/>
    <mergeCell ref="D415:F415"/>
    <mergeCell ref="D413:F413"/>
    <mergeCell ref="D435:F435"/>
    <mergeCell ref="D420:F420"/>
    <mergeCell ref="D431:F431"/>
    <mergeCell ref="D432:F432"/>
    <mergeCell ref="D412:F412"/>
    <mergeCell ref="D441:F441"/>
    <mergeCell ref="B2241:E2241"/>
    <mergeCell ref="B2097:F2097"/>
    <mergeCell ref="B2119:F2119"/>
    <mergeCell ref="B2148:F2148"/>
    <mergeCell ref="B2185:E2185"/>
    <mergeCell ref="B2022:E2022"/>
    <mergeCell ref="B2025:E2025"/>
    <mergeCell ref="B2028:E2028"/>
    <mergeCell ref="B2002:E2002"/>
    <mergeCell ref="B2005:E2005"/>
    <mergeCell ref="B2008:E2008"/>
    <mergeCell ref="B2013:E2013"/>
    <mergeCell ref="B2016:E2016"/>
    <mergeCell ref="B2017:E2017"/>
    <mergeCell ref="B2053:E2053"/>
    <mergeCell ref="B2225:E2225"/>
    <mergeCell ref="D319:F319"/>
    <mergeCell ref="D320:F320"/>
    <mergeCell ref="D321:F321"/>
    <mergeCell ref="D322:F322"/>
    <mergeCell ref="D393:F393"/>
    <mergeCell ref="D389:F389"/>
    <mergeCell ref="B445:E445"/>
    <mergeCell ref="B1096:E1096"/>
    <mergeCell ref="D349:F349"/>
    <mergeCell ref="D851:F851"/>
    <mergeCell ref="D849:F849"/>
    <mergeCell ref="D850:F850"/>
    <mergeCell ref="B646:E646"/>
    <mergeCell ref="D818:F818"/>
    <mergeCell ref="B861:E861"/>
    <mergeCell ref="B536:F536"/>
    <mergeCell ref="B549:E549"/>
    <mergeCell ref="D482:F482"/>
    <mergeCell ref="D391:F391"/>
    <mergeCell ref="B481:E481"/>
    <mergeCell ref="D475:F475"/>
    <mergeCell ref="B474:E474"/>
    <mergeCell ref="D414:F414"/>
    <mergeCell ref="D477:F477"/>
    <mergeCell ref="D437:F437"/>
    <mergeCell ref="D438:F438"/>
    <mergeCell ref="D485:F485"/>
    <mergeCell ref="D460:F460"/>
    <mergeCell ref="D499:F499"/>
    <mergeCell ref="D496:F496"/>
    <mergeCell ref="D453:F453"/>
    <mergeCell ref="D459:F459"/>
    <mergeCell ref="B462:E462"/>
    <mergeCell ref="D480:F480"/>
    <mergeCell ref="B447:F447"/>
    <mergeCell ref="D463:F463"/>
    <mergeCell ref="B467:F467"/>
    <mergeCell ref="B472:F472"/>
    <mergeCell ref="B476:F476"/>
    <mergeCell ref="B483:F483"/>
    <mergeCell ref="D489:F489"/>
    <mergeCell ref="D490:F490"/>
    <mergeCell ref="D491:F491"/>
    <mergeCell ref="B492:E492"/>
    <mergeCell ref="D484:F484"/>
    <mergeCell ref="D280:F280"/>
    <mergeCell ref="D202:F202"/>
    <mergeCell ref="D235:F235"/>
    <mergeCell ref="D236:F236"/>
    <mergeCell ref="D238:F238"/>
    <mergeCell ref="B191:F191"/>
    <mergeCell ref="D278:F278"/>
    <mergeCell ref="B277:E277"/>
    <mergeCell ref="D263:F263"/>
    <mergeCell ref="D264:F264"/>
    <mergeCell ref="D266:F266"/>
    <mergeCell ref="D268:F268"/>
    <mergeCell ref="D227:F227"/>
    <mergeCell ref="D194:F194"/>
    <mergeCell ref="D203:F203"/>
    <mergeCell ref="D232:F232"/>
    <mergeCell ref="D233:F233"/>
    <mergeCell ref="D243:F243"/>
    <mergeCell ref="D245:F245"/>
    <mergeCell ref="D246:F246"/>
    <mergeCell ref="D247:F247"/>
    <mergeCell ref="D248:F248"/>
    <mergeCell ref="D259:F259"/>
    <mergeCell ref="D198:F198"/>
    <mergeCell ref="D237:F237"/>
    <mergeCell ref="D249:F249"/>
    <mergeCell ref="D285:F285"/>
    <mergeCell ref="D239:F239"/>
    <mergeCell ref="D182:F182"/>
    <mergeCell ref="D274:F274"/>
    <mergeCell ref="D276:F276"/>
    <mergeCell ref="D253:F253"/>
    <mergeCell ref="D254:F254"/>
    <mergeCell ref="D255:F255"/>
    <mergeCell ref="D199:F199"/>
    <mergeCell ref="D241:F241"/>
    <mergeCell ref="D242:F242"/>
    <mergeCell ref="D256:F256"/>
    <mergeCell ref="D228:F228"/>
    <mergeCell ref="D229:F229"/>
    <mergeCell ref="B185:F185"/>
    <mergeCell ref="D196:F196"/>
    <mergeCell ref="D226:F226"/>
    <mergeCell ref="D201:F201"/>
    <mergeCell ref="D230:F230"/>
    <mergeCell ref="D231:F231"/>
    <mergeCell ref="B225:F225"/>
    <mergeCell ref="B193:F193"/>
    <mergeCell ref="B21:F21"/>
    <mergeCell ref="B18:F18"/>
    <mergeCell ref="B49:F49"/>
    <mergeCell ref="B44:F44"/>
    <mergeCell ref="D50:F50"/>
    <mergeCell ref="D112:F112"/>
    <mergeCell ref="B79:F79"/>
    <mergeCell ref="B88:F88"/>
    <mergeCell ref="D106:F106"/>
    <mergeCell ref="D108:F108"/>
    <mergeCell ref="B99:E99"/>
    <mergeCell ref="B100:E100"/>
    <mergeCell ref="D109:F109"/>
    <mergeCell ref="D43:F43"/>
    <mergeCell ref="B48:E48"/>
    <mergeCell ref="B39:E39"/>
    <mergeCell ref="D51:F51"/>
    <mergeCell ref="B53:E53"/>
    <mergeCell ref="B56:F56"/>
    <mergeCell ref="B60:E60"/>
    <mergeCell ref="B101:F101"/>
    <mergeCell ref="B71:F71"/>
    <mergeCell ref="B74:E74"/>
    <mergeCell ref="B61:F61"/>
    <mergeCell ref="D167:F167"/>
    <mergeCell ref="D170:F170"/>
    <mergeCell ref="B54:E54"/>
    <mergeCell ref="D55:F55"/>
    <mergeCell ref="D64:F64"/>
    <mergeCell ref="D62:F62"/>
    <mergeCell ref="D63:F63"/>
    <mergeCell ref="B66:E66"/>
    <mergeCell ref="B8:F8"/>
    <mergeCell ref="D47:F47"/>
    <mergeCell ref="D52:F52"/>
    <mergeCell ref="D45:F45"/>
    <mergeCell ref="D46:F46"/>
    <mergeCell ref="D59:F59"/>
    <mergeCell ref="D57:F57"/>
    <mergeCell ref="D58:F58"/>
    <mergeCell ref="B20:E20"/>
    <mergeCell ref="B27:E27"/>
    <mergeCell ref="D119:F119"/>
    <mergeCell ref="D161:F161"/>
    <mergeCell ref="B38:E38"/>
    <mergeCell ref="D153:F153"/>
    <mergeCell ref="B28:F28"/>
    <mergeCell ref="D154:F154"/>
    <mergeCell ref="D160:F160"/>
    <mergeCell ref="D125:F125"/>
    <mergeCell ref="D126:F126"/>
    <mergeCell ref="D127:F127"/>
    <mergeCell ref="D128:F128"/>
    <mergeCell ref="D129:F129"/>
    <mergeCell ref="D130:F130"/>
    <mergeCell ref="D131:F131"/>
    <mergeCell ref="D132:F132"/>
    <mergeCell ref="D138:F138"/>
    <mergeCell ref="D139:F139"/>
    <mergeCell ref="D140:F140"/>
    <mergeCell ref="D141:F141"/>
    <mergeCell ref="D142:F142"/>
    <mergeCell ref="B135:E135"/>
    <mergeCell ref="D133:F133"/>
    <mergeCell ref="B137:F137"/>
    <mergeCell ref="B148:E148"/>
    <mergeCell ref="D151:F151"/>
    <mergeCell ref="D136:F136"/>
    <mergeCell ref="D158:F158"/>
    <mergeCell ref="B1145:E1145"/>
    <mergeCell ref="B486:E486"/>
    <mergeCell ref="B497:E497"/>
    <mergeCell ref="B654:E654"/>
    <mergeCell ref="B663:E663"/>
    <mergeCell ref="B648:F648"/>
    <mergeCell ref="B691:E691"/>
    <mergeCell ref="B632:F632"/>
    <mergeCell ref="D164:F164"/>
    <mergeCell ref="D315:F315"/>
    <mergeCell ref="D316:F316"/>
    <mergeCell ref="B311:E311"/>
    <mergeCell ref="D312:F312"/>
    <mergeCell ref="D334:F334"/>
    <mergeCell ref="B188:E188"/>
    <mergeCell ref="B189:E189"/>
    <mergeCell ref="D206:F206"/>
    <mergeCell ref="D207:F207"/>
    <mergeCell ref="D208:F208"/>
    <mergeCell ref="B205:F205"/>
    <mergeCell ref="B223:E223"/>
    <mergeCell ref="D209:F209"/>
    <mergeCell ref="B1140:E1140"/>
    <mergeCell ref="B1106:E1106"/>
    <mergeCell ref="B752:E752"/>
    <mergeCell ref="B812:E812"/>
    <mergeCell ref="B1111:E1111"/>
    <mergeCell ref="B1116:E1116"/>
    <mergeCell ref="B1081:E1081"/>
    <mergeCell ref="B801:E801"/>
    <mergeCell ref="B804:E804"/>
    <mergeCell ref="B789:F789"/>
    <mergeCell ref="B811:E811"/>
    <mergeCell ref="B1063:E1063"/>
    <mergeCell ref="B1019:E1019"/>
    <mergeCell ref="B1086:E1086"/>
    <mergeCell ref="B1091:E1091"/>
    <mergeCell ref="B939:E939"/>
    <mergeCell ref="D820:F820"/>
    <mergeCell ref="B1072:E1072"/>
    <mergeCell ref="B1059:E1059"/>
    <mergeCell ref="B910:E910"/>
    <mergeCell ref="B872:E872"/>
    <mergeCell ref="B877:E877"/>
    <mergeCell ref="B882:E882"/>
    <mergeCell ref="B886:E886"/>
    <mergeCell ref="B891:E891"/>
    <mergeCell ref="B896:E896"/>
    <mergeCell ref="B679:F679"/>
    <mergeCell ref="B755:F755"/>
    <mergeCell ref="B954:E954"/>
    <mergeCell ref="B949:E949"/>
    <mergeCell ref="B1066:E1066"/>
    <mergeCell ref="D821:F821"/>
    <mergeCell ref="B65:E65"/>
    <mergeCell ref="B81:F81"/>
    <mergeCell ref="B87:F87"/>
    <mergeCell ref="B86:E86"/>
    <mergeCell ref="D114:F114"/>
    <mergeCell ref="D116:F116"/>
    <mergeCell ref="D117:F117"/>
    <mergeCell ref="D118:F118"/>
    <mergeCell ref="D107:F107"/>
    <mergeCell ref="D104:F104"/>
    <mergeCell ref="D105:F105"/>
    <mergeCell ref="B103:F103"/>
    <mergeCell ref="B111:F111"/>
    <mergeCell ref="B69:E69"/>
    <mergeCell ref="D102:F102"/>
    <mergeCell ref="B110:E110"/>
    <mergeCell ref="B93:E93"/>
    <mergeCell ref="D115:F115"/>
    <mergeCell ref="B75:F75"/>
    <mergeCell ref="B78:E78"/>
    <mergeCell ref="B123:F123"/>
    <mergeCell ref="B122:E122"/>
    <mergeCell ref="B134:E134"/>
    <mergeCell ref="D150:F150"/>
    <mergeCell ref="D217:F217"/>
    <mergeCell ref="D218:F218"/>
    <mergeCell ref="D219:F219"/>
    <mergeCell ref="D124:F124"/>
    <mergeCell ref="D180:F180"/>
    <mergeCell ref="D186:F186"/>
    <mergeCell ref="D171:F171"/>
    <mergeCell ref="D173:F173"/>
    <mergeCell ref="D174:F174"/>
    <mergeCell ref="D175:F175"/>
    <mergeCell ref="D176:F176"/>
    <mergeCell ref="D177:F177"/>
    <mergeCell ref="D183:F183"/>
    <mergeCell ref="B181:F181"/>
    <mergeCell ref="D187:F187"/>
    <mergeCell ref="B184:E184"/>
    <mergeCell ref="D169:F169"/>
    <mergeCell ref="D155:F155"/>
    <mergeCell ref="D220:F220"/>
    <mergeCell ref="D221:F221"/>
    <mergeCell ref="D143:F143"/>
    <mergeCell ref="D144:F144"/>
    <mergeCell ref="D145:F145"/>
    <mergeCell ref="D163:F163"/>
    <mergeCell ref="D165:F165"/>
    <mergeCell ref="D162:F162"/>
    <mergeCell ref="D146:F146"/>
    <mergeCell ref="D147:F147"/>
    <mergeCell ref="D159:F159"/>
    <mergeCell ref="D156:F156"/>
    <mergeCell ref="D157:F157"/>
    <mergeCell ref="D166:F166"/>
    <mergeCell ref="D152:F152"/>
    <mergeCell ref="B149:F149"/>
    <mergeCell ref="D210:F210"/>
    <mergeCell ref="D211:F211"/>
    <mergeCell ref="D212:F212"/>
    <mergeCell ref="D213:F213"/>
    <mergeCell ref="D214:F214"/>
    <mergeCell ref="D215:F215"/>
    <mergeCell ref="D168:F168"/>
    <mergeCell ref="D216:F216"/>
    <mergeCell ref="D222:F222"/>
    <mergeCell ref="D192:F192"/>
    <mergeCell ref="D172:F172"/>
    <mergeCell ref="B179:E179"/>
    <mergeCell ref="D190:F190"/>
    <mergeCell ref="B195:E195"/>
    <mergeCell ref="D338:F338"/>
    <mergeCell ref="D339:F339"/>
    <mergeCell ref="D297:F297"/>
    <mergeCell ref="D326:F326"/>
    <mergeCell ref="B318:F318"/>
    <mergeCell ref="D308:F308"/>
    <mergeCell ref="D309:F309"/>
    <mergeCell ref="D303:F303"/>
    <mergeCell ref="D304:F304"/>
    <mergeCell ref="D305:F305"/>
    <mergeCell ref="D302:F302"/>
    <mergeCell ref="D307:F307"/>
    <mergeCell ref="D323:F323"/>
    <mergeCell ref="D324:F324"/>
    <mergeCell ref="D325:F325"/>
    <mergeCell ref="D327:F327"/>
    <mergeCell ref="D328:F328"/>
    <mergeCell ref="D286:F286"/>
    <mergeCell ref="D289:F289"/>
    <mergeCell ref="D290:F290"/>
    <mergeCell ref="D291:F291"/>
    <mergeCell ref="D292:F292"/>
    <mergeCell ref="D293:F293"/>
    <mergeCell ref="B317:E317"/>
    <mergeCell ref="D298:F298"/>
    <mergeCell ref="D299:F299"/>
    <mergeCell ref="D300:F300"/>
    <mergeCell ref="D301:F301"/>
    <mergeCell ref="D314:F314"/>
    <mergeCell ref="B313:F313"/>
    <mergeCell ref="D294:F294"/>
    <mergeCell ref="D306:F306"/>
    <mergeCell ref="B2286:F2286"/>
    <mergeCell ref="B759:F759"/>
    <mergeCell ref="B814:F814"/>
    <mergeCell ref="B816:E816"/>
    <mergeCell ref="B2271:F2271"/>
    <mergeCell ref="B2273:E2273"/>
    <mergeCell ref="B1309:E1309"/>
    <mergeCell ref="B1314:E1314"/>
    <mergeCell ref="B1321:E1321"/>
    <mergeCell ref="B1326:E1326"/>
    <mergeCell ref="B1331:E1331"/>
    <mergeCell ref="B1338:E1338"/>
    <mergeCell ref="B1343:E1343"/>
    <mergeCell ref="B1274:E1274"/>
    <mergeCell ref="B1280:E1280"/>
    <mergeCell ref="B1285:E1285"/>
    <mergeCell ref="B1101:E1101"/>
    <mergeCell ref="B1229:E1229"/>
    <mergeCell ref="D858:F858"/>
    <mergeCell ref="B1972:E1972"/>
    <mergeCell ref="B1975:E1975"/>
    <mergeCell ref="B1976:E1976"/>
    <mergeCell ref="B1982:E1982"/>
    <mergeCell ref="B1985:E1985"/>
    <mergeCell ref="B2288:F2288"/>
    <mergeCell ref="B2290:F2290"/>
    <mergeCell ref="B2293:E2293"/>
    <mergeCell ref="B10:F10"/>
    <mergeCell ref="B42:E42"/>
    <mergeCell ref="B2284:E2284"/>
    <mergeCell ref="B1914:E1914"/>
    <mergeCell ref="D828:F828"/>
    <mergeCell ref="B1244:E1244"/>
    <mergeCell ref="B16:E16"/>
    <mergeCell ref="B12:F12"/>
    <mergeCell ref="B748:F748"/>
    <mergeCell ref="B178:E178"/>
    <mergeCell ref="B572:F572"/>
    <mergeCell ref="B805:E805"/>
    <mergeCell ref="B792:E792"/>
    <mergeCell ref="B795:E795"/>
    <mergeCell ref="B798:E798"/>
    <mergeCell ref="B1297:E1297"/>
    <mergeCell ref="B1304:E1304"/>
    <mergeCell ref="B616:F616"/>
    <mergeCell ref="B618:F618"/>
    <mergeCell ref="B2280:E2280"/>
    <mergeCell ref="B2081:E2081"/>
    <mergeCell ref="B1148:E1148"/>
    <mergeCell ref="B2275:F2275"/>
    <mergeCell ref="B1233:E1233"/>
    <mergeCell ref="B1179:E1179"/>
    <mergeCell ref="B1174:E1174"/>
    <mergeCell ref="B1189:E1189"/>
    <mergeCell ref="B1990:E1990"/>
    <mergeCell ref="B1993:E1993"/>
    <mergeCell ref="B1356:E1356"/>
    <mergeCell ref="B1489:E1489"/>
    <mergeCell ref="B1169:E1169"/>
    <mergeCell ref="B1159:E1159"/>
    <mergeCell ref="B1164:E1164"/>
    <mergeCell ref="B1209:E1209"/>
    <mergeCell ref="B1213:E1213"/>
    <mergeCell ref="B1217:E1217"/>
    <mergeCell ref="B1222:E1222"/>
    <mergeCell ref="B1184:E1184"/>
    <mergeCell ref="B1154:E1154"/>
    <mergeCell ref="B2228:E2228"/>
    <mergeCell ref="B2159:E2159"/>
    <mergeCell ref="B2165:E2165"/>
    <mergeCell ref="B2234:E2234"/>
    <mergeCell ref="B2237:E2237"/>
    <mergeCell ref="B2277:E2277"/>
    <mergeCell ref="B2279:E2279"/>
    <mergeCell ref="B1262:E1262"/>
    <mergeCell ref="B1268:E1268"/>
    <mergeCell ref="B2191:E2191"/>
    <mergeCell ref="B2194:E2194"/>
    <mergeCell ref="B2198:E2198"/>
    <mergeCell ref="B2201:E2201"/>
    <mergeCell ref="B2084:E2084"/>
    <mergeCell ref="B2204:E2204"/>
    <mergeCell ref="B1397:E1397"/>
    <mergeCell ref="B1415:E1415"/>
    <mergeCell ref="B2266:E2266"/>
    <mergeCell ref="B1800:E1800"/>
    <mergeCell ref="B2255:E2255"/>
    <mergeCell ref="B2066:E2066"/>
    <mergeCell ref="B2069:E2069"/>
    <mergeCell ref="B2072:E2072"/>
    <mergeCell ref="B2075:E2075"/>
    <mergeCell ref="B2078:E2078"/>
    <mergeCell ref="B2240:E2240"/>
    <mergeCell ref="B2090:E2090"/>
    <mergeCell ref="B2231:E2231"/>
    <mergeCell ref="B2213:E2213"/>
    <mergeCell ref="A2:F2"/>
    <mergeCell ref="A3:F3"/>
    <mergeCell ref="A4:F4"/>
    <mergeCell ref="A5:F5"/>
    <mergeCell ref="A6:F6"/>
    <mergeCell ref="A7:F7"/>
    <mergeCell ref="B621:F621"/>
    <mergeCell ref="D348:F348"/>
    <mergeCell ref="B384:E384"/>
    <mergeCell ref="D380:F380"/>
    <mergeCell ref="D374:F374"/>
    <mergeCell ref="D397:F397"/>
    <mergeCell ref="D395:F395"/>
    <mergeCell ref="D394:F394"/>
    <mergeCell ref="D469:F469"/>
    <mergeCell ref="D455:F455"/>
    <mergeCell ref="D461:F461"/>
    <mergeCell ref="D509:F509"/>
    <mergeCell ref="D456:F456"/>
    <mergeCell ref="D120:F120"/>
    <mergeCell ref="D121:F121"/>
    <mergeCell ref="D113:F113"/>
    <mergeCell ref="D287:F287"/>
    <mergeCell ref="D288:F288"/>
    <mergeCell ref="D634:F634"/>
    <mergeCell ref="B623:F623"/>
    <mergeCell ref="B627:E627"/>
    <mergeCell ref="B620:E620"/>
    <mergeCell ref="B625:F625"/>
    <mergeCell ref="B631:E631"/>
    <mergeCell ref="B629:F629"/>
    <mergeCell ref="D351:F351"/>
    <mergeCell ref="D354:F354"/>
    <mergeCell ref="D356:F356"/>
    <mergeCell ref="D421:F421"/>
    <mergeCell ref="D422:F422"/>
    <mergeCell ref="D423:F423"/>
    <mergeCell ref="D471:F471"/>
    <mergeCell ref="D473:F473"/>
    <mergeCell ref="D495:F495"/>
    <mergeCell ref="B452:F452"/>
    <mergeCell ref="D442:F442"/>
    <mergeCell ref="D443:F443"/>
    <mergeCell ref="B502:E502"/>
    <mergeCell ref="B500:F500"/>
    <mergeCell ref="B487:F487"/>
    <mergeCell ref="D488:F488"/>
    <mergeCell ref="D436:F436"/>
  </mergeCells>
  <conditionalFormatting sqref="C1670:E1670 B1681:E1681 B1688 B1689:E1689 C1694:E1695 A1495:A1501 C1575 E1595:E1596 D1584 D1594:D1596 B1544:E1544 A1503:A1506 B1509:E1509 A1517:A1521 B1529:D1529 A1533 A1541:A1542 C1556:D1556 D1586:E1586 B1492:E1496 A1491:B1491 D1491:E1491 B1498:E1501 B1497 D1497:E1497 B1503:E1503 B1502 D1502:E1502 B1504:B1505 D1505:E1505 B1510 D1510:E1510 B1680 B1693:B1695 B1246 C1508:E1508 B2247:E2248 B1757:E1778 C1795 D1796:E1796 C1781:E1786 C1797:E1797 A1694:A1700 A1664 B1074:E1081 B2047:E2048 B225 B696 B700:B703 B730:B733 B724:B725 B477:B478 B179:B180 A1667:A1669 B1669:B1670 A1530 B1532:E1532 A1536 B1538:E1538 A1672 B1674 A1570 B1572:E1572 A1590 B1592 A1508:A1512 B1511:E1514 B160:B163 B364:C366 B26 B19 B349:B357 B314:B316 B343:B344 B333 C376:D383 C370:D371 B421:B443 B391:B398 B124 B126:B128 B131:B133 B22 B52 B47 B57:B58 B62:B64 B119:B120 B152:B157 B186:B187 B236:B256 B198:B200 B305:B309 B311 B280:B282 B509:B512 B505 B593:B613 B559:B563 B746 B693 B942:E942 B1136 B1357 A1704:C1705 D1704:E1704 A1729 A1754:E1754 A1702 B1895:E1900 A1906:E1909 B1932:E1938 B1947:E1947 B2032:E2033 B2023:E2024 B2026:E2027 B2029:E2030 B2035:E2036 B2038:E2039 B2041:E2042 B2044:E2045 A1903:E1904 B1902:E1902 B1917:E1923 B2019:E2021 B668:B677 B1063:E1063 B1065:E1065 B1064 C1147:E1147 A1756:A1800 B14">
    <cfRule type="containsText" dxfId="2552" priority="4099" operator="containsText" text="m2">
      <formula>NOT(ISERROR(SEARCH("m2",A14)))</formula>
    </cfRule>
  </conditionalFormatting>
  <conditionalFormatting sqref="F1681 F3:F6 F1508:F1509 F1538 F1544 F1550 F1592 F1689 F1694 F1492:F1496 F1498:F1501 F1503:F1504 F1511:F1513 F2247:F2248 F1757:F1778 F1781:F1799 F388 F594:F613 F1074:F1081 F2047:F2048 F695:F703 F722 F724:F733 F741:F746 F668 F942 F1135:F1136 F1704 F1754 F1895:F1900 F1906:F1909 F1932:F1938 F1947 F2032:F2033 F2023:F2024 F2026:F2027 F2029:F2030 F2035:F2036 F2038:F2039 F2041:F2042 F2044:F2045 F1902:F1904 F1917:F1923 F2019:F2021 F682:F690 F1063 F2300:F1048576">
    <cfRule type="containsText" dxfId="2551" priority="4098" operator="containsText" text="TOTAL">
      <formula>NOT(ISERROR(SEARCH("TOTAL",F3)))</formula>
    </cfRule>
  </conditionalFormatting>
  <conditionalFormatting sqref="B1507:E1507">
    <cfRule type="containsText" dxfId="2550" priority="3514" operator="containsText" text="m2">
      <formula>NOT(ISERROR(SEARCH("m2",B1507)))</formula>
    </cfRule>
  </conditionalFormatting>
  <conditionalFormatting sqref="F1507">
    <cfRule type="containsText" dxfId="2549" priority="3513" operator="containsText" text="TOTAL">
      <formula>NOT(ISERROR(SEARCH("TOTAL",F1507)))</formula>
    </cfRule>
  </conditionalFormatting>
  <conditionalFormatting sqref="B1522:E1522 B1519 D1519:E1519">
    <cfRule type="containsText" dxfId="2548" priority="3512" operator="containsText" text="m2">
      <formula>NOT(ISERROR(SEARCH("m2",B1519)))</formula>
    </cfRule>
  </conditionalFormatting>
  <conditionalFormatting sqref="F1522">
    <cfRule type="containsText" dxfId="2547" priority="3511" operator="containsText" text="TOTAL">
      <formula>NOT(ISERROR(SEARCH("TOTAL",F1522)))</formula>
    </cfRule>
  </conditionalFormatting>
  <conditionalFormatting sqref="B1521:E1521">
    <cfRule type="containsText" dxfId="2546" priority="3510" operator="containsText" text="m2">
      <formula>NOT(ISERROR(SEARCH("m2",B1521)))</formula>
    </cfRule>
  </conditionalFormatting>
  <conditionalFormatting sqref="F1521">
    <cfRule type="containsText" dxfId="2545" priority="3509" operator="containsText" text="TOTAL">
      <formula>NOT(ISERROR(SEARCH("TOTAL",F1521)))</formula>
    </cfRule>
  </conditionalFormatting>
  <conditionalFormatting sqref="B1523:E1523">
    <cfRule type="containsText" dxfId="2544" priority="3508" operator="containsText" text="m2">
      <formula>NOT(ISERROR(SEARCH("m2",B1523)))</formula>
    </cfRule>
  </conditionalFormatting>
  <conditionalFormatting sqref="F1523">
    <cfRule type="containsText" dxfId="2543" priority="3507" operator="containsText" text="TOTAL">
      <formula>NOT(ISERROR(SEARCH("TOTAL",F1523)))</formula>
    </cfRule>
  </conditionalFormatting>
  <conditionalFormatting sqref="A1522">
    <cfRule type="containsText" dxfId="2542" priority="3506" operator="containsText" text="m2">
      <formula>NOT(ISERROR(SEARCH("m2",A1522)))</formula>
    </cfRule>
  </conditionalFormatting>
  <conditionalFormatting sqref="B1524 D1524:E1524">
    <cfRule type="containsText" dxfId="2541" priority="3505" operator="containsText" text="m2">
      <formula>NOT(ISERROR(SEARCH("m2",B1524)))</formula>
    </cfRule>
  </conditionalFormatting>
  <conditionalFormatting sqref="A1523">
    <cfRule type="containsText" dxfId="2540" priority="3503" operator="containsText" text="m2">
      <formula>NOT(ISERROR(SEARCH("m2",A1523)))</formula>
    </cfRule>
  </conditionalFormatting>
  <conditionalFormatting sqref="B1525:E1525">
    <cfRule type="containsText" dxfId="2539" priority="3502" operator="containsText" text="m2">
      <formula>NOT(ISERROR(SEARCH("m2",B1525)))</formula>
    </cfRule>
  </conditionalFormatting>
  <conditionalFormatting sqref="F1525">
    <cfRule type="containsText" dxfId="2538" priority="3501" operator="containsText" text="TOTAL">
      <formula>NOT(ISERROR(SEARCH("TOTAL",F1525)))</formula>
    </cfRule>
  </conditionalFormatting>
  <conditionalFormatting sqref="A1524:A1525">
    <cfRule type="containsText" dxfId="2537" priority="3500" operator="containsText" text="m2">
      <formula>NOT(ISERROR(SEARCH("m2",A1524)))</formula>
    </cfRule>
  </conditionalFormatting>
  <conditionalFormatting sqref="B1526:E1527">
    <cfRule type="containsText" dxfId="2536" priority="3499" operator="containsText" text="m2">
      <formula>NOT(ISERROR(SEARCH("m2",B1526)))</formula>
    </cfRule>
  </conditionalFormatting>
  <conditionalFormatting sqref="F1526:F1527">
    <cfRule type="containsText" dxfId="2535" priority="3498" operator="containsText" text="TOTAL">
      <formula>NOT(ISERROR(SEARCH("TOTAL",F1526)))</formula>
    </cfRule>
  </conditionalFormatting>
  <conditionalFormatting sqref="B1533:E1533 D1535:E1535">
    <cfRule type="containsText" dxfId="2534" priority="3481" operator="containsText" text="m2">
      <formula>NOT(ISERROR(SEARCH("m2",B1533)))</formula>
    </cfRule>
  </conditionalFormatting>
  <conditionalFormatting sqref="B1537">
    <cfRule type="containsText" dxfId="2533" priority="3375" operator="containsText" text="m2">
      <formula>NOT(ISERROR(SEARCH("m2",B1537)))</formula>
    </cfRule>
  </conditionalFormatting>
  <conditionalFormatting sqref="A1526">
    <cfRule type="containsText" dxfId="2532" priority="3494" operator="containsText" text="m2">
      <formula>NOT(ISERROR(SEARCH("m2",A1526)))</formula>
    </cfRule>
  </conditionalFormatting>
  <conditionalFormatting sqref="B1528:E1528">
    <cfRule type="containsText" dxfId="2531" priority="3493" operator="containsText" text="m2">
      <formula>NOT(ISERROR(SEARCH("m2",B1528)))</formula>
    </cfRule>
  </conditionalFormatting>
  <conditionalFormatting sqref="F1528">
    <cfRule type="containsText" dxfId="2530" priority="3492" operator="containsText" text="TOTAL">
      <formula>NOT(ISERROR(SEARCH("TOTAL",F1528)))</formula>
    </cfRule>
  </conditionalFormatting>
  <conditionalFormatting sqref="E1529">
    <cfRule type="containsText" dxfId="2529" priority="3491" operator="containsText" text="m2">
      <formula>NOT(ISERROR(SEARCH("m2",E1529)))</formula>
    </cfRule>
  </conditionalFormatting>
  <conditionalFormatting sqref="F1529">
    <cfRule type="containsText" dxfId="2528" priority="3490" operator="containsText" text="TOTAL">
      <formula>NOT(ISERROR(SEARCH("TOTAL",F1529)))</formula>
    </cfRule>
  </conditionalFormatting>
  <conditionalFormatting sqref="A1528">
    <cfRule type="containsText" dxfId="2527" priority="3489" operator="containsText" text="m2">
      <formula>NOT(ISERROR(SEARCH("m2",A1528)))</formula>
    </cfRule>
  </conditionalFormatting>
  <conditionalFormatting sqref="B1530:E1530">
    <cfRule type="containsText" dxfId="2526" priority="3488" operator="containsText" text="m2">
      <formula>NOT(ISERROR(SEARCH("m2",B1530)))</formula>
    </cfRule>
  </conditionalFormatting>
  <conditionalFormatting sqref="F1530">
    <cfRule type="containsText" dxfId="2525" priority="3487" operator="containsText" text="TOTAL">
      <formula>NOT(ISERROR(SEARCH("TOTAL",F1530)))</formula>
    </cfRule>
  </conditionalFormatting>
  <conditionalFormatting sqref="A1529">
    <cfRule type="containsText" dxfId="2524" priority="3486" operator="containsText" text="m2">
      <formula>NOT(ISERROR(SEARCH("m2",A1529)))</formula>
    </cfRule>
  </conditionalFormatting>
  <conditionalFormatting sqref="B1531 D1531:E1531">
    <cfRule type="containsText" dxfId="2523" priority="3485" operator="containsText" text="m2">
      <formula>NOT(ISERROR(SEARCH("m2",B1531)))</formula>
    </cfRule>
  </conditionalFormatting>
  <conditionalFormatting sqref="F1532">
    <cfRule type="containsText" dxfId="2522" priority="3483" operator="containsText" text="TOTAL">
      <formula>NOT(ISERROR(SEARCH("TOTAL",F1532)))</formula>
    </cfRule>
  </conditionalFormatting>
  <conditionalFormatting sqref="A1531:A1532">
    <cfRule type="containsText" dxfId="2521" priority="3482" operator="containsText" text="m2">
      <formula>NOT(ISERROR(SEARCH("m2",A1531)))</formula>
    </cfRule>
  </conditionalFormatting>
  <conditionalFormatting sqref="F1533 F1535">
    <cfRule type="containsText" dxfId="2520" priority="3480" operator="containsText" text="TOTAL">
      <formula>NOT(ISERROR(SEARCH("TOTAL",F1533)))</formula>
    </cfRule>
  </conditionalFormatting>
  <conditionalFormatting sqref="A1534">
    <cfRule type="containsText" dxfId="2519" priority="3478" operator="containsText" text="m2">
      <formula>NOT(ISERROR(SEARCH("m2",A1534)))</formula>
    </cfRule>
  </conditionalFormatting>
  <conditionalFormatting sqref="B1536:E1536">
    <cfRule type="containsText" dxfId="2518" priority="3477" operator="containsText" text="m2">
      <formula>NOT(ISERROR(SEARCH("m2",B1536)))</formula>
    </cfRule>
  </conditionalFormatting>
  <conditionalFormatting sqref="F1536">
    <cfRule type="containsText" dxfId="2517" priority="3476" operator="containsText" text="TOTAL">
      <formula>NOT(ISERROR(SEARCH("TOTAL",F1536)))</formula>
    </cfRule>
  </conditionalFormatting>
  <conditionalFormatting sqref="A1535">
    <cfRule type="containsText" dxfId="2516" priority="3475" operator="containsText" text="m2">
      <formula>NOT(ISERROR(SEARCH("m2",A1535)))</formula>
    </cfRule>
  </conditionalFormatting>
  <conditionalFormatting sqref="D1537:E1537">
    <cfRule type="containsText" dxfId="2515" priority="3474" operator="containsText" text="m2">
      <formula>NOT(ISERROR(SEARCH("m2",D1537)))</formula>
    </cfRule>
  </conditionalFormatting>
  <conditionalFormatting sqref="A1539">
    <cfRule type="containsText" dxfId="2514" priority="3472" operator="containsText" text="m2">
      <formula>NOT(ISERROR(SEARCH("m2",A1539)))</formula>
    </cfRule>
  </conditionalFormatting>
  <conditionalFormatting sqref="B1539:E1539 D1541:E1541">
    <cfRule type="containsText" dxfId="2513" priority="3470" operator="containsText" text="m2">
      <formula>NOT(ISERROR(SEARCH("m2",B1539)))</formula>
    </cfRule>
  </conditionalFormatting>
  <conditionalFormatting sqref="A1537:A1538">
    <cfRule type="containsText" dxfId="2512" priority="3471" operator="containsText" text="m2">
      <formula>NOT(ISERROR(SEARCH("m2",A1537)))</formula>
    </cfRule>
  </conditionalFormatting>
  <conditionalFormatting sqref="F1539 F1541">
    <cfRule type="containsText" dxfId="2511" priority="3469" operator="containsText" text="TOTAL">
      <formula>NOT(ISERROR(SEARCH("TOTAL",F1539)))</formula>
    </cfRule>
  </conditionalFormatting>
  <conditionalFormatting sqref="B1541">
    <cfRule type="containsText" dxfId="2510" priority="3468" operator="containsText" text="m2">
      <formula>NOT(ISERROR(SEARCH("m2",B1541)))</formula>
    </cfRule>
  </conditionalFormatting>
  <conditionalFormatting sqref="A1540">
    <cfRule type="containsText" dxfId="2509" priority="3467" operator="containsText" text="m2">
      <formula>NOT(ISERROR(SEARCH("m2",A1540)))</formula>
    </cfRule>
  </conditionalFormatting>
  <conditionalFormatting sqref="B1542:E1542">
    <cfRule type="containsText" dxfId="2508" priority="3466" operator="containsText" text="m2">
      <formula>NOT(ISERROR(SEARCH("m2",B1542)))</formula>
    </cfRule>
  </conditionalFormatting>
  <conditionalFormatting sqref="F1542">
    <cfRule type="containsText" dxfId="2507" priority="3465" operator="containsText" text="TOTAL">
      <formula>NOT(ISERROR(SEARCH("TOTAL",F1542)))</formula>
    </cfRule>
  </conditionalFormatting>
  <conditionalFormatting sqref="B1543">
    <cfRule type="containsText" dxfId="2506" priority="3464" operator="containsText" text="m2">
      <formula>NOT(ISERROR(SEARCH("m2",B1543)))</formula>
    </cfRule>
  </conditionalFormatting>
  <conditionalFormatting sqref="D1543:E1543">
    <cfRule type="containsText" dxfId="2505" priority="3463" operator="containsText" text="m2">
      <formula>NOT(ISERROR(SEARCH("m2",D1543)))</formula>
    </cfRule>
  </conditionalFormatting>
  <conditionalFormatting sqref="A1545">
    <cfRule type="containsText" dxfId="2504" priority="3461" operator="containsText" text="m2">
      <formula>NOT(ISERROR(SEARCH("m2",A1545)))</formula>
    </cfRule>
  </conditionalFormatting>
  <conditionalFormatting sqref="B1547:E1547">
    <cfRule type="containsText" dxfId="2503" priority="3460" operator="containsText" text="m2">
      <formula>NOT(ISERROR(SEARCH("m2",B1547)))</formula>
    </cfRule>
  </conditionalFormatting>
  <conditionalFormatting sqref="F1547">
    <cfRule type="containsText" dxfId="2502" priority="3459" operator="containsText" text="TOTAL">
      <formula>NOT(ISERROR(SEARCH("TOTAL",F1547)))</formula>
    </cfRule>
  </conditionalFormatting>
  <conditionalFormatting sqref="A1543:A1544">
    <cfRule type="containsText" dxfId="2501" priority="3458" operator="containsText" text="m2">
      <formula>NOT(ISERROR(SEARCH("m2",A1543)))</formula>
    </cfRule>
  </conditionalFormatting>
  <conditionalFormatting sqref="B1545:E1545">
    <cfRule type="containsText" dxfId="2500" priority="3457" operator="containsText" text="m2">
      <formula>NOT(ISERROR(SEARCH("m2",B1545)))</formula>
    </cfRule>
  </conditionalFormatting>
  <conditionalFormatting sqref="F1545">
    <cfRule type="containsText" dxfId="2499" priority="3456" operator="containsText" text="TOTAL">
      <formula>NOT(ISERROR(SEARCH("TOTAL",F1545)))</formula>
    </cfRule>
  </conditionalFormatting>
  <conditionalFormatting sqref="A1546">
    <cfRule type="containsText" dxfId="2498" priority="3455" operator="containsText" text="m2">
      <formula>NOT(ISERROR(SEARCH("m2",A1546)))</formula>
    </cfRule>
  </conditionalFormatting>
  <conditionalFormatting sqref="B1548:E1548">
    <cfRule type="containsText" dxfId="2497" priority="3454" operator="containsText" text="m2">
      <formula>NOT(ISERROR(SEARCH("m2",B1548)))</formula>
    </cfRule>
  </conditionalFormatting>
  <conditionalFormatting sqref="F1548">
    <cfRule type="containsText" dxfId="2496" priority="3453" operator="containsText" text="TOTAL">
      <formula>NOT(ISERROR(SEARCH("TOTAL",F1548)))</formula>
    </cfRule>
  </conditionalFormatting>
  <conditionalFormatting sqref="A1547">
    <cfRule type="containsText" dxfId="2495" priority="3452" operator="containsText" text="m2">
      <formula>NOT(ISERROR(SEARCH("m2",A1547)))</formula>
    </cfRule>
  </conditionalFormatting>
  <conditionalFormatting sqref="D1549:E1549">
    <cfRule type="containsText" dxfId="2494" priority="3450" operator="containsText" text="m2">
      <formula>NOT(ISERROR(SEARCH("m2",D1549)))</formula>
    </cfRule>
  </conditionalFormatting>
  <conditionalFormatting sqref="B1552:E1552">
    <cfRule type="containsText" dxfId="2493" priority="3447" operator="containsText" text="m2">
      <formula>NOT(ISERROR(SEARCH("m2",B1552)))</formula>
    </cfRule>
  </conditionalFormatting>
  <conditionalFormatting sqref="A1550">
    <cfRule type="containsText" dxfId="2492" priority="3448" operator="containsText" text="m2">
      <formula>NOT(ISERROR(SEARCH("m2",A1550)))</formula>
    </cfRule>
  </conditionalFormatting>
  <conditionalFormatting sqref="F1552">
    <cfRule type="containsText" dxfId="2491" priority="3446" operator="containsText" text="TOTAL">
      <formula>NOT(ISERROR(SEARCH("TOTAL",F1552)))</formula>
    </cfRule>
  </conditionalFormatting>
  <conditionalFormatting sqref="A1551">
    <cfRule type="containsText" dxfId="2490" priority="3445" operator="containsText" text="m2">
      <formula>NOT(ISERROR(SEARCH("m2",A1551)))</formula>
    </cfRule>
  </conditionalFormatting>
  <conditionalFormatting sqref="B1553:E1553">
    <cfRule type="containsText" dxfId="2489" priority="3444" operator="containsText" text="m2">
      <formula>NOT(ISERROR(SEARCH("m2",B1553)))</formula>
    </cfRule>
  </conditionalFormatting>
  <conditionalFormatting sqref="F1553">
    <cfRule type="containsText" dxfId="2488" priority="3443" operator="containsText" text="TOTAL">
      <formula>NOT(ISERROR(SEARCH("TOTAL",F1553)))</formula>
    </cfRule>
  </conditionalFormatting>
  <conditionalFormatting sqref="A1552">
    <cfRule type="containsText" dxfId="2487" priority="3442" operator="containsText" text="m2">
      <formula>NOT(ISERROR(SEARCH("m2",A1552)))</formula>
    </cfRule>
  </conditionalFormatting>
  <conditionalFormatting sqref="B1554:E1554">
    <cfRule type="containsText" dxfId="2486" priority="3441" operator="containsText" text="m2">
      <formula>NOT(ISERROR(SEARCH("m2",B1554)))</formula>
    </cfRule>
  </conditionalFormatting>
  <conditionalFormatting sqref="F1554">
    <cfRule type="containsText" dxfId="2485" priority="3440" operator="containsText" text="TOTAL">
      <formula>NOT(ISERROR(SEARCH("TOTAL",F1554)))</formula>
    </cfRule>
  </conditionalFormatting>
  <conditionalFormatting sqref="D1555:E1555">
    <cfRule type="containsText" dxfId="2484" priority="3439" operator="containsText" text="m2">
      <formula>NOT(ISERROR(SEARCH("m2",D1555)))</formula>
    </cfRule>
  </conditionalFormatting>
  <conditionalFormatting sqref="E1556">
    <cfRule type="containsText" dxfId="2483" priority="3437" operator="containsText" text="m2">
      <formula>NOT(ISERROR(SEARCH("m2",E1556)))</formula>
    </cfRule>
  </conditionalFormatting>
  <conditionalFormatting sqref="F1556">
    <cfRule type="containsText" dxfId="2482" priority="3436" operator="containsText" text="TOTAL">
      <formula>NOT(ISERROR(SEARCH("TOTAL",F1556)))</formula>
    </cfRule>
  </conditionalFormatting>
  <conditionalFormatting sqref="A1557">
    <cfRule type="containsText" dxfId="2481" priority="3435" operator="containsText" text="m2">
      <formula>NOT(ISERROR(SEARCH("m2",A1557)))</formula>
    </cfRule>
  </conditionalFormatting>
  <conditionalFormatting sqref="C1559:E1559">
    <cfRule type="containsText" dxfId="2480" priority="3434" operator="containsText" text="m2">
      <formula>NOT(ISERROR(SEARCH("m2",C1559)))</formula>
    </cfRule>
  </conditionalFormatting>
  <conditionalFormatting sqref="F1559">
    <cfRule type="containsText" dxfId="2479" priority="3433" operator="containsText" text="TOTAL">
      <formula>NOT(ISERROR(SEARCH("TOTAL",F1559)))</formula>
    </cfRule>
  </conditionalFormatting>
  <conditionalFormatting sqref="A1556">
    <cfRule type="containsText" dxfId="2478" priority="3432" operator="containsText" text="m2">
      <formula>NOT(ISERROR(SEARCH("m2",A1556)))</formula>
    </cfRule>
  </conditionalFormatting>
  <conditionalFormatting sqref="C1558:E1558">
    <cfRule type="containsText" dxfId="2477" priority="3431" operator="containsText" text="m2">
      <formula>NOT(ISERROR(SEARCH("m2",C1558)))</formula>
    </cfRule>
  </conditionalFormatting>
  <conditionalFormatting sqref="F1558">
    <cfRule type="containsText" dxfId="2476" priority="3430" operator="containsText" text="TOTAL">
      <formula>NOT(ISERROR(SEARCH("TOTAL",F1558)))</formula>
    </cfRule>
  </conditionalFormatting>
  <conditionalFormatting sqref="A1558:A1565">
    <cfRule type="containsText" dxfId="2475" priority="3429" operator="containsText" text="m2">
      <formula>NOT(ISERROR(SEARCH("m2",A1558)))</formula>
    </cfRule>
  </conditionalFormatting>
  <conditionalFormatting sqref="B1560:E1560">
    <cfRule type="containsText" dxfId="2474" priority="3428" operator="containsText" text="m2">
      <formula>NOT(ISERROR(SEARCH("m2",B1560)))</formula>
    </cfRule>
  </conditionalFormatting>
  <conditionalFormatting sqref="F1560">
    <cfRule type="containsText" dxfId="2473" priority="3427" operator="containsText" text="TOTAL">
      <formula>NOT(ISERROR(SEARCH("TOTAL",F1560)))</formula>
    </cfRule>
  </conditionalFormatting>
  <conditionalFormatting sqref="C1569:D1569">
    <cfRule type="containsText" dxfId="2472" priority="3426" operator="containsText" text="m2">
      <formula>NOT(ISERROR(SEARCH("m2",C1569)))</formula>
    </cfRule>
  </conditionalFormatting>
  <conditionalFormatting sqref="E1569">
    <cfRule type="containsText" dxfId="2471" priority="3425" operator="containsText" text="m2">
      <formula>NOT(ISERROR(SEARCH("m2",E1569)))</formula>
    </cfRule>
  </conditionalFormatting>
  <conditionalFormatting sqref="F1569:F1570 F1572">
    <cfRule type="containsText" dxfId="2470" priority="3424" operator="containsText" text="TOTAL">
      <formula>NOT(ISERROR(SEARCH("TOTAL",F1569)))</formula>
    </cfRule>
  </conditionalFormatting>
  <conditionalFormatting sqref="A1568:A1569">
    <cfRule type="containsText" dxfId="2469" priority="3423" operator="containsText" text="m2">
      <formula>NOT(ISERROR(SEARCH("m2",A1568)))</formula>
    </cfRule>
  </conditionalFormatting>
  <conditionalFormatting sqref="B1570:E1570">
    <cfRule type="containsText" dxfId="2468" priority="3422" operator="containsText" text="m2">
      <formula>NOT(ISERROR(SEARCH("m2",B1570)))</formula>
    </cfRule>
  </conditionalFormatting>
  <conditionalFormatting sqref="A1571">
    <cfRule type="containsText" dxfId="2467" priority="3418" operator="containsText" text="m2">
      <formula>NOT(ISERROR(SEARCH("m2",A1571)))</formula>
    </cfRule>
  </conditionalFormatting>
  <conditionalFormatting sqref="B1573:E1573">
    <cfRule type="containsText" dxfId="2466" priority="3417" operator="containsText" text="m2">
      <formula>NOT(ISERROR(SEARCH("m2",B1573)))</formula>
    </cfRule>
  </conditionalFormatting>
  <conditionalFormatting sqref="F1573">
    <cfRule type="containsText" dxfId="2465" priority="3416" operator="containsText" text="TOTAL">
      <formula>NOT(ISERROR(SEARCH("TOTAL",F1573)))</formula>
    </cfRule>
  </conditionalFormatting>
  <conditionalFormatting sqref="D1574:E1574">
    <cfRule type="containsText" dxfId="2464" priority="3415" operator="containsText" text="m2">
      <formula>NOT(ISERROR(SEARCH("m2",D1574)))</formula>
    </cfRule>
  </conditionalFormatting>
  <conditionalFormatting sqref="F1575">
    <cfRule type="containsText" dxfId="2463" priority="3413" operator="containsText" text="TOTAL">
      <formula>NOT(ISERROR(SEARCH("TOTAL",F1575)))</formula>
    </cfRule>
  </conditionalFormatting>
  <conditionalFormatting sqref="F1576">
    <cfRule type="containsText" dxfId="2462" priority="3412" operator="containsText" text="TOTAL">
      <formula>NOT(ISERROR(SEARCH("TOTAL",F1576)))</formula>
    </cfRule>
  </conditionalFormatting>
  <conditionalFormatting sqref="A1574">
    <cfRule type="containsText" dxfId="2461" priority="3411" operator="containsText" text="m2">
      <formula>NOT(ISERROR(SEARCH("m2",A1574)))</formula>
    </cfRule>
  </conditionalFormatting>
  <conditionalFormatting sqref="B1576:E1576">
    <cfRule type="containsText" dxfId="2460" priority="3410" operator="containsText" text="m2">
      <formula>NOT(ISERROR(SEARCH("m2",B1576)))</formula>
    </cfRule>
  </conditionalFormatting>
  <conditionalFormatting sqref="A1575">
    <cfRule type="containsText" dxfId="2459" priority="3409" operator="containsText" text="m2">
      <formula>NOT(ISERROR(SEARCH("m2",A1575)))</formula>
    </cfRule>
  </conditionalFormatting>
  <conditionalFormatting sqref="B1577:E1577">
    <cfRule type="containsText" dxfId="2458" priority="3408" operator="containsText" text="m2">
      <formula>NOT(ISERROR(SEARCH("m2",B1577)))</formula>
    </cfRule>
  </conditionalFormatting>
  <conditionalFormatting sqref="F1577">
    <cfRule type="containsText" dxfId="2457" priority="3407" operator="containsText" text="TOTAL">
      <formula>NOT(ISERROR(SEARCH("TOTAL",F1577)))</formula>
    </cfRule>
  </conditionalFormatting>
  <conditionalFormatting sqref="D1578:E1578">
    <cfRule type="containsText" dxfId="2456" priority="3406" operator="containsText" text="m2">
      <formula>NOT(ISERROR(SEARCH("m2",D1578)))</formula>
    </cfRule>
  </conditionalFormatting>
  <conditionalFormatting sqref="F1579">
    <cfRule type="containsText" dxfId="2455" priority="3404" operator="containsText" text="TOTAL">
      <formula>NOT(ISERROR(SEARCH("TOTAL",F1579)))</formula>
    </cfRule>
  </conditionalFormatting>
  <conditionalFormatting sqref="B1549">
    <cfRule type="containsText" dxfId="2454" priority="3374" operator="containsText" text="m2">
      <formula>NOT(ISERROR(SEARCH("m2",B1549)))</formula>
    </cfRule>
  </conditionalFormatting>
  <conditionalFormatting sqref="A1579">
    <cfRule type="containsText" dxfId="2453" priority="3401" operator="containsText" text="m2">
      <formula>NOT(ISERROR(SEARCH("m2",A1579)))</formula>
    </cfRule>
  </conditionalFormatting>
  <conditionalFormatting sqref="B1581:E1581">
    <cfRule type="containsText" dxfId="2452" priority="3400" operator="containsText" text="m2">
      <formula>NOT(ISERROR(SEARCH("m2",B1581)))</formula>
    </cfRule>
  </conditionalFormatting>
  <conditionalFormatting sqref="F1581">
    <cfRule type="containsText" dxfId="2451" priority="3399" operator="containsText" text="TOTAL">
      <formula>NOT(ISERROR(SEARCH("TOTAL",F1581)))</formula>
    </cfRule>
  </conditionalFormatting>
  <conditionalFormatting sqref="A1580">
    <cfRule type="containsText" dxfId="2450" priority="3398" operator="containsText" text="m2">
      <formula>NOT(ISERROR(SEARCH("m2",A1580)))</formula>
    </cfRule>
  </conditionalFormatting>
  <conditionalFormatting sqref="B1582:E1582">
    <cfRule type="containsText" dxfId="2449" priority="3397" operator="containsText" text="m2">
      <formula>NOT(ISERROR(SEARCH("m2",B1582)))</formula>
    </cfRule>
  </conditionalFormatting>
  <conditionalFormatting sqref="F1582">
    <cfRule type="containsText" dxfId="2448" priority="3396" operator="containsText" text="TOTAL">
      <formula>NOT(ISERROR(SEARCH("TOTAL",F1582)))</formula>
    </cfRule>
  </conditionalFormatting>
  <conditionalFormatting sqref="D1583:E1583">
    <cfRule type="containsText" dxfId="2447" priority="3395" operator="containsText" text="m2">
      <formula>NOT(ISERROR(SEARCH("m2",D1583)))</formula>
    </cfRule>
  </conditionalFormatting>
  <conditionalFormatting sqref="F1584">
    <cfRule type="containsText" dxfId="2446" priority="3393" operator="containsText" text="TOTAL">
      <formula>NOT(ISERROR(SEARCH("TOTAL",F1584)))</formula>
    </cfRule>
  </conditionalFormatting>
  <conditionalFormatting sqref="F1585:F1586">
    <cfRule type="containsText" dxfId="2445" priority="3392" operator="containsText" text="TOTAL">
      <formula>NOT(ISERROR(SEARCH("TOTAL",F1585)))</formula>
    </cfRule>
  </conditionalFormatting>
  <conditionalFormatting sqref="A1583">
    <cfRule type="containsText" dxfId="2444" priority="3391" operator="containsText" text="m2">
      <formula>NOT(ISERROR(SEARCH("m2",A1583)))</formula>
    </cfRule>
  </conditionalFormatting>
  <conditionalFormatting sqref="B1585:E1585">
    <cfRule type="containsText" dxfId="2443" priority="3390" operator="containsText" text="m2">
      <formula>NOT(ISERROR(SEARCH("m2",B1585)))</formula>
    </cfRule>
  </conditionalFormatting>
  <conditionalFormatting sqref="A1585:A1589">
    <cfRule type="containsText" dxfId="2442" priority="3389" operator="containsText" text="m2">
      <formula>NOT(ISERROR(SEARCH("m2",A1585)))</formula>
    </cfRule>
  </conditionalFormatting>
  <conditionalFormatting sqref="B1587:E1588">
    <cfRule type="containsText" dxfId="2441" priority="3388" operator="containsText" text="m2">
      <formula>NOT(ISERROR(SEARCH("m2",B1587)))</formula>
    </cfRule>
  </conditionalFormatting>
  <conditionalFormatting sqref="F1587:F1588">
    <cfRule type="containsText" dxfId="2440" priority="3387" operator="containsText" text="TOTAL">
      <formula>NOT(ISERROR(SEARCH("TOTAL",F1587)))</formula>
    </cfRule>
  </conditionalFormatting>
  <conditionalFormatting sqref="D1895:E1895">
    <cfRule type="containsText" dxfId="2439" priority="3386" operator="containsText" text="m2">
      <formula>NOT(ISERROR(SEARCH("m2",D1895)))</formula>
    </cfRule>
  </conditionalFormatting>
  <conditionalFormatting sqref="D1568:E1568">
    <cfRule type="containsText" dxfId="2438" priority="3384" operator="containsText" text="m2">
      <formula>NOT(ISERROR(SEARCH("m2",D1568)))</formula>
    </cfRule>
  </conditionalFormatting>
  <conditionalFormatting sqref="F1896:F1897">
    <cfRule type="containsText" dxfId="2437" priority="3382" operator="containsText" text="TOTAL">
      <formula>NOT(ISERROR(SEARCH("TOTAL",F1896)))</formula>
    </cfRule>
  </conditionalFormatting>
  <conditionalFormatting sqref="A1899">
    <cfRule type="containsText" dxfId="2436" priority="3381" operator="containsText" text="m2">
      <formula>NOT(ISERROR(SEARCH("m2",A1899)))</formula>
    </cfRule>
  </conditionalFormatting>
  <conditionalFormatting sqref="E1619 D1618:D1619">
    <cfRule type="containsText" dxfId="2435" priority="3346" operator="containsText" text="m2">
      <formula>NOT(ISERROR(SEARCH("m2",D1618)))</formula>
    </cfRule>
  </conditionalFormatting>
  <conditionalFormatting sqref="D1592:E1592">
    <cfRule type="containsText" dxfId="2434" priority="3377" operator="containsText" text="m2">
      <formula>NOT(ISERROR(SEARCH("m2",D1592)))</formula>
    </cfRule>
  </conditionalFormatting>
  <conditionalFormatting sqref="D1593:E1593">
    <cfRule type="containsText" dxfId="2433" priority="3372" operator="containsText" text="m2">
      <formula>NOT(ISERROR(SEARCH("m2",D1593)))</formula>
    </cfRule>
  </conditionalFormatting>
  <conditionalFormatting sqref="F1594:F1597">
    <cfRule type="containsText" dxfId="2432" priority="3371" operator="containsText" text="TOTAL">
      <formula>NOT(ISERROR(SEARCH("TOTAL",F1594)))</formula>
    </cfRule>
  </conditionalFormatting>
  <conditionalFormatting sqref="A1596">
    <cfRule type="containsText" dxfId="2431" priority="3370" operator="containsText" text="m2">
      <formula>NOT(ISERROR(SEARCH("m2",A1596)))</formula>
    </cfRule>
  </conditionalFormatting>
  <conditionalFormatting sqref="B1598:E1598">
    <cfRule type="containsText" dxfId="2430" priority="3369" operator="containsText" text="m2">
      <formula>NOT(ISERROR(SEARCH("m2",B1598)))</formula>
    </cfRule>
  </conditionalFormatting>
  <conditionalFormatting sqref="F1598">
    <cfRule type="containsText" dxfId="2429" priority="3368" operator="containsText" text="TOTAL">
      <formula>NOT(ISERROR(SEARCH("TOTAL",F1598)))</formula>
    </cfRule>
  </conditionalFormatting>
  <conditionalFormatting sqref="E1601 D1600:D1601">
    <cfRule type="containsText" dxfId="2428" priority="3367" operator="containsText" text="m2">
      <formula>NOT(ISERROR(SEARCH("m2",D1600)))</formula>
    </cfRule>
  </conditionalFormatting>
  <conditionalFormatting sqref="D1599:E1599">
    <cfRule type="containsText" dxfId="2427" priority="3365" operator="containsText" text="m2">
      <formula>NOT(ISERROR(SEARCH("m2",D1599)))</formula>
    </cfRule>
  </conditionalFormatting>
  <conditionalFormatting sqref="F1600:F1601 F1603">
    <cfRule type="containsText" dxfId="2426" priority="3364" operator="containsText" text="TOTAL">
      <formula>NOT(ISERROR(SEARCH("TOTAL",F1600)))</formula>
    </cfRule>
  </conditionalFormatting>
  <conditionalFormatting sqref="A1602">
    <cfRule type="containsText" dxfId="2425" priority="3363" operator="containsText" text="m2">
      <formula>NOT(ISERROR(SEARCH("m2",A1602)))</formula>
    </cfRule>
  </conditionalFormatting>
  <conditionalFormatting sqref="B1604:E1604">
    <cfRule type="containsText" dxfId="2424" priority="3362" operator="containsText" text="m2">
      <formula>NOT(ISERROR(SEARCH("m2",B1604)))</formula>
    </cfRule>
  </conditionalFormatting>
  <conditionalFormatting sqref="F1604">
    <cfRule type="containsText" dxfId="2423" priority="3361" operator="containsText" text="TOTAL">
      <formula>NOT(ISERROR(SEARCH("TOTAL",F1604)))</formula>
    </cfRule>
  </conditionalFormatting>
  <conditionalFormatting sqref="E1607 D1606:D1607">
    <cfRule type="containsText" dxfId="2422" priority="3360" operator="containsText" text="m2">
      <formula>NOT(ISERROR(SEARCH("m2",D1606)))</formula>
    </cfRule>
  </conditionalFormatting>
  <conditionalFormatting sqref="D1605:E1605">
    <cfRule type="containsText" dxfId="2421" priority="3358" operator="containsText" text="m2">
      <formula>NOT(ISERROR(SEARCH("m2",D1605)))</formula>
    </cfRule>
  </conditionalFormatting>
  <conditionalFormatting sqref="F1606:F1607 F1609">
    <cfRule type="containsText" dxfId="2420" priority="3357" operator="containsText" text="TOTAL">
      <formula>NOT(ISERROR(SEARCH("TOTAL",F1606)))</formula>
    </cfRule>
  </conditionalFormatting>
  <conditionalFormatting sqref="A1608">
    <cfRule type="containsText" dxfId="2419" priority="3356" operator="containsText" text="m2">
      <formula>NOT(ISERROR(SEARCH("m2",A1608)))</formula>
    </cfRule>
  </conditionalFormatting>
  <conditionalFormatting sqref="B1610:E1610">
    <cfRule type="containsText" dxfId="2418" priority="3355" operator="containsText" text="m2">
      <formula>NOT(ISERROR(SEARCH("m2",B1610)))</formula>
    </cfRule>
  </conditionalFormatting>
  <conditionalFormatting sqref="F1610">
    <cfRule type="containsText" dxfId="2417" priority="3354" operator="containsText" text="TOTAL">
      <formula>NOT(ISERROR(SEARCH("TOTAL",F1610)))</formula>
    </cfRule>
  </conditionalFormatting>
  <conditionalFormatting sqref="E1613 D1612:D1613">
    <cfRule type="containsText" dxfId="2416" priority="3353" operator="containsText" text="m2">
      <formula>NOT(ISERROR(SEARCH("m2",D1612)))</formula>
    </cfRule>
  </conditionalFormatting>
  <conditionalFormatting sqref="D1611:E1611">
    <cfRule type="containsText" dxfId="2415" priority="3351" operator="containsText" text="m2">
      <formula>NOT(ISERROR(SEARCH("m2",D1611)))</formula>
    </cfRule>
  </conditionalFormatting>
  <conditionalFormatting sqref="F1612:F1613 F1615">
    <cfRule type="containsText" dxfId="2414" priority="3350" operator="containsText" text="TOTAL">
      <formula>NOT(ISERROR(SEARCH("TOTAL",F1612)))</formula>
    </cfRule>
  </conditionalFormatting>
  <conditionalFormatting sqref="A1614">
    <cfRule type="containsText" dxfId="2413" priority="3349" operator="containsText" text="m2">
      <formula>NOT(ISERROR(SEARCH("m2",A1614)))</formula>
    </cfRule>
  </conditionalFormatting>
  <conditionalFormatting sqref="B1616:E1616">
    <cfRule type="containsText" dxfId="2412" priority="3348" operator="containsText" text="m2">
      <formula>NOT(ISERROR(SEARCH("m2",B1616)))</formula>
    </cfRule>
  </conditionalFormatting>
  <conditionalFormatting sqref="F1616">
    <cfRule type="containsText" dxfId="2411" priority="3347" operator="containsText" text="TOTAL">
      <formula>NOT(ISERROR(SEARCH("TOTAL",F1616)))</formula>
    </cfRule>
  </conditionalFormatting>
  <conditionalFormatting sqref="D1617:E1617">
    <cfRule type="containsText" dxfId="2410" priority="3344" operator="containsText" text="m2">
      <formula>NOT(ISERROR(SEARCH("m2",D1617)))</formula>
    </cfRule>
  </conditionalFormatting>
  <conditionalFormatting sqref="F1618:F1619 F1621">
    <cfRule type="containsText" dxfId="2409" priority="3343" operator="containsText" text="TOTAL">
      <formula>NOT(ISERROR(SEARCH("TOTAL",F1618)))</formula>
    </cfRule>
  </conditionalFormatting>
  <conditionalFormatting sqref="A1620">
    <cfRule type="containsText" dxfId="2408" priority="3342" operator="containsText" text="m2">
      <formula>NOT(ISERROR(SEARCH("m2",A1620)))</formula>
    </cfRule>
  </conditionalFormatting>
  <conditionalFormatting sqref="B1622:E1622">
    <cfRule type="containsText" dxfId="2407" priority="3341" operator="containsText" text="m2">
      <formula>NOT(ISERROR(SEARCH("m2",B1622)))</formula>
    </cfRule>
  </conditionalFormatting>
  <conditionalFormatting sqref="F1622">
    <cfRule type="containsText" dxfId="2406" priority="3340" operator="containsText" text="TOTAL">
      <formula>NOT(ISERROR(SEARCH("TOTAL",F1622)))</formula>
    </cfRule>
  </conditionalFormatting>
  <conditionalFormatting sqref="E1625 D1624:D1625">
    <cfRule type="containsText" dxfId="2405" priority="3339" operator="containsText" text="m2">
      <formula>NOT(ISERROR(SEARCH("m2",D1624)))</formula>
    </cfRule>
  </conditionalFormatting>
  <conditionalFormatting sqref="D1623:E1623">
    <cfRule type="containsText" dxfId="2404" priority="3337" operator="containsText" text="m2">
      <formula>NOT(ISERROR(SEARCH("m2",D1623)))</formula>
    </cfRule>
  </conditionalFormatting>
  <conditionalFormatting sqref="F1624:F1625 F1627">
    <cfRule type="containsText" dxfId="2403" priority="3336" operator="containsText" text="TOTAL">
      <formula>NOT(ISERROR(SEARCH("TOTAL",F1624)))</formula>
    </cfRule>
  </conditionalFormatting>
  <conditionalFormatting sqref="A1626">
    <cfRule type="containsText" dxfId="2402" priority="3335" operator="containsText" text="m2">
      <formula>NOT(ISERROR(SEARCH("m2",A1626)))</formula>
    </cfRule>
  </conditionalFormatting>
  <conditionalFormatting sqref="B1628:E1628">
    <cfRule type="containsText" dxfId="2401" priority="3334" operator="containsText" text="m2">
      <formula>NOT(ISERROR(SEARCH("m2",B1628)))</formula>
    </cfRule>
  </conditionalFormatting>
  <conditionalFormatting sqref="F1628">
    <cfRule type="containsText" dxfId="2400" priority="3333" operator="containsText" text="TOTAL">
      <formula>NOT(ISERROR(SEARCH("TOTAL",F1628)))</formula>
    </cfRule>
  </conditionalFormatting>
  <conditionalFormatting sqref="E1631 D1630:D1631">
    <cfRule type="containsText" dxfId="2399" priority="3332" operator="containsText" text="m2">
      <formula>NOT(ISERROR(SEARCH("m2",D1630)))</formula>
    </cfRule>
  </conditionalFormatting>
  <conditionalFormatting sqref="D1629:E1629">
    <cfRule type="containsText" dxfId="2398" priority="3330" operator="containsText" text="m2">
      <formula>NOT(ISERROR(SEARCH("m2",D1629)))</formula>
    </cfRule>
  </conditionalFormatting>
  <conditionalFormatting sqref="F1630:F1631 F1633">
    <cfRule type="containsText" dxfId="2397" priority="3329" operator="containsText" text="TOTAL">
      <formula>NOT(ISERROR(SEARCH("TOTAL",F1630)))</formula>
    </cfRule>
  </conditionalFormatting>
  <conditionalFormatting sqref="A1632">
    <cfRule type="containsText" dxfId="2396" priority="3328" operator="containsText" text="m2">
      <formula>NOT(ISERROR(SEARCH("m2",A1632)))</formula>
    </cfRule>
  </conditionalFormatting>
  <conditionalFormatting sqref="B1634:E1634">
    <cfRule type="containsText" dxfId="2395" priority="3327" operator="containsText" text="m2">
      <formula>NOT(ISERROR(SEARCH("m2",B1634)))</formula>
    </cfRule>
  </conditionalFormatting>
  <conditionalFormatting sqref="F1634">
    <cfRule type="containsText" dxfId="2394" priority="3326" operator="containsText" text="TOTAL">
      <formula>NOT(ISERROR(SEARCH("TOTAL",F1634)))</formula>
    </cfRule>
  </conditionalFormatting>
  <conditionalFormatting sqref="E1637 D1636:D1637">
    <cfRule type="containsText" dxfId="2393" priority="3325" operator="containsText" text="m2">
      <formula>NOT(ISERROR(SEARCH("m2",D1636)))</formula>
    </cfRule>
  </conditionalFormatting>
  <conditionalFormatting sqref="D1635:E1635">
    <cfRule type="containsText" dxfId="2392" priority="3323" operator="containsText" text="m2">
      <formula>NOT(ISERROR(SEARCH("m2",D1635)))</formula>
    </cfRule>
  </conditionalFormatting>
  <conditionalFormatting sqref="F1636:F1637 F1639">
    <cfRule type="containsText" dxfId="2391" priority="3322" operator="containsText" text="TOTAL">
      <formula>NOT(ISERROR(SEARCH("TOTAL",F1636)))</formula>
    </cfRule>
  </conditionalFormatting>
  <conditionalFormatting sqref="A1638">
    <cfRule type="containsText" dxfId="2390" priority="3321" operator="containsText" text="m2">
      <formula>NOT(ISERROR(SEARCH("m2",A1638)))</formula>
    </cfRule>
  </conditionalFormatting>
  <conditionalFormatting sqref="B1640:E1640">
    <cfRule type="containsText" dxfId="2389" priority="3320" operator="containsText" text="m2">
      <formula>NOT(ISERROR(SEARCH("m2",B1640)))</formula>
    </cfRule>
  </conditionalFormatting>
  <conditionalFormatting sqref="F1640">
    <cfRule type="containsText" dxfId="2388" priority="3319" operator="containsText" text="TOTAL">
      <formula>NOT(ISERROR(SEARCH("TOTAL",F1640)))</formula>
    </cfRule>
  </conditionalFormatting>
  <conditionalFormatting sqref="E1643 D1642:D1643">
    <cfRule type="containsText" dxfId="2387" priority="3318" operator="containsText" text="m2">
      <formula>NOT(ISERROR(SEARCH("m2",D1642)))</formula>
    </cfRule>
  </conditionalFormatting>
  <conditionalFormatting sqref="D1641:E1641">
    <cfRule type="containsText" dxfId="2386" priority="3316" operator="containsText" text="m2">
      <formula>NOT(ISERROR(SEARCH("m2",D1641)))</formula>
    </cfRule>
  </conditionalFormatting>
  <conditionalFormatting sqref="F1642:F1643 F1645">
    <cfRule type="containsText" dxfId="2385" priority="3315" operator="containsText" text="TOTAL">
      <formula>NOT(ISERROR(SEARCH("TOTAL",F1642)))</formula>
    </cfRule>
  </conditionalFormatting>
  <conditionalFormatting sqref="A1644">
    <cfRule type="containsText" dxfId="2384" priority="3314" operator="containsText" text="m2">
      <formula>NOT(ISERROR(SEARCH("m2",A1644)))</formula>
    </cfRule>
  </conditionalFormatting>
  <conditionalFormatting sqref="B1646:E1646">
    <cfRule type="containsText" dxfId="2383" priority="3313" operator="containsText" text="m2">
      <formula>NOT(ISERROR(SEARCH("m2",B1646)))</formula>
    </cfRule>
  </conditionalFormatting>
  <conditionalFormatting sqref="F1646">
    <cfRule type="containsText" dxfId="2382" priority="3312" operator="containsText" text="TOTAL">
      <formula>NOT(ISERROR(SEARCH("TOTAL",F1646)))</formula>
    </cfRule>
  </conditionalFormatting>
  <conditionalFormatting sqref="E1649 D1648:D1649">
    <cfRule type="containsText" dxfId="2381" priority="3311" operator="containsText" text="m2">
      <formula>NOT(ISERROR(SEARCH("m2",D1648)))</formula>
    </cfRule>
  </conditionalFormatting>
  <conditionalFormatting sqref="D1647:E1647">
    <cfRule type="containsText" dxfId="2380" priority="3309" operator="containsText" text="m2">
      <formula>NOT(ISERROR(SEARCH("m2",D1647)))</formula>
    </cfRule>
  </conditionalFormatting>
  <conditionalFormatting sqref="F1648:F1649 F1651">
    <cfRule type="containsText" dxfId="2379" priority="3308" operator="containsText" text="TOTAL">
      <formula>NOT(ISERROR(SEARCH("TOTAL",F1648)))</formula>
    </cfRule>
  </conditionalFormatting>
  <conditionalFormatting sqref="A1650">
    <cfRule type="containsText" dxfId="2378" priority="3307" operator="containsText" text="m2">
      <formula>NOT(ISERROR(SEARCH("m2",A1650)))</formula>
    </cfRule>
  </conditionalFormatting>
  <conditionalFormatting sqref="B1652:E1652">
    <cfRule type="containsText" dxfId="2377" priority="3306" operator="containsText" text="m2">
      <formula>NOT(ISERROR(SEARCH("m2",B1652)))</formula>
    </cfRule>
  </conditionalFormatting>
  <conditionalFormatting sqref="F1652">
    <cfRule type="containsText" dxfId="2376" priority="3305" operator="containsText" text="TOTAL">
      <formula>NOT(ISERROR(SEARCH("TOTAL",F1652)))</formula>
    </cfRule>
  </conditionalFormatting>
  <conditionalFormatting sqref="E1655 D1654:D1655">
    <cfRule type="containsText" dxfId="2375" priority="3304" operator="containsText" text="m2">
      <formula>NOT(ISERROR(SEARCH("m2",D1654)))</formula>
    </cfRule>
  </conditionalFormatting>
  <conditionalFormatting sqref="D1653:E1653">
    <cfRule type="containsText" dxfId="2374" priority="3302" operator="containsText" text="m2">
      <formula>NOT(ISERROR(SEARCH("m2",D1653)))</formula>
    </cfRule>
  </conditionalFormatting>
  <conditionalFormatting sqref="F1654:F1655 F1657">
    <cfRule type="containsText" dxfId="2373" priority="3301" operator="containsText" text="TOTAL">
      <formula>NOT(ISERROR(SEARCH("TOTAL",F1654)))</formula>
    </cfRule>
  </conditionalFormatting>
  <conditionalFormatting sqref="A1656">
    <cfRule type="containsText" dxfId="2372" priority="3300" operator="containsText" text="m2">
      <formula>NOT(ISERROR(SEARCH("m2",A1656)))</formula>
    </cfRule>
  </conditionalFormatting>
  <conditionalFormatting sqref="B1658:E1658">
    <cfRule type="containsText" dxfId="2371" priority="3299" operator="containsText" text="m2">
      <formula>NOT(ISERROR(SEARCH("m2",B1658)))</formula>
    </cfRule>
  </conditionalFormatting>
  <conditionalFormatting sqref="F1658">
    <cfRule type="containsText" dxfId="2370" priority="3298" operator="containsText" text="TOTAL">
      <formula>NOT(ISERROR(SEARCH("TOTAL",F1658)))</formula>
    </cfRule>
  </conditionalFormatting>
  <conditionalFormatting sqref="E1661 D1660:D1661">
    <cfRule type="containsText" dxfId="2369" priority="3297" operator="containsText" text="m2">
      <formula>NOT(ISERROR(SEARCH("m2",D1660)))</formula>
    </cfRule>
  </conditionalFormatting>
  <conditionalFormatting sqref="D1659:E1659">
    <cfRule type="containsText" dxfId="2368" priority="3295" operator="containsText" text="m2">
      <formula>NOT(ISERROR(SEARCH("m2",D1659)))</formula>
    </cfRule>
  </conditionalFormatting>
  <conditionalFormatting sqref="F1660:F1661 F1663">
    <cfRule type="containsText" dxfId="2367" priority="3294" operator="containsText" text="TOTAL">
      <formula>NOT(ISERROR(SEARCH("TOTAL",F1660)))</formula>
    </cfRule>
  </conditionalFormatting>
  <conditionalFormatting sqref="A1662">
    <cfRule type="containsText" dxfId="2366" priority="3293" operator="containsText" text="m2">
      <formula>NOT(ISERROR(SEARCH("m2",A1662)))</formula>
    </cfRule>
  </conditionalFormatting>
  <conditionalFormatting sqref="B1664:E1664">
    <cfRule type="containsText" dxfId="2365" priority="3292" operator="containsText" text="m2">
      <formula>NOT(ISERROR(SEARCH("m2",B1664)))</formula>
    </cfRule>
  </conditionalFormatting>
  <conditionalFormatting sqref="F1664">
    <cfRule type="containsText" dxfId="2364" priority="3291" operator="containsText" text="TOTAL">
      <formula>NOT(ISERROR(SEARCH("TOTAL",F1664)))</formula>
    </cfRule>
  </conditionalFormatting>
  <conditionalFormatting sqref="D1665:E1665">
    <cfRule type="containsText" dxfId="2363" priority="3289" operator="containsText" text="m2">
      <formula>NOT(ISERROR(SEARCH("m2",D1665)))</formula>
    </cfRule>
  </conditionalFormatting>
  <conditionalFormatting sqref="F1668">
    <cfRule type="containsText" dxfId="2362" priority="3284" operator="containsText" text="TOTAL">
      <formula>NOT(ISERROR(SEARCH("TOTAL",F1668)))</formula>
    </cfRule>
  </conditionalFormatting>
  <conditionalFormatting sqref="F1667">
    <cfRule type="containsText" dxfId="2361" priority="3287" operator="containsText" text="TOTAL">
      <formula>NOT(ISERROR(SEARCH("TOTAL",F1667)))</formula>
    </cfRule>
  </conditionalFormatting>
  <conditionalFormatting sqref="A1666">
    <cfRule type="containsText" dxfId="2360" priority="3286" operator="containsText" text="m2">
      <formula>NOT(ISERROR(SEARCH("m2",A1666)))</formula>
    </cfRule>
  </conditionalFormatting>
  <conditionalFormatting sqref="B1668:E1668">
    <cfRule type="containsText" dxfId="2359" priority="3285" operator="containsText" text="m2">
      <formula>NOT(ISERROR(SEARCH("m2",B1668)))</formula>
    </cfRule>
  </conditionalFormatting>
  <conditionalFormatting sqref="F1672">
    <cfRule type="containsText" dxfId="2358" priority="3280" operator="containsText" text="TOTAL">
      <formula>NOT(ISERROR(SEARCH("TOTAL",F1672)))</formula>
    </cfRule>
  </conditionalFormatting>
  <conditionalFormatting sqref="D1669:E1669">
    <cfRule type="containsText" dxfId="2357" priority="3282" operator="containsText" text="m2">
      <formula>NOT(ISERROR(SEARCH("m2",D1669)))</formula>
    </cfRule>
  </conditionalFormatting>
  <conditionalFormatting sqref="F1670">
    <cfRule type="containsText" dxfId="2356" priority="3281" operator="containsText" text="TOTAL">
      <formula>NOT(ISERROR(SEARCH("TOTAL",F1670)))</formula>
    </cfRule>
  </conditionalFormatting>
  <conditionalFormatting sqref="A1671">
    <cfRule type="containsText" dxfId="2355" priority="3279" operator="containsText" text="m2">
      <formula>NOT(ISERROR(SEARCH("m2",A1671)))</formula>
    </cfRule>
  </conditionalFormatting>
  <conditionalFormatting sqref="B1673:E1673">
    <cfRule type="containsText" dxfId="2354" priority="3278" operator="containsText" text="m2">
      <formula>NOT(ISERROR(SEARCH("m2",B1673)))</formula>
    </cfRule>
  </conditionalFormatting>
  <conditionalFormatting sqref="F1673">
    <cfRule type="containsText" dxfId="2353" priority="3277" operator="containsText" text="TOTAL">
      <formula>NOT(ISERROR(SEARCH("TOTAL",F1673)))</formula>
    </cfRule>
  </conditionalFormatting>
  <conditionalFormatting sqref="D1674:E1674">
    <cfRule type="containsText" dxfId="2352" priority="3275" operator="containsText" text="m2">
      <formula>NOT(ISERROR(SEARCH("m2",D1674)))</formula>
    </cfRule>
  </conditionalFormatting>
  <conditionalFormatting sqref="B1675">
    <cfRule type="containsText" dxfId="2351" priority="3274" operator="containsText" text="m2">
      <formula>NOT(ISERROR(SEARCH("m2",B1675)))</formula>
    </cfRule>
  </conditionalFormatting>
  <conditionalFormatting sqref="D1675">
    <cfRule type="containsText" dxfId="2350" priority="3273" operator="containsText" text="m2">
      <formula>NOT(ISERROR(SEARCH("m2",D1675)))</formula>
    </cfRule>
  </conditionalFormatting>
  <conditionalFormatting sqref="E1675">
    <cfRule type="containsText" dxfId="2349" priority="3272" operator="containsText" text="m2">
      <formula>NOT(ISERROR(SEARCH("m2",E1675)))</formula>
    </cfRule>
  </conditionalFormatting>
  <conditionalFormatting sqref="F1675">
    <cfRule type="containsText" dxfId="2348" priority="3271" operator="containsText" text="TOTAL">
      <formula>NOT(ISERROR(SEARCH("TOTAL",F1675)))</formula>
    </cfRule>
  </conditionalFormatting>
  <conditionalFormatting sqref="D1676:E1676">
    <cfRule type="containsText" dxfId="2347" priority="3270" operator="containsText" text="m2">
      <formula>NOT(ISERROR(SEARCH("m2",D1676)))</formula>
    </cfRule>
  </conditionalFormatting>
  <conditionalFormatting sqref="F1676">
    <cfRule type="containsText" dxfId="2346" priority="3269" operator="containsText" text="TOTAL">
      <formula>NOT(ISERROR(SEARCH("TOTAL",F1676)))</formula>
    </cfRule>
  </conditionalFormatting>
  <conditionalFormatting sqref="F1678">
    <cfRule type="containsText" dxfId="2345" priority="3268" operator="containsText" text="TOTAL">
      <formula>NOT(ISERROR(SEARCH("TOTAL",F1678)))</formula>
    </cfRule>
  </conditionalFormatting>
  <conditionalFormatting sqref="A1677">
    <cfRule type="containsText" dxfId="2344" priority="3267" operator="containsText" text="m2">
      <formula>NOT(ISERROR(SEARCH("m2",A1677)))</formula>
    </cfRule>
  </conditionalFormatting>
  <conditionalFormatting sqref="B1679:E1679">
    <cfRule type="containsText" dxfId="2343" priority="3266" operator="containsText" text="m2">
      <formula>NOT(ISERROR(SEARCH("m2",B1679)))</formula>
    </cfRule>
  </conditionalFormatting>
  <conditionalFormatting sqref="F1679">
    <cfRule type="containsText" dxfId="2342" priority="3265" operator="containsText" text="TOTAL">
      <formula>NOT(ISERROR(SEARCH("TOTAL",F1679)))</formula>
    </cfRule>
  </conditionalFormatting>
  <conditionalFormatting sqref="D1680:E1680">
    <cfRule type="containsText" dxfId="2341" priority="3263" operator="containsText" text="m2">
      <formula>NOT(ISERROR(SEARCH("m2",D1680)))</formula>
    </cfRule>
  </conditionalFormatting>
  <conditionalFormatting sqref="F1682">
    <cfRule type="containsText" dxfId="2340" priority="3262" operator="containsText" text="TOTAL">
      <formula>NOT(ISERROR(SEARCH("TOTAL",F1682)))</formula>
    </cfRule>
  </conditionalFormatting>
  <conditionalFormatting sqref="F1683">
    <cfRule type="containsText" dxfId="2339" priority="3261" operator="containsText" text="TOTAL">
      <formula>NOT(ISERROR(SEARCH("TOTAL",F1683)))</formula>
    </cfRule>
  </conditionalFormatting>
  <conditionalFormatting sqref="B1687:E1687">
    <cfRule type="containsText" dxfId="2338" priority="3259" operator="containsText" text="m2">
      <formula>NOT(ISERROR(SEARCH("m2",B1687)))</formula>
    </cfRule>
  </conditionalFormatting>
  <conditionalFormatting sqref="F1687">
    <cfRule type="containsText" dxfId="2337" priority="3258" operator="containsText" text="TOTAL">
      <formula>NOT(ISERROR(SEARCH("TOTAL",F1687)))</formula>
    </cfRule>
  </conditionalFormatting>
  <conditionalFormatting sqref="D1688:E1688">
    <cfRule type="containsText" dxfId="2336" priority="3256" operator="containsText" text="m2">
      <formula>NOT(ISERROR(SEARCH("m2",D1688)))</formula>
    </cfRule>
  </conditionalFormatting>
  <conditionalFormatting sqref="F1691">
    <cfRule type="containsText" dxfId="2335" priority="3255" operator="containsText" text="TOTAL">
      <formula>NOT(ISERROR(SEARCH("TOTAL",F1691)))</formula>
    </cfRule>
  </conditionalFormatting>
  <conditionalFormatting sqref="A1690">
    <cfRule type="containsText" dxfId="2334" priority="3254" operator="containsText" text="m2">
      <formula>NOT(ISERROR(SEARCH("m2",A1690)))</formula>
    </cfRule>
  </conditionalFormatting>
  <conditionalFormatting sqref="B1692:E1692">
    <cfRule type="containsText" dxfId="2333" priority="3253" operator="containsText" text="m2">
      <formula>NOT(ISERROR(SEARCH("m2",B1692)))</formula>
    </cfRule>
  </conditionalFormatting>
  <conditionalFormatting sqref="F1692">
    <cfRule type="containsText" dxfId="2332" priority="3252" operator="containsText" text="TOTAL">
      <formula>NOT(ISERROR(SEARCH("TOTAL",F1692)))</formula>
    </cfRule>
  </conditionalFormatting>
  <conditionalFormatting sqref="D1693:E1693">
    <cfRule type="containsText" dxfId="2331" priority="3250" operator="containsText" text="m2">
      <formula>NOT(ISERROR(SEARCH("m2",D1693)))</formula>
    </cfRule>
  </conditionalFormatting>
  <conditionalFormatting sqref="F1695">
    <cfRule type="containsText" dxfId="2330" priority="3249" operator="containsText" text="TOTAL">
      <formula>NOT(ISERROR(SEARCH("TOTAL",F1695)))</formula>
    </cfRule>
  </conditionalFormatting>
  <conditionalFormatting sqref="B1696:E1696">
    <cfRule type="containsText" dxfId="2329" priority="3247" operator="containsText" text="m2">
      <formula>NOT(ISERROR(SEARCH("m2",B1696)))</formula>
    </cfRule>
  </conditionalFormatting>
  <conditionalFormatting sqref="F1696">
    <cfRule type="containsText" dxfId="2328" priority="3246" operator="containsText" text="TOTAL">
      <formula>NOT(ISERROR(SEARCH("TOTAL",F1696)))</formula>
    </cfRule>
  </conditionalFormatting>
  <conditionalFormatting sqref="E1903">
    <cfRule type="containsText" dxfId="2327" priority="3245" operator="containsText" text="m2">
      <formula>NOT(ISERROR(SEARCH("m2",E1903)))</formula>
    </cfRule>
  </conditionalFormatting>
  <conditionalFormatting sqref="F1904">
    <cfRule type="containsText" dxfId="2326" priority="3239" operator="containsText" text="TOTAL">
      <formula>NOT(ISERROR(SEARCH("TOTAL",F1904)))</formula>
    </cfRule>
  </conditionalFormatting>
  <conditionalFormatting sqref="D1902:E1902">
    <cfRule type="containsText" dxfId="2325" priority="3243" operator="containsText" text="m2">
      <formula>NOT(ISERROR(SEARCH("m2",D1902)))</formula>
    </cfRule>
  </conditionalFormatting>
  <conditionalFormatting sqref="F1903">
    <cfRule type="containsText" dxfId="2324" priority="3241" operator="containsText" text="TOTAL">
      <formula>NOT(ISERROR(SEARCH("TOTAL",F1903)))</formula>
    </cfRule>
  </conditionalFormatting>
  <conditionalFormatting sqref="D1904:E1904">
    <cfRule type="containsText" dxfId="2323" priority="3240" operator="containsText" text="m2">
      <formula>NOT(ISERROR(SEARCH("m2",D1904)))</formula>
    </cfRule>
  </conditionalFormatting>
  <conditionalFormatting sqref="B1907:E1907 B1906 B1909:E1909 B1908">
    <cfRule type="containsText" dxfId="2322" priority="3237" operator="containsText" text="m2">
      <formula>NOT(ISERROR(SEARCH("m2",B1906)))</formula>
    </cfRule>
  </conditionalFormatting>
  <conditionalFormatting sqref="F1907 F1909">
    <cfRule type="containsText" dxfId="2321" priority="3236" operator="containsText" text="TOTAL">
      <formula>NOT(ISERROR(SEARCH("TOTAL",F1907)))</formula>
    </cfRule>
  </conditionalFormatting>
  <conditionalFormatting sqref="B1135:E1135 B1134 D1134:E1134 D1068:E1068 B1073 D1073:E1073 B1068">
    <cfRule type="containsText" dxfId="2320" priority="3223" operator="containsText" text="m2">
      <formula>NOT(ISERROR(SEARCH("m2",B1068)))</formula>
    </cfRule>
  </conditionalFormatting>
  <conditionalFormatting sqref="B1070:E1070">
    <cfRule type="containsText" dxfId="2319" priority="3221" operator="containsText" text="m2">
      <formula>NOT(ISERROR(SEARCH("m2",B1070)))</formula>
    </cfRule>
  </conditionalFormatting>
  <conditionalFormatting sqref="F1070">
    <cfRule type="containsText" dxfId="2318" priority="3220" operator="containsText" text="TOTAL">
      <formula>NOT(ISERROR(SEARCH("TOTAL",F1070)))</formula>
    </cfRule>
  </conditionalFormatting>
  <conditionalFormatting sqref="A1513:A1516">
    <cfRule type="containsText" dxfId="2317" priority="3219" operator="containsText" text="m2">
      <formula>NOT(ISERROR(SEARCH("m2",A1513)))</formula>
    </cfRule>
  </conditionalFormatting>
  <conditionalFormatting sqref="F1514">
    <cfRule type="containsText" dxfId="2316" priority="3218" operator="containsText" text="TOTAL">
      <formula>NOT(ISERROR(SEARCH("TOTAL",F1514)))</formula>
    </cfRule>
  </conditionalFormatting>
  <conditionalFormatting sqref="B1082 D1082:E1082">
    <cfRule type="containsText" dxfId="2315" priority="3216" operator="containsText" text="m2">
      <formula>NOT(ISERROR(SEARCH("m2",B1082)))</formula>
    </cfRule>
  </conditionalFormatting>
  <conditionalFormatting sqref="F1083">
    <cfRule type="containsText" dxfId="2314" priority="3215" operator="containsText" text="TOTAL">
      <formula>NOT(ISERROR(SEARCH("TOTAL",F1083)))</formula>
    </cfRule>
  </conditionalFormatting>
  <conditionalFormatting sqref="C1084:E1085">
    <cfRule type="containsText" dxfId="2313" priority="3214" operator="containsText" text="m2">
      <formula>NOT(ISERROR(SEARCH("m2",C1084)))</formula>
    </cfRule>
  </conditionalFormatting>
  <conditionalFormatting sqref="F1084:F1085">
    <cfRule type="containsText" dxfId="2312" priority="3213" operator="containsText" text="TOTAL">
      <formula>NOT(ISERROR(SEARCH("TOTAL",F1084)))</formula>
    </cfRule>
  </conditionalFormatting>
  <conditionalFormatting sqref="B1086:E1086">
    <cfRule type="containsText" dxfId="2311" priority="3212" operator="containsText" text="m2">
      <formula>NOT(ISERROR(SEARCH("m2",B1086)))</formula>
    </cfRule>
  </conditionalFormatting>
  <conditionalFormatting sqref="F1086">
    <cfRule type="containsText" dxfId="2310" priority="3211" operator="containsText" text="TOTAL">
      <formula>NOT(ISERROR(SEARCH("TOTAL",F1086)))</formula>
    </cfRule>
  </conditionalFormatting>
  <conditionalFormatting sqref="B1087 D1087:E1087">
    <cfRule type="containsText" dxfId="2309" priority="3209" operator="containsText" text="m2">
      <formula>NOT(ISERROR(SEARCH("m2",B1087)))</formula>
    </cfRule>
  </conditionalFormatting>
  <conditionalFormatting sqref="B1088:E1088">
    <cfRule type="containsText" dxfId="2308" priority="3206" operator="containsText" text="m2">
      <formula>NOT(ISERROR(SEARCH("m2",B1088)))</formula>
    </cfRule>
  </conditionalFormatting>
  <conditionalFormatting sqref="F1088">
    <cfRule type="containsText" dxfId="2307" priority="3205" operator="containsText" text="TOTAL">
      <formula>NOT(ISERROR(SEARCH("TOTAL",F1088)))</formula>
    </cfRule>
  </conditionalFormatting>
  <conditionalFormatting sqref="C1089:E1089">
    <cfRule type="containsText" dxfId="2306" priority="3203" operator="containsText" text="m2">
      <formula>NOT(ISERROR(SEARCH("m2",C1089)))</formula>
    </cfRule>
  </conditionalFormatting>
  <conditionalFormatting sqref="F1089">
    <cfRule type="containsText" dxfId="2305" priority="3202" operator="containsText" text="TOTAL">
      <formula>NOT(ISERROR(SEARCH("TOTAL",F1089)))</formula>
    </cfRule>
  </conditionalFormatting>
  <conditionalFormatting sqref="B1090:E1090">
    <cfRule type="containsText" dxfId="2304" priority="3200" operator="containsText" text="m2">
      <formula>NOT(ISERROR(SEARCH("m2",B1090)))</formula>
    </cfRule>
  </conditionalFormatting>
  <conditionalFormatting sqref="F1090">
    <cfRule type="containsText" dxfId="2303" priority="3199" operator="containsText" text="TOTAL">
      <formula>NOT(ISERROR(SEARCH("TOTAL",F1090)))</formula>
    </cfRule>
  </conditionalFormatting>
  <conditionalFormatting sqref="F1161:F1163">
    <cfRule type="containsText" dxfId="2302" priority="3068" operator="containsText" text="TOTAL">
      <formula>NOT(ISERROR(SEARCH("TOTAL",F1161)))</formula>
    </cfRule>
  </conditionalFormatting>
  <conditionalFormatting sqref="B1091:E1091">
    <cfRule type="containsText" dxfId="2301" priority="3195" operator="containsText" text="m2">
      <formula>NOT(ISERROR(SEARCH("m2",B1091)))</formula>
    </cfRule>
  </conditionalFormatting>
  <conditionalFormatting sqref="F1091">
    <cfRule type="containsText" dxfId="2300" priority="3194" operator="containsText" text="TOTAL">
      <formula>NOT(ISERROR(SEARCH("TOTAL",F1091)))</formula>
    </cfRule>
  </conditionalFormatting>
  <conditionalFormatting sqref="F1098 F1103">
    <cfRule type="containsText" dxfId="2299" priority="3192" operator="containsText" text="TOTAL">
      <formula>NOT(ISERROR(SEARCH("TOTAL",F1098)))</formula>
    </cfRule>
  </conditionalFormatting>
  <conditionalFormatting sqref="F1093">
    <cfRule type="containsText" dxfId="2298" priority="3188" operator="containsText" text="TOTAL">
      <formula>NOT(ISERROR(SEARCH("TOTAL",F1093)))</formula>
    </cfRule>
  </conditionalFormatting>
  <conditionalFormatting sqref="F1094:F1095">
    <cfRule type="containsText" dxfId="2297" priority="3185" operator="containsText" text="TOTAL">
      <formula>NOT(ISERROR(SEARCH("TOTAL",F1094)))</formula>
    </cfRule>
  </conditionalFormatting>
  <conditionalFormatting sqref="F1096">
    <cfRule type="containsText" dxfId="2296" priority="3181" operator="containsText" text="TOTAL">
      <formula>NOT(ISERROR(SEARCH("TOTAL",F1096)))</formula>
    </cfRule>
  </conditionalFormatting>
  <conditionalFormatting sqref="F1099:F1100">
    <cfRule type="containsText" dxfId="2295" priority="3174" operator="containsText" text="TOTAL">
      <formula>NOT(ISERROR(SEARCH("TOTAL",F1099)))</formula>
    </cfRule>
  </conditionalFormatting>
  <conditionalFormatting sqref="F1101">
    <cfRule type="containsText" dxfId="2294" priority="3170" operator="containsText" text="TOTAL">
      <formula>NOT(ISERROR(SEARCH("TOTAL",F1101)))</formula>
    </cfRule>
  </conditionalFormatting>
  <conditionalFormatting sqref="F1105">
    <cfRule type="containsText" dxfId="2293" priority="3164" operator="containsText" text="TOTAL">
      <formula>NOT(ISERROR(SEARCH("TOTAL",F1105)))</formula>
    </cfRule>
  </conditionalFormatting>
  <conditionalFormatting sqref="F1104">
    <cfRule type="containsText" dxfId="2292" priority="3161" operator="containsText" text="TOTAL">
      <formula>NOT(ISERROR(SEARCH("TOTAL",F1104)))</formula>
    </cfRule>
  </conditionalFormatting>
  <conditionalFormatting sqref="F1106">
    <cfRule type="containsText" dxfId="2291" priority="3158" operator="containsText" text="TOTAL">
      <formula>NOT(ISERROR(SEARCH("TOTAL",F1106)))</formula>
    </cfRule>
  </conditionalFormatting>
  <conditionalFormatting sqref="F1108">
    <cfRule type="containsText" dxfId="2290" priority="3155" operator="containsText" text="TOTAL">
      <formula>NOT(ISERROR(SEARCH("TOTAL",F1108)))</formula>
    </cfRule>
  </conditionalFormatting>
  <conditionalFormatting sqref="F1109">
    <cfRule type="containsText" dxfId="2289" priority="3149" operator="containsText" text="TOTAL">
      <formula>NOT(ISERROR(SEARCH("TOTAL",F1109)))</formula>
    </cfRule>
  </conditionalFormatting>
  <conditionalFormatting sqref="F1110">
    <cfRule type="containsText" dxfId="2288" priority="3146" operator="containsText" text="TOTAL">
      <formula>NOT(ISERROR(SEARCH("TOTAL",F1110)))</formula>
    </cfRule>
  </conditionalFormatting>
  <conditionalFormatting sqref="F1111">
    <cfRule type="containsText" dxfId="2287" priority="3143" operator="containsText" text="TOTAL">
      <formula>NOT(ISERROR(SEARCH("TOTAL",F1111)))</formula>
    </cfRule>
  </conditionalFormatting>
  <conditionalFormatting sqref="F1113">
    <cfRule type="containsText" dxfId="2286" priority="3139" operator="containsText" text="TOTAL">
      <formula>NOT(ISERROR(SEARCH("TOTAL",F1113)))</formula>
    </cfRule>
  </conditionalFormatting>
  <conditionalFormatting sqref="F1115">
    <cfRule type="containsText" dxfId="2285" priority="3136" operator="containsText" text="TOTAL">
      <formula>NOT(ISERROR(SEARCH("TOTAL",F1115)))</formula>
    </cfRule>
  </conditionalFormatting>
  <conditionalFormatting sqref="F1114">
    <cfRule type="containsText" dxfId="2284" priority="3133" operator="containsText" text="TOTAL">
      <formula>NOT(ISERROR(SEARCH("TOTAL",F1114)))</formula>
    </cfRule>
  </conditionalFormatting>
  <conditionalFormatting sqref="F1116 F1118:F1119">
    <cfRule type="containsText" dxfId="2283" priority="3130" operator="containsText" text="TOTAL">
      <formula>NOT(ISERROR(SEARCH("TOTAL",F1116)))</formula>
    </cfRule>
  </conditionalFormatting>
  <conditionalFormatting sqref="F1124:F1128">
    <cfRule type="containsText" dxfId="2282" priority="3127" operator="containsText" text="TOTAL">
      <formula>NOT(ISERROR(SEARCH("TOTAL",F1124)))</formula>
    </cfRule>
  </conditionalFormatting>
  <conditionalFormatting sqref="F1129">
    <cfRule type="containsText" dxfId="2281" priority="3121" operator="containsText" text="TOTAL">
      <formula>NOT(ISERROR(SEARCH("TOTAL",F1129)))</formula>
    </cfRule>
  </conditionalFormatting>
  <conditionalFormatting sqref="F1131">
    <cfRule type="containsText" dxfId="2280" priority="3118" operator="containsText" text="TOTAL">
      <formula>NOT(ISERROR(SEARCH("TOTAL",F1131)))</formula>
    </cfRule>
  </conditionalFormatting>
  <conditionalFormatting sqref="F1132">
    <cfRule type="containsText" dxfId="2279" priority="3117" operator="containsText" text="TOTAL">
      <formula>NOT(ISERROR(SEARCH("TOTAL",F1132)))</formula>
    </cfRule>
  </conditionalFormatting>
  <conditionalFormatting sqref="F1133">
    <cfRule type="containsText" dxfId="2278" priority="3112" operator="containsText" text="TOTAL">
      <formula>NOT(ISERROR(SEARCH("TOTAL",F1133)))</formula>
    </cfRule>
  </conditionalFormatting>
  <conditionalFormatting sqref="B1555">
    <cfRule type="containsText" dxfId="2277" priority="3108" operator="containsText" text="m2">
      <formula>NOT(ISERROR(SEARCH("m2",B1555)))</formula>
    </cfRule>
  </conditionalFormatting>
  <conditionalFormatting sqref="F1138">
    <cfRule type="containsText" dxfId="2276" priority="3104" operator="containsText" text="TOTAL">
      <formula>NOT(ISERROR(SEARCH("TOTAL",F1138)))</formula>
    </cfRule>
  </conditionalFormatting>
  <conditionalFormatting sqref="F1139">
    <cfRule type="containsText" dxfId="2275" priority="3101" operator="containsText" text="TOTAL">
      <formula>NOT(ISERROR(SEARCH("TOTAL",F1139)))</formula>
    </cfRule>
  </conditionalFormatting>
  <conditionalFormatting sqref="F1140">
    <cfRule type="containsText" dxfId="2274" priority="3098" operator="containsText" text="TOTAL">
      <formula>NOT(ISERROR(SEARCH("TOTAL",F1140)))</formula>
    </cfRule>
  </conditionalFormatting>
  <conditionalFormatting sqref="F1142">
    <cfRule type="containsText" dxfId="2273" priority="3095" operator="containsText" text="TOTAL">
      <formula>NOT(ISERROR(SEARCH("TOTAL",F1142)))</formula>
    </cfRule>
  </conditionalFormatting>
  <conditionalFormatting sqref="F1143:F1144">
    <cfRule type="containsText" dxfId="2272" priority="3094" operator="containsText" text="TOTAL">
      <formula>NOT(ISERROR(SEARCH("TOTAL",F1143)))</formula>
    </cfRule>
  </conditionalFormatting>
  <conditionalFormatting sqref="F1145">
    <cfRule type="containsText" dxfId="2271" priority="3089" operator="containsText" text="TOTAL">
      <formula>NOT(ISERROR(SEARCH("TOTAL",F1145)))</formula>
    </cfRule>
  </conditionalFormatting>
  <conditionalFormatting sqref="F1149">
    <cfRule type="containsText" dxfId="2270" priority="3086" operator="containsText" text="TOTAL">
      <formula>NOT(ISERROR(SEARCH("TOTAL",F1149)))</formula>
    </cfRule>
  </conditionalFormatting>
  <conditionalFormatting sqref="F1151 F1153">
    <cfRule type="containsText" dxfId="2269" priority="3082" operator="containsText" text="TOTAL">
      <formula>NOT(ISERROR(SEARCH("TOTAL",F1151)))</formula>
    </cfRule>
  </conditionalFormatting>
  <conditionalFormatting sqref="F1154">
    <cfRule type="containsText" dxfId="2268" priority="3079" operator="containsText" text="TOTAL">
      <formula>NOT(ISERROR(SEARCH("TOTAL",F1154)))</formula>
    </cfRule>
  </conditionalFormatting>
  <conditionalFormatting sqref="F1156:F1158">
    <cfRule type="containsText" dxfId="2267" priority="3075" operator="containsText" text="TOTAL">
      <formula>NOT(ISERROR(SEARCH("TOTAL",F1156)))</formula>
    </cfRule>
  </conditionalFormatting>
  <conditionalFormatting sqref="F1159">
    <cfRule type="containsText" dxfId="2266" priority="3072" operator="containsText" text="TOTAL">
      <formula>NOT(ISERROR(SEARCH("TOTAL",F1159)))</formula>
    </cfRule>
  </conditionalFormatting>
  <conditionalFormatting sqref="F1186:F1188">
    <cfRule type="containsText" dxfId="2265" priority="3032" operator="containsText" text="TOTAL">
      <formula>NOT(ISERROR(SEARCH("TOTAL",F1186)))</formula>
    </cfRule>
  </conditionalFormatting>
  <conditionalFormatting sqref="F1164">
    <cfRule type="containsText" dxfId="2264" priority="3065" operator="containsText" text="TOTAL">
      <formula>NOT(ISERROR(SEARCH("TOTAL",F1164)))</formula>
    </cfRule>
  </conditionalFormatting>
  <conditionalFormatting sqref="F1152">
    <cfRule type="containsText" dxfId="2263" priority="3064" operator="containsText" text="TOTAL">
      <formula>NOT(ISERROR(SEARCH("TOTAL",F1152)))</formula>
    </cfRule>
  </conditionalFormatting>
  <conditionalFormatting sqref="F1166:F1168">
    <cfRule type="containsText" dxfId="2262" priority="3060" operator="containsText" text="TOTAL">
      <formula>NOT(ISERROR(SEARCH("TOTAL",F1166)))</formula>
    </cfRule>
  </conditionalFormatting>
  <conditionalFormatting sqref="F1169">
    <cfRule type="containsText" dxfId="2261" priority="3057" operator="containsText" text="TOTAL">
      <formula>NOT(ISERROR(SEARCH("TOTAL",F1169)))</formula>
    </cfRule>
  </conditionalFormatting>
  <conditionalFormatting sqref="F1171:F1173">
    <cfRule type="containsText" dxfId="2260" priority="3053" operator="containsText" text="TOTAL">
      <formula>NOT(ISERROR(SEARCH("TOTAL",F1171)))</formula>
    </cfRule>
  </conditionalFormatting>
  <conditionalFormatting sqref="F1174">
    <cfRule type="containsText" dxfId="2259" priority="3050" operator="containsText" text="TOTAL">
      <formula>NOT(ISERROR(SEARCH("TOTAL",F1174)))</formula>
    </cfRule>
  </conditionalFormatting>
  <conditionalFormatting sqref="F1176:F1178">
    <cfRule type="containsText" dxfId="2258" priority="3046" operator="containsText" text="TOTAL">
      <formula>NOT(ISERROR(SEARCH("TOTAL",F1176)))</formula>
    </cfRule>
  </conditionalFormatting>
  <conditionalFormatting sqref="F1179">
    <cfRule type="containsText" dxfId="2257" priority="3043" operator="containsText" text="TOTAL">
      <formula>NOT(ISERROR(SEARCH("TOTAL",F1179)))</formula>
    </cfRule>
  </conditionalFormatting>
  <conditionalFormatting sqref="F1181:F1183">
    <cfRule type="containsText" dxfId="2256" priority="3039" operator="containsText" text="TOTAL">
      <formula>NOT(ISERROR(SEARCH("TOTAL",F1181)))</formula>
    </cfRule>
  </conditionalFormatting>
  <conditionalFormatting sqref="F1184">
    <cfRule type="containsText" dxfId="2255" priority="3036" operator="containsText" text="TOTAL">
      <formula>NOT(ISERROR(SEARCH("TOTAL",F1184)))</formula>
    </cfRule>
  </conditionalFormatting>
  <conditionalFormatting sqref="F1236">
    <cfRule type="containsText" dxfId="2254" priority="2957" operator="containsText" text="TOTAL">
      <formula>NOT(ISERROR(SEARCH("TOTAL",F1236)))</formula>
    </cfRule>
  </conditionalFormatting>
  <conditionalFormatting sqref="F1224 F1231 F1235">
    <cfRule type="containsText" dxfId="2253" priority="3027" operator="containsText" text="TOTAL">
      <formula>NOT(ISERROR(SEARCH("TOTAL",F1224)))</formula>
    </cfRule>
  </conditionalFormatting>
  <conditionalFormatting sqref="F1191:F1193">
    <cfRule type="containsText" dxfId="2252" priority="3023" operator="containsText" text="TOTAL">
      <formula>NOT(ISERROR(SEARCH("TOTAL",F1191)))</formula>
    </cfRule>
  </conditionalFormatting>
  <conditionalFormatting sqref="F1194">
    <cfRule type="containsText" dxfId="2251" priority="3020" operator="containsText" text="TOTAL">
      <formula>NOT(ISERROR(SEARCH("TOTAL",F1194)))</formula>
    </cfRule>
  </conditionalFormatting>
  <conditionalFormatting sqref="F1196:F1198">
    <cfRule type="containsText" dxfId="2250" priority="3016" operator="containsText" text="TOTAL">
      <formula>NOT(ISERROR(SEARCH("TOTAL",F1196)))</formula>
    </cfRule>
  </conditionalFormatting>
  <conditionalFormatting sqref="F1199">
    <cfRule type="containsText" dxfId="2249" priority="3013" operator="containsText" text="TOTAL">
      <formula>NOT(ISERROR(SEARCH("TOTAL",F1199)))</formula>
    </cfRule>
  </conditionalFormatting>
  <conditionalFormatting sqref="F1201:F1203">
    <cfRule type="containsText" dxfId="2248" priority="3009" operator="containsText" text="TOTAL">
      <formula>NOT(ISERROR(SEARCH("TOTAL",F1201)))</formula>
    </cfRule>
  </conditionalFormatting>
  <conditionalFormatting sqref="F1204">
    <cfRule type="containsText" dxfId="2247" priority="3006" operator="containsText" text="TOTAL">
      <formula>NOT(ISERROR(SEARCH("TOTAL",F1204)))</formula>
    </cfRule>
  </conditionalFormatting>
  <conditionalFormatting sqref="F1206:F1208">
    <cfRule type="containsText" dxfId="2246" priority="3002" operator="containsText" text="TOTAL">
      <formula>NOT(ISERROR(SEARCH("TOTAL",F1206)))</formula>
    </cfRule>
  </conditionalFormatting>
  <conditionalFormatting sqref="F1209">
    <cfRule type="containsText" dxfId="2245" priority="2999" operator="containsText" text="TOTAL">
      <formula>NOT(ISERROR(SEARCH("TOTAL",F1209)))</formula>
    </cfRule>
  </conditionalFormatting>
  <conditionalFormatting sqref="F1211">
    <cfRule type="containsText" dxfId="2244" priority="2996" operator="containsText" text="TOTAL">
      <formula>NOT(ISERROR(SEARCH("TOTAL",F1211)))</formula>
    </cfRule>
  </conditionalFormatting>
  <conditionalFormatting sqref="F1212">
    <cfRule type="containsText" dxfId="2243" priority="2995" operator="containsText" text="TOTAL">
      <formula>NOT(ISERROR(SEARCH("TOTAL",F1212)))</formula>
    </cfRule>
  </conditionalFormatting>
  <conditionalFormatting sqref="F1213">
    <cfRule type="containsText" dxfId="2242" priority="2992" operator="containsText" text="TOTAL">
      <formula>NOT(ISERROR(SEARCH("TOTAL",F1213)))</formula>
    </cfRule>
  </conditionalFormatting>
  <conditionalFormatting sqref="F1215">
    <cfRule type="containsText" dxfId="2241" priority="2989" operator="containsText" text="TOTAL">
      <formula>NOT(ISERROR(SEARCH("TOTAL",F1215)))</formula>
    </cfRule>
  </conditionalFormatting>
  <conditionalFormatting sqref="F1216">
    <cfRule type="containsText" dxfId="2240" priority="2988" operator="containsText" text="TOTAL">
      <formula>NOT(ISERROR(SEARCH("TOTAL",F1216)))</formula>
    </cfRule>
  </conditionalFormatting>
  <conditionalFormatting sqref="F1217">
    <cfRule type="containsText" dxfId="2239" priority="2985" operator="containsText" text="TOTAL">
      <formula>NOT(ISERROR(SEARCH("TOTAL",F1217)))</formula>
    </cfRule>
  </conditionalFormatting>
  <conditionalFormatting sqref="F1219">
    <cfRule type="containsText" dxfId="2238" priority="2979" operator="containsText" text="TOTAL">
      <formula>NOT(ISERROR(SEARCH("TOTAL",F1219)))</formula>
    </cfRule>
  </conditionalFormatting>
  <conditionalFormatting sqref="F1220">
    <cfRule type="containsText" dxfId="2237" priority="2977" operator="containsText" text="TOTAL">
      <formula>NOT(ISERROR(SEARCH("TOTAL",F1220)))</formula>
    </cfRule>
  </conditionalFormatting>
  <conditionalFormatting sqref="F1221">
    <cfRule type="containsText" dxfId="2236" priority="2976" operator="containsText" text="TOTAL">
      <formula>NOT(ISERROR(SEARCH("TOTAL",F1221)))</formula>
    </cfRule>
  </conditionalFormatting>
  <conditionalFormatting sqref="F1222">
    <cfRule type="containsText" dxfId="2235" priority="2973" operator="containsText" text="TOTAL">
      <formula>NOT(ISERROR(SEARCH("TOTAL",F1222)))</formula>
    </cfRule>
  </conditionalFormatting>
  <conditionalFormatting sqref="F1225">
    <cfRule type="containsText" dxfId="2234" priority="2970" operator="containsText" text="TOTAL">
      <formula>NOT(ISERROR(SEARCH("TOTAL",F1225)))</formula>
    </cfRule>
  </conditionalFormatting>
  <conditionalFormatting sqref="F1226">
    <cfRule type="containsText" dxfId="2233" priority="2969" operator="containsText" text="TOTAL">
      <formula>NOT(ISERROR(SEARCH("TOTAL",F1226)))</formula>
    </cfRule>
  </conditionalFormatting>
  <conditionalFormatting sqref="F1229">
    <cfRule type="containsText" dxfId="2232" priority="2966" operator="containsText" text="TOTAL">
      <formula>NOT(ISERROR(SEARCH("TOTAL",F1229)))</formula>
    </cfRule>
  </conditionalFormatting>
  <conditionalFormatting sqref="F1232">
    <cfRule type="containsText" dxfId="2231" priority="2963" operator="containsText" text="TOTAL">
      <formula>NOT(ISERROR(SEARCH("TOTAL",F1232)))</formula>
    </cfRule>
  </conditionalFormatting>
  <conditionalFormatting sqref="F1233">
    <cfRule type="containsText" dxfId="2230" priority="2960" operator="containsText" text="TOTAL">
      <formula>NOT(ISERROR(SEARCH("TOTAL",F1233)))</formula>
    </cfRule>
  </conditionalFormatting>
  <conditionalFormatting sqref="F1237">
    <cfRule type="containsText" dxfId="2229" priority="2949" operator="containsText" text="TOTAL">
      <formula>NOT(ISERROR(SEARCH("TOTAL",F1237)))</formula>
    </cfRule>
  </conditionalFormatting>
  <conditionalFormatting sqref="F1120">
    <cfRule type="containsText" dxfId="2228" priority="2783" operator="containsText" text="TOTAL">
      <formula>NOT(ISERROR(SEARCH("TOTAL",F1120)))</formula>
    </cfRule>
  </conditionalFormatting>
  <conditionalFormatting sqref="F1122">
    <cfRule type="containsText" dxfId="2227" priority="2781" operator="containsText" text="TOTAL">
      <formula>NOT(ISERROR(SEARCH("TOTAL",F1122)))</formula>
    </cfRule>
  </conditionalFormatting>
  <conditionalFormatting sqref="F1121">
    <cfRule type="containsText" dxfId="2226" priority="2777" operator="containsText" text="TOTAL">
      <formula>NOT(ISERROR(SEARCH("TOTAL",F1121)))</formula>
    </cfRule>
  </conditionalFormatting>
  <conditionalFormatting sqref="B1559">
    <cfRule type="containsText" dxfId="2225" priority="2776" operator="containsText" text="m2">
      <formula>NOT(ISERROR(SEARCH("m2",B1559)))</formula>
    </cfRule>
  </conditionalFormatting>
  <conditionalFormatting sqref="B1558">
    <cfRule type="containsText" dxfId="2224" priority="2775" operator="containsText" text="m2">
      <formula>NOT(ISERROR(SEARCH("m2",B1558)))</formula>
    </cfRule>
  </conditionalFormatting>
  <conditionalFormatting sqref="B1561 B1562:E1562">
    <cfRule type="containsText" dxfId="2223" priority="2774" operator="containsText" text="m2">
      <formula>NOT(ISERROR(SEARCH("m2",B1561)))</formula>
    </cfRule>
  </conditionalFormatting>
  <conditionalFormatting sqref="F1562:F1563">
    <cfRule type="containsText" dxfId="2222" priority="2773" operator="containsText" text="TOTAL">
      <formula>NOT(ISERROR(SEARCH("TOTAL",F1562)))</formula>
    </cfRule>
  </conditionalFormatting>
  <conditionalFormatting sqref="D1561:E1561">
    <cfRule type="containsText" dxfId="2221" priority="2772" operator="containsText" text="m2">
      <formula>NOT(ISERROR(SEARCH("m2",D1561)))</formula>
    </cfRule>
  </conditionalFormatting>
  <conditionalFormatting sqref="B1564:E1564">
    <cfRule type="containsText" dxfId="2220" priority="2770" operator="containsText" text="m2">
      <formula>NOT(ISERROR(SEARCH("m2",B1564)))</formula>
    </cfRule>
  </conditionalFormatting>
  <conditionalFormatting sqref="F1564">
    <cfRule type="containsText" dxfId="2219" priority="2769" operator="containsText" text="TOTAL">
      <formula>NOT(ISERROR(SEARCH("TOTAL",F1564)))</formula>
    </cfRule>
  </conditionalFormatting>
  <conditionalFormatting sqref="B1567:E1567">
    <cfRule type="containsText" dxfId="2218" priority="2768" operator="containsText" text="m2">
      <formula>NOT(ISERROR(SEARCH("m2",B1567)))</formula>
    </cfRule>
  </conditionalFormatting>
  <conditionalFormatting sqref="F1567">
    <cfRule type="containsText" dxfId="2217" priority="2767" operator="containsText" text="TOTAL">
      <formula>NOT(ISERROR(SEARCH("TOTAL",F1567)))</formula>
    </cfRule>
  </conditionalFormatting>
  <conditionalFormatting sqref="B1563:E1563">
    <cfRule type="containsText" dxfId="2216" priority="2766" operator="containsText" text="m2">
      <formula>NOT(ISERROR(SEARCH("m2",B1563)))</formula>
    </cfRule>
  </conditionalFormatting>
  <conditionalFormatting sqref="F1565">
    <cfRule type="containsText" dxfId="2215" priority="2764" operator="containsText" text="TOTAL">
      <formula>NOT(ISERROR(SEARCH("TOTAL",F1565)))</formula>
    </cfRule>
  </conditionalFormatting>
  <conditionalFormatting sqref="B1565:E1565">
    <cfRule type="containsText" dxfId="2214" priority="2765" operator="containsText" text="m2">
      <formula>NOT(ISERROR(SEARCH("m2",B1565)))</formula>
    </cfRule>
  </conditionalFormatting>
  <conditionalFormatting sqref="B1535">
    <cfRule type="containsText" dxfId="2213" priority="2763" operator="containsText" text="m2">
      <formula>NOT(ISERROR(SEARCH("m2",B1535)))</formula>
    </cfRule>
  </conditionalFormatting>
  <conditionalFormatting sqref="B1089">
    <cfRule type="containsText" dxfId="2212" priority="2751" operator="containsText" text="m2">
      <formula>NOT(ISERROR(SEARCH("m2",B1089)))</formula>
    </cfRule>
  </conditionalFormatting>
  <conditionalFormatting sqref="F817">
    <cfRule type="containsText" dxfId="2211" priority="2756" operator="containsText" text="TOTAL">
      <formula>NOT(ISERROR(SEARCH("TOTAL",F817)))</formula>
    </cfRule>
  </conditionalFormatting>
  <conditionalFormatting sqref="C864">
    <cfRule type="containsText" dxfId="2210" priority="2755" operator="containsText" text="m2">
      <formula>NOT(ISERROR(SEARCH("m2",C864)))</formula>
    </cfRule>
  </conditionalFormatting>
  <conditionalFormatting sqref="B1084:B1085">
    <cfRule type="containsText" dxfId="2209" priority="2748" operator="containsText" text="m2">
      <formula>NOT(ISERROR(SEARCH("m2",B1084)))</formula>
    </cfRule>
  </conditionalFormatting>
  <conditionalFormatting sqref="B1095:E1095 B1096 B1101 B1106 B1092:E1093 B1094:D1094 B1097:E1100 B1102:E1105">
    <cfRule type="containsText" dxfId="2208" priority="2750" operator="containsText" text="m2">
      <formula>NOT(ISERROR(SEARCH("m2",B1092)))</formula>
    </cfRule>
  </conditionalFormatting>
  <conditionalFormatting sqref="B1111 B1116 B1122 B1129 B1133 B1140 B1145 B1174 B1154 B1107:E1110 B1112:E1115 B1117:E1121 B1123:E1128 B1130:E1132 B1137:E1139 B1141:E1144 B1149:E1153 B1155:E1158 B1159 B1160:E1163 B1164 B1165:E1168 B1169 B1170:E1173 B1179 B1175:E1178 B1184 B1180:E1183 B1194 B1185:E1188 B1199 B1195:E1198 B1204 B1200:E1203 B1209 B1205:E1208 B1213 B1210:E1212 B1217 B1214:E1216 B1222 B1218:E1221 B1229 B1223:E1226 B1233 B1230:E1232 B1234:E1236 B1190:E1193 B1237">
    <cfRule type="containsText" dxfId="2207" priority="2749" operator="containsText" text="m2">
      <formula>NOT(ISERROR(SEARCH("m2",B1107)))</formula>
    </cfRule>
  </conditionalFormatting>
  <conditionalFormatting sqref="E1094">
    <cfRule type="containsText" dxfId="2206" priority="2745" operator="containsText" text="m2">
      <formula>NOT(ISERROR(SEARCH("m2",E1094)))</formula>
    </cfRule>
  </conditionalFormatting>
  <conditionalFormatting sqref="F1189">
    <cfRule type="containsText" dxfId="2205" priority="2744" operator="containsText" text="TOTAL">
      <formula>NOT(ISERROR(SEARCH("TOTAL",F1189)))</formula>
    </cfRule>
  </conditionalFormatting>
  <conditionalFormatting sqref="B1189">
    <cfRule type="containsText" dxfId="2204" priority="2743" operator="containsText" text="m2">
      <formula>NOT(ISERROR(SEARCH("m2",B1189)))</formula>
    </cfRule>
  </conditionalFormatting>
  <conditionalFormatting sqref="B367">
    <cfRule type="containsText" dxfId="2203" priority="2719" operator="containsText" text="m2">
      <formula>NOT(ISERROR(SEARCH("m2",B367)))</formula>
    </cfRule>
  </conditionalFormatting>
  <conditionalFormatting sqref="B1934:D1934">
    <cfRule type="containsText" dxfId="2202" priority="2725" operator="containsText" text="m2">
      <formula>NOT(ISERROR(SEARCH("m2",B1934)))</formula>
    </cfRule>
  </conditionalFormatting>
  <conditionalFormatting sqref="D1698:E1698">
    <cfRule type="containsText" dxfId="2201" priority="2704" operator="containsText" text="m2">
      <formula>NOT(ISERROR(SEARCH("m2",D1698)))</formula>
    </cfRule>
  </conditionalFormatting>
  <conditionalFormatting sqref="B384 B501">
    <cfRule type="containsText" dxfId="2200" priority="2717" operator="containsText" text="m2">
      <formula>NOT(ISERROR(SEARCH("m2",B384)))</formula>
    </cfRule>
  </conditionalFormatting>
  <conditionalFormatting sqref="F2019">
    <cfRule type="containsText" dxfId="2199" priority="2627" operator="containsText" text="TOTAL">
      <formula>NOT(ISERROR(SEARCH("TOTAL",F2019)))</formula>
    </cfRule>
  </conditionalFormatting>
  <conditionalFormatting sqref="F367">
    <cfRule type="containsText" dxfId="2198" priority="2718" operator="containsText" text="TOTAL">
      <formula>NOT(ISERROR(SEARCH("TOTAL",F367)))</formula>
    </cfRule>
  </conditionalFormatting>
  <conditionalFormatting sqref="B1933:E1933 B1935:E1935 E1934">
    <cfRule type="containsText" dxfId="2197" priority="2728" operator="containsText" text="m2">
      <formula>NOT(ISERROR(SEARCH("m2",B1933)))</formula>
    </cfRule>
  </conditionalFormatting>
  <conditionalFormatting sqref="F1932:F1935">
    <cfRule type="containsText" dxfId="2196" priority="2727" operator="containsText" text="TOTAL">
      <formula>NOT(ISERROR(SEARCH("TOTAL",F1932)))</formula>
    </cfRule>
  </conditionalFormatting>
  <conditionalFormatting sqref="D1756:E1756">
    <cfRule type="containsText" dxfId="2195" priority="2550" operator="containsText" text="m2">
      <formula>NOT(ISERROR(SEARCH("m2",D1756)))</formula>
    </cfRule>
  </conditionalFormatting>
  <conditionalFormatting sqref="F384">
    <cfRule type="containsText" dxfId="2194" priority="2716" operator="containsText" text="TOTAL">
      <formula>NOT(ISERROR(SEARCH("TOTAL",F384)))</formula>
    </cfRule>
  </conditionalFormatting>
  <conditionalFormatting sqref="B1794 B1798:B1799">
    <cfRule type="containsText" dxfId="2193" priority="2540" operator="containsText" text="m2">
      <formula>NOT(ISERROR(SEARCH("m2",B1794)))</formula>
    </cfRule>
  </conditionalFormatting>
  <conditionalFormatting sqref="F1591">
    <cfRule type="containsText" dxfId="2192" priority="2710" operator="containsText" text="TOTAL">
      <formula>NOT(ISERROR(SEARCH("TOTAL",F1591)))</formula>
    </cfRule>
  </conditionalFormatting>
  <conditionalFormatting sqref="B1589 B1590:E1590">
    <cfRule type="containsText" dxfId="2191" priority="2714" operator="containsText" text="m2">
      <formula>NOT(ISERROR(SEARCH("m2",B1589)))</formula>
    </cfRule>
  </conditionalFormatting>
  <conditionalFormatting sqref="F1590">
    <cfRule type="containsText" dxfId="2190" priority="2713" operator="containsText" text="TOTAL">
      <formula>NOT(ISERROR(SEARCH("TOTAL",F1590)))</formula>
    </cfRule>
  </conditionalFormatting>
  <conditionalFormatting sqref="D1589:E1589">
    <cfRule type="containsText" dxfId="2189" priority="2712" operator="containsText" text="m2">
      <formula>NOT(ISERROR(SEARCH("m2",D1589)))</formula>
    </cfRule>
  </conditionalFormatting>
  <conditionalFormatting sqref="B1591:E1591">
    <cfRule type="containsText" dxfId="2188" priority="2711" operator="containsText" text="m2">
      <formula>NOT(ISERROR(SEARCH("m2",B1591)))</formula>
    </cfRule>
  </conditionalFormatting>
  <conditionalFormatting sqref="F1699">
    <cfRule type="containsText" dxfId="2187" priority="2708" operator="containsText" text="TOTAL">
      <formula>NOT(ISERROR(SEARCH("TOTAL",F1699)))</formula>
    </cfRule>
  </conditionalFormatting>
  <conditionalFormatting sqref="B1699:E1699">
    <cfRule type="containsText" dxfId="2186" priority="2709" operator="containsText" text="m2">
      <formula>NOT(ISERROR(SEARCH("m2",B1699)))</formula>
    </cfRule>
  </conditionalFormatting>
  <conditionalFormatting sqref="F1700">
    <cfRule type="containsText" dxfId="2185" priority="2702" operator="containsText" text="TOTAL">
      <formula>NOT(ISERROR(SEARCH("TOTAL",F1700)))</formula>
    </cfRule>
  </conditionalFormatting>
  <conditionalFormatting sqref="B1697:E1697">
    <cfRule type="containsText" dxfId="2184" priority="2707" operator="containsText" text="m2">
      <formula>NOT(ISERROR(SEARCH("m2",B1697)))</formula>
    </cfRule>
  </conditionalFormatting>
  <conditionalFormatting sqref="F1697">
    <cfRule type="containsText" dxfId="2183" priority="2706" operator="containsText" text="TOTAL">
      <formula>NOT(ISERROR(SEARCH("TOTAL",F1697)))</formula>
    </cfRule>
  </conditionalFormatting>
  <conditionalFormatting sqref="B1698">
    <cfRule type="containsText" dxfId="2182" priority="2705" operator="containsText" text="m2">
      <formula>NOT(ISERROR(SEARCH("m2",B1698)))</formula>
    </cfRule>
  </conditionalFormatting>
  <conditionalFormatting sqref="B1700:E1700 C1702:E1702 B1756 B1780 C1787:E1794 C1796 C1798:C1799">
    <cfRule type="containsText" dxfId="2181" priority="2703" operator="containsText" text="m2">
      <formula>NOT(ISERROR(SEARCH("m2",B1700)))</formula>
    </cfRule>
  </conditionalFormatting>
  <conditionalFormatting sqref="F1148">
    <cfRule type="containsText" dxfId="2180" priority="2695" operator="containsText" text="TOTAL">
      <formula>NOT(ISERROR(SEARCH("TOTAL",F1148)))</formula>
    </cfRule>
  </conditionalFormatting>
  <conditionalFormatting sqref="B1146">
    <cfRule type="containsText" dxfId="2179" priority="2701" operator="containsText" text="m2">
      <formula>NOT(ISERROR(SEARCH("m2",B1146)))</formula>
    </cfRule>
  </conditionalFormatting>
  <conditionalFormatting sqref="F1241 F1245">
    <cfRule type="containsText" dxfId="2178" priority="2687" operator="containsText" text="TOTAL">
      <formula>NOT(ISERROR(SEARCH("TOTAL",F1241)))</formula>
    </cfRule>
  </conditionalFormatting>
  <conditionalFormatting sqref="B1147">
    <cfRule type="containsText" dxfId="2177" priority="2699" operator="containsText" text="m2">
      <formula>NOT(ISERROR(SEARCH("m2",B1147)))</formula>
    </cfRule>
  </conditionalFormatting>
  <conditionalFormatting sqref="F1147">
    <cfRule type="containsText" dxfId="2176" priority="2698" operator="containsText" text="TOTAL">
      <formula>NOT(ISERROR(SEARCH("TOTAL",F1147)))</formula>
    </cfRule>
  </conditionalFormatting>
  <conditionalFormatting sqref="D1146:E1146">
    <cfRule type="containsText" dxfId="2175" priority="2697" operator="containsText" text="m2">
      <formula>NOT(ISERROR(SEARCH("m2",D1146)))</formula>
    </cfRule>
  </conditionalFormatting>
  <conditionalFormatting sqref="B1148:E1148">
    <cfRule type="containsText" dxfId="2174" priority="2696" operator="containsText" text="m2">
      <formula>NOT(ISERROR(SEARCH("m2",B1148)))</formula>
    </cfRule>
  </conditionalFormatting>
  <conditionalFormatting sqref="D1239:E1239">
    <cfRule type="containsText" dxfId="2173" priority="2689" operator="containsText" text="m2">
      <formula>NOT(ISERROR(SEARCH("m2",D1239)))</formula>
    </cfRule>
  </conditionalFormatting>
  <conditionalFormatting sqref="F1240">
    <cfRule type="containsText" dxfId="2172" priority="2693" operator="containsText" text="TOTAL">
      <formula>NOT(ISERROR(SEARCH("TOTAL",F1240)))</formula>
    </cfRule>
  </conditionalFormatting>
  <conditionalFormatting sqref="B1240:E1240">
    <cfRule type="containsText" dxfId="2171" priority="2694" operator="containsText" text="m2">
      <formula>NOT(ISERROR(SEARCH("m2",B1240)))</formula>
    </cfRule>
  </conditionalFormatting>
  <conditionalFormatting sqref="B1238:E1238">
    <cfRule type="containsText" dxfId="2170" priority="2692" operator="containsText" text="m2">
      <formula>NOT(ISERROR(SEARCH("m2",B1238)))</formula>
    </cfRule>
  </conditionalFormatting>
  <conditionalFormatting sqref="F1238">
    <cfRule type="containsText" dxfId="2169" priority="2691" operator="containsText" text="TOTAL">
      <formula>NOT(ISERROR(SEARCH("TOTAL",F1238)))</formula>
    </cfRule>
  </conditionalFormatting>
  <conditionalFormatting sqref="B1239">
    <cfRule type="containsText" dxfId="2168" priority="2690" operator="containsText" text="m2">
      <formula>NOT(ISERROR(SEARCH("m2",B1239)))</formula>
    </cfRule>
  </conditionalFormatting>
  <conditionalFormatting sqref="B1241:E1241">
    <cfRule type="containsText" dxfId="2167" priority="2688" operator="containsText" text="m2">
      <formula>NOT(ISERROR(SEARCH("m2",B1241)))</formula>
    </cfRule>
  </conditionalFormatting>
  <conditionalFormatting sqref="F641:F645">
    <cfRule type="containsText" dxfId="2166" priority="2680" operator="containsText" text="TOTAL">
      <formula>NOT(ISERROR(SEARCH("TOTAL",F641)))</formula>
    </cfRule>
  </conditionalFormatting>
  <conditionalFormatting sqref="B641:B645">
    <cfRule type="containsText" dxfId="2165" priority="2681" operator="containsText" text="m2">
      <formula>NOT(ISERROR(SEARCH("m2",B641)))</formula>
    </cfRule>
  </conditionalFormatting>
  <conditionalFormatting sqref="B1937:E1937">
    <cfRule type="containsText" dxfId="2164" priority="2674" operator="containsText" text="m2">
      <formula>NOT(ISERROR(SEARCH("m2",B1937)))</formula>
    </cfRule>
  </conditionalFormatting>
  <conditionalFormatting sqref="B1508">
    <cfRule type="containsText" dxfId="2163" priority="2678" operator="containsText" text="m2">
      <formula>NOT(ISERROR(SEARCH("m2",B1508)))</formula>
    </cfRule>
  </conditionalFormatting>
  <conditionalFormatting sqref="B259">
    <cfRule type="containsText" dxfId="2162" priority="2661" operator="containsText" text="m2">
      <formula>NOT(ISERROR(SEARCH("m2",B259)))</formula>
    </cfRule>
  </conditionalFormatting>
  <conditionalFormatting sqref="B513">
    <cfRule type="containsText" dxfId="2161" priority="2658" operator="containsText" text="m2">
      <formula>NOT(ISERROR(SEARCH("m2",B513)))</formula>
    </cfRule>
  </conditionalFormatting>
  <conditionalFormatting sqref="F1937">
    <cfRule type="containsText" dxfId="2160" priority="2673" operator="containsText" text="TOTAL">
      <formula>NOT(ISERROR(SEARCH("TOTAL",F1937)))</formula>
    </cfRule>
  </conditionalFormatting>
  <conditionalFormatting sqref="B502">
    <cfRule type="containsText" dxfId="2159" priority="2660" operator="containsText" text="m2">
      <formula>NOT(ISERROR(SEARCH("m2",B502)))</formula>
    </cfRule>
  </conditionalFormatting>
  <conditionalFormatting sqref="B469">
    <cfRule type="containsText" dxfId="2158" priority="2656" operator="containsText" text="m2">
      <formula>NOT(ISERROR(SEARCH("m2",B469)))</formula>
    </cfRule>
  </conditionalFormatting>
  <conditionalFormatting sqref="B470">
    <cfRule type="containsText" dxfId="2157" priority="2654" operator="containsText" text="m2">
      <formula>NOT(ISERROR(SEARCH("m2",B470)))</formula>
    </cfRule>
  </conditionalFormatting>
  <conditionalFormatting sqref="B468">
    <cfRule type="containsText" dxfId="2156" priority="2655" operator="containsText" text="m2">
      <formula>NOT(ISERROR(SEARCH("m2",B468)))</formula>
    </cfRule>
  </conditionalFormatting>
  <conditionalFormatting sqref="B54">
    <cfRule type="containsText" dxfId="2155" priority="2641" operator="containsText" text="m2">
      <formula>NOT(ISERROR(SEARCH("m2",B54)))</formula>
    </cfRule>
  </conditionalFormatting>
  <conditionalFormatting sqref="F502">
    <cfRule type="containsText" dxfId="2154" priority="2659" operator="containsText" text="TOTAL">
      <formula>NOT(ISERROR(SEARCH("TOTAL",F502)))</formula>
    </cfRule>
  </conditionalFormatting>
  <conditionalFormatting sqref="F513">
    <cfRule type="containsText" dxfId="2153" priority="2657" operator="containsText" text="TOTAL">
      <formula>NOT(ISERROR(SEARCH("TOTAL",F513)))</formula>
    </cfRule>
  </conditionalFormatting>
  <conditionalFormatting sqref="B66 B88:B92">
    <cfRule type="containsText" dxfId="2152" priority="2638" operator="containsText" text="m2">
      <formula>NOT(ISERROR(SEARCH("m2",B66)))</formula>
    </cfRule>
  </conditionalFormatting>
  <conditionalFormatting sqref="F470">
    <cfRule type="containsText" dxfId="2151" priority="2653" operator="containsText" text="TOTAL">
      <formula>NOT(ISERROR(SEARCH("TOTAL",F470)))</formula>
    </cfRule>
  </conditionalFormatting>
  <conditionalFormatting sqref="B519">
    <cfRule type="containsText" dxfId="2150" priority="2645" operator="containsText" text="m2">
      <formula>NOT(ISERROR(SEARCH("m2",B519)))</formula>
    </cfRule>
  </conditionalFormatting>
  <conditionalFormatting sqref="B473">
    <cfRule type="containsText" dxfId="2149" priority="2652" operator="containsText" text="m2">
      <formula>NOT(ISERROR(SEARCH("m2",B473)))</formula>
    </cfRule>
  </conditionalFormatting>
  <conditionalFormatting sqref="D468">
    <cfRule type="containsText" dxfId="2148" priority="2651" operator="containsText" text="m2">
      <formula>NOT(ISERROR(SEARCH("m2",D468)))</formula>
    </cfRule>
  </conditionalFormatting>
  <conditionalFormatting sqref="D469">
    <cfRule type="containsText" dxfId="2147" priority="2650" operator="containsText" text="m2">
      <formula>NOT(ISERROR(SEARCH("m2",D469)))</formula>
    </cfRule>
  </conditionalFormatting>
  <conditionalFormatting sqref="D473">
    <cfRule type="containsText" dxfId="2146" priority="2649" operator="containsText" text="m2">
      <formula>NOT(ISERROR(SEARCH("m2",D473)))</formula>
    </cfRule>
  </conditionalFormatting>
  <conditionalFormatting sqref="F498">
    <cfRule type="containsText" dxfId="2145" priority="2647" operator="containsText" text="TOTAL">
      <formula>NOT(ISERROR(SEARCH("TOTAL",F498)))</formula>
    </cfRule>
  </conditionalFormatting>
  <conditionalFormatting sqref="B494:B496">
    <cfRule type="containsText" dxfId="2144" priority="2648" operator="containsText" text="m2">
      <formula>NOT(ISERROR(SEARCH("m2",B494)))</formula>
    </cfRule>
  </conditionalFormatting>
  <conditionalFormatting sqref="B516 B521 B523">
    <cfRule type="containsText" dxfId="2143" priority="2646" operator="containsText" text="m2">
      <formula>NOT(ISERROR(SEARCH("m2",B516)))</formula>
    </cfRule>
  </conditionalFormatting>
  <conditionalFormatting sqref="B50:B51">
    <cfRule type="containsText" dxfId="2142" priority="2642" operator="containsText" text="m2">
      <formula>NOT(ISERROR(SEARCH("m2",B50)))</formula>
    </cfRule>
  </conditionalFormatting>
  <conditionalFormatting sqref="F2032:F2033">
    <cfRule type="containsText" dxfId="2141" priority="2629" operator="containsText" text="TOTAL">
      <formula>NOT(ISERROR(SEARCH("TOTAL",F2032)))</formula>
    </cfRule>
  </conditionalFormatting>
  <conditionalFormatting sqref="E2019">
    <cfRule type="containsText" dxfId="2140" priority="2628" operator="containsText" text="m2">
      <formula>NOT(ISERROR(SEARCH("m2",E2019)))</formula>
    </cfRule>
  </conditionalFormatting>
  <conditionalFormatting sqref="F2029:F2030">
    <cfRule type="containsText" dxfId="2139" priority="2631" operator="containsText" text="TOTAL">
      <formula>NOT(ISERROR(SEARCH("TOTAL",F2029)))</formula>
    </cfRule>
  </conditionalFormatting>
  <conditionalFormatting sqref="B2266:E2266 C2287 C2298 E2287 C2272 C2268">
    <cfRule type="containsText" dxfId="2138" priority="2606" operator="containsText" text="m2">
      <formula>NOT(ISERROR(SEARCH("m2",B2266)))</formula>
    </cfRule>
  </conditionalFormatting>
  <conditionalFormatting sqref="D1908:E1908">
    <cfRule type="containsText" dxfId="2137" priority="2604" operator="containsText" text="m2">
      <formula>NOT(ISERROR(SEARCH("m2",D1908)))</formula>
    </cfRule>
  </conditionalFormatting>
  <conditionalFormatting sqref="F536">
    <cfRule type="containsText" dxfId="2136" priority="2600" operator="containsText" text="TOTAL">
      <formula>NOT(ISERROR(SEARCH("TOTAL",F536)))</formula>
    </cfRule>
  </conditionalFormatting>
  <conditionalFormatting sqref="B2250 B2251:E2254">
    <cfRule type="containsText" dxfId="2135" priority="2610" operator="containsText" text="m2">
      <formula>NOT(ISERROR(SEARCH("m2",B2250)))</formula>
    </cfRule>
  </conditionalFormatting>
  <conditionalFormatting sqref="D1906:E1906">
    <cfRule type="containsText" dxfId="2134" priority="2605" operator="containsText" text="m2">
      <formula>NOT(ISERROR(SEARCH("m2",D1906)))</formula>
    </cfRule>
  </conditionalFormatting>
  <conditionalFormatting sqref="F551">
    <cfRule type="containsText" dxfId="2133" priority="2576" operator="containsText" text="TOTAL">
      <formula>NOT(ISERROR(SEARCH("TOTAL",F551)))</formula>
    </cfRule>
  </conditionalFormatting>
  <conditionalFormatting sqref="D1671:E1671">
    <cfRule type="containsText" dxfId="2132" priority="2406" operator="containsText" text="m2">
      <formula>NOT(ISERROR(SEARCH("m2",D1671)))</formula>
    </cfRule>
  </conditionalFormatting>
  <conditionalFormatting sqref="F1520">
    <cfRule type="containsText" dxfId="2131" priority="2592" operator="containsText" text="TOTAL">
      <formula>NOT(ISERROR(SEARCH("TOTAL",F1520)))</formula>
    </cfRule>
  </conditionalFormatting>
  <conditionalFormatting sqref="F1069">
    <cfRule type="containsText" dxfId="2130" priority="2590" operator="containsText" text="TOTAL">
      <formula>NOT(ISERROR(SEARCH("TOTAL",F1069)))</formula>
    </cfRule>
  </conditionalFormatting>
  <conditionalFormatting sqref="B1069:E1069">
    <cfRule type="containsText" dxfId="2129" priority="2589" operator="containsText" text="m2">
      <formula>NOT(ISERROR(SEARCH("m2",B1069)))</formula>
    </cfRule>
  </conditionalFormatting>
  <conditionalFormatting sqref="B498">
    <cfRule type="containsText" dxfId="2128" priority="2588" operator="containsText" text="m2">
      <formula>NOT(ISERROR(SEARCH("m2",B498)))</formula>
    </cfRule>
  </conditionalFormatting>
  <conditionalFormatting sqref="B553 B555">
    <cfRule type="containsText" dxfId="2127" priority="2597" operator="containsText" text="m2">
      <formula>NOT(ISERROR(SEARCH("m2",B553)))</formula>
    </cfRule>
  </conditionalFormatting>
  <conditionalFormatting sqref="B1083:E1083">
    <cfRule type="containsText" dxfId="2126" priority="2595" operator="containsText" text="m2">
      <formula>NOT(ISERROR(SEARCH("m2",B1083)))</formula>
    </cfRule>
  </conditionalFormatting>
  <conditionalFormatting sqref="F1506">
    <cfRule type="containsText" dxfId="2125" priority="2594" operator="containsText" text="TOTAL">
      <formula>NOT(ISERROR(SEARCH("TOTAL",F1506)))</formula>
    </cfRule>
  </conditionalFormatting>
  <conditionalFormatting sqref="B1506:E1506">
    <cfRule type="containsText" dxfId="2124" priority="2593" operator="containsText" text="m2">
      <formula>NOT(ISERROR(SEARCH("m2",B1506)))</formula>
    </cfRule>
  </conditionalFormatting>
  <conditionalFormatting sqref="B1520:E1520">
    <cfRule type="containsText" dxfId="2123" priority="2591" operator="containsText" text="m2">
      <formula>NOT(ISERROR(SEARCH("m2",B1520)))</formula>
    </cfRule>
  </conditionalFormatting>
  <conditionalFormatting sqref="F524">
    <cfRule type="containsText" dxfId="2122" priority="2580" operator="containsText" text="TOTAL">
      <formula>NOT(ISERROR(SEARCH("TOTAL",F524)))</formula>
    </cfRule>
  </conditionalFormatting>
  <conditionalFormatting sqref="F753">
    <cfRule type="containsText" dxfId="2121" priority="2587" operator="containsText" text="TOTAL">
      <formula>NOT(ISERROR(SEARCH("TOTAL",F753)))</formula>
    </cfRule>
  </conditionalFormatting>
  <conditionalFormatting sqref="B2246">
    <cfRule type="containsText" dxfId="2120" priority="2572" operator="containsText" text="m2">
      <formula>NOT(ISERROR(SEARCH("m2",B2246)))</formula>
    </cfRule>
  </conditionalFormatting>
  <conditionalFormatting sqref="B388">
    <cfRule type="containsText" dxfId="2119" priority="2583" operator="containsText" text="m2">
      <formula>NOT(ISERROR(SEARCH("m2",B388)))</formula>
    </cfRule>
  </conditionalFormatting>
  <conditionalFormatting sqref="F556">
    <cfRule type="containsText" dxfId="2118" priority="2574" operator="containsText" text="TOTAL">
      <formula>NOT(ISERROR(SEARCH("TOTAL",F556)))</formula>
    </cfRule>
  </conditionalFormatting>
  <conditionalFormatting sqref="B524:B525 B529">
    <cfRule type="containsText" dxfId="2117" priority="2581" operator="containsText" text="m2">
      <formula>NOT(ISERROR(SEARCH("m2",B524)))</formula>
    </cfRule>
  </conditionalFormatting>
  <conditionalFormatting sqref="F530">
    <cfRule type="containsText" dxfId="2116" priority="2578" operator="containsText" text="TOTAL">
      <formula>NOT(ISERROR(SEARCH("TOTAL",F530)))</formula>
    </cfRule>
  </conditionalFormatting>
  <conditionalFormatting sqref="B530">
    <cfRule type="containsText" dxfId="2115" priority="2579" operator="containsText" text="m2">
      <formula>NOT(ISERROR(SEARCH("m2",B530)))</formula>
    </cfRule>
  </conditionalFormatting>
  <conditionalFormatting sqref="F2246">
    <cfRule type="containsText" dxfId="2114" priority="2566" operator="containsText" text="TOTAL">
      <formula>NOT(ISERROR(SEARCH("TOTAL",F2246)))</formula>
    </cfRule>
  </conditionalFormatting>
  <conditionalFormatting sqref="B556">
    <cfRule type="containsText" dxfId="2113" priority="2575" operator="containsText" text="m2">
      <formula>NOT(ISERROR(SEARCH("m2",B556)))</formula>
    </cfRule>
  </conditionalFormatting>
  <conditionalFormatting sqref="E2246">
    <cfRule type="containsText" dxfId="2112" priority="2567" operator="containsText" text="m2">
      <formula>NOT(ISERROR(SEARCH("m2",E2246)))</formula>
    </cfRule>
  </conditionalFormatting>
  <conditionalFormatting sqref="F2249">
    <cfRule type="containsText" dxfId="2111" priority="2565" operator="containsText" text="TOTAL">
      <formula>NOT(ISERROR(SEARCH("TOTAL",F2249)))</formula>
    </cfRule>
  </conditionalFormatting>
  <conditionalFormatting sqref="B2249:E2249">
    <cfRule type="containsText" dxfId="2110" priority="2564" operator="containsText" text="m2">
      <formula>NOT(ISERROR(SEARCH("m2",B2249)))</formula>
    </cfRule>
  </conditionalFormatting>
  <conditionalFormatting sqref="B459">
    <cfRule type="containsText" dxfId="2109" priority="2562" operator="containsText" text="m2">
      <formula>NOT(ISERROR(SEARCH("m2",B459)))</formula>
    </cfRule>
  </conditionalFormatting>
  <conditionalFormatting sqref="F462">
    <cfRule type="containsText" dxfId="2108" priority="2560" operator="containsText" text="TOTAL">
      <formula>NOT(ISERROR(SEARCH("TOTAL",F462)))</formula>
    </cfRule>
  </conditionalFormatting>
  <conditionalFormatting sqref="B462">
    <cfRule type="containsText" dxfId="2107" priority="2561" operator="containsText" text="m2">
      <formula>NOT(ISERROR(SEARCH("m2",B462)))</formula>
    </cfRule>
  </conditionalFormatting>
  <conditionalFormatting sqref="B1702">
    <cfRule type="containsText" dxfId="2106" priority="2551" operator="containsText" text="m2">
      <formula>NOT(ISERROR(SEARCH("m2",B1702)))</formula>
    </cfRule>
  </conditionalFormatting>
  <conditionalFormatting sqref="F80">
    <cfRule type="containsText" dxfId="2105" priority="2555" operator="containsText" text="TOTAL">
      <formula>NOT(ISERROR(SEARCH("TOTAL",F80)))</formula>
    </cfRule>
  </conditionalFormatting>
  <conditionalFormatting sqref="B557">
    <cfRule type="containsText" dxfId="2104" priority="2483" operator="containsText" text="m2">
      <formula>NOT(ISERROR(SEARCH("m2",B557)))</formula>
    </cfRule>
  </conditionalFormatting>
  <conditionalFormatting sqref="F1779">
    <cfRule type="containsText" dxfId="2103" priority="2538" operator="containsText" text="TOTAL">
      <formula>NOT(ISERROR(SEARCH("TOTAL",F1779)))</formula>
    </cfRule>
  </conditionalFormatting>
  <conditionalFormatting sqref="B1779:E1779">
    <cfRule type="containsText" dxfId="2102" priority="2539" operator="containsText" text="m2">
      <formula>NOT(ISERROR(SEARCH("m2",B1779)))</formula>
    </cfRule>
  </conditionalFormatting>
  <conditionalFormatting sqref="D1780:E1780">
    <cfRule type="containsText" dxfId="2101" priority="2537" operator="containsText" text="m2">
      <formula>NOT(ISERROR(SEARCH("m2",D1780)))</formula>
    </cfRule>
  </conditionalFormatting>
  <conditionalFormatting sqref="D1798:E1798">
    <cfRule type="containsText" dxfId="2100" priority="2535" operator="containsText" text="m2">
      <formula>NOT(ISERROR(SEARCH("m2",D1798)))</formula>
    </cfRule>
  </conditionalFormatting>
  <conditionalFormatting sqref="D1799:E1799">
    <cfRule type="containsText" dxfId="2099" priority="2533" operator="containsText" text="m2">
      <formula>NOT(ISERROR(SEARCH("m2",D1799)))</formula>
    </cfRule>
  </conditionalFormatting>
  <conditionalFormatting sqref="F1800 F1729">
    <cfRule type="containsText" dxfId="2098" priority="2530" operator="containsText" text="TOTAL">
      <formula>NOT(ISERROR(SEARCH("TOTAL",F1729)))</formula>
    </cfRule>
  </conditionalFormatting>
  <conditionalFormatting sqref="B1800:E1800 B1729:E1729">
    <cfRule type="containsText" dxfId="2097" priority="2531" operator="containsText" text="m2">
      <formula>NOT(ISERROR(SEARCH("m2",B1729)))</formula>
    </cfRule>
  </conditionalFormatting>
  <conditionalFormatting sqref="F2250">
    <cfRule type="containsText" dxfId="2096" priority="2528" operator="containsText" text="TOTAL">
      <formula>NOT(ISERROR(SEARCH("TOTAL",F2250)))</formula>
    </cfRule>
  </conditionalFormatting>
  <conditionalFormatting sqref="E2250">
    <cfRule type="containsText" dxfId="2095" priority="2529" operator="containsText" text="m2">
      <formula>NOT(ISERROR(SEARCH("m2",E2250)))</formula>
    </cfRule>
  </conditionalFormatting>
  <conditionalFormatting sqref="F2251:F2254">
    <cfRule type="containsText" dxfId="2094" priority="2527" operator="containsText" text="TOTAL">
      <formula>NOT(ISERROR(SEARCH("TOTAL",F2251)))</formula>
    </cfRule>
  </conditionalFormatting>
  <conditionalFormatting sqref="F2255">
    <cfRule type="containsText" dxfId="2093" priority="2526" operator="containsText" text="TOTAL">
      <formula>NOT(ISERROR(SEARCH("TOTAL",F2255)))</formula>
    </cfRule>
  </conditionalFormatting>
  <conditionalFormatting sqref="B2255:E2255 C2257:C2264">
    <cfRule type="containsText" dxfId="2092" priority="2525" operator="containsText" text="m2">
      <formula>NOT(ISERROR(SEARCH("m2",B2255)))</formula>
    </cfRule>
  </conditionalFormatting>
  <conditionalFormatting sqref="B411">
    <cfRule type="containsText" dxfId="2091" priority="2510" operator="containsText" text="m2">
      <formula>NOT(ISERROR(SEARCH("m2",B411)))</formula>
    </cfRule>
  </conditionalFormatting>
  <conditionalFormatting sqref="B100">
    <cfRule type="containsText" dxfId="2090" priority="2484" operator="containsText" text="m2">
      <formula>NOT(ISERROR(SEARCH("m2",B100)))</formula>
    </cfRule>
  </conditionalFormatting>
  <conditionalFormatting sqref="B94:B98">
    <cfRule type="containsText" dxfId="2089" priority="2487" operator="containsText" text="m2">
      <formula>NOT(ISERROR(SEARCH("m2",B94)))</formula>
    </cfRule>
  </conditionalFormatting>
  <conditionalFormatting sqref="F94">
    <cfRule type="containsText" dxfId="2088" priority="2486" operator="containsText" text="TOTAL">
      <formula>NOT(ISERROR(SEARCH("TOTAL",F94)))</formula>
    </cfRule>
  </conditionalFormatting>
  <conditionalFormatting sqref="B99">
    <cfRule type="containsText" dxfId="2087" priority="2485" operator="containsText" text="m2">
      <formula>NOT(ISERROR(SEARCH("m2",B99)))</formula>
    </cfRule>
  </conditionalFormatting>
  <conditionalFormatting sqref="F615">
    <cfRule type="containsText" dxfId="2086" priority="2479" operator="containsText" text="TOTAL">
      <formula>NOT(ISERROR(SEARCH("TOTAL",F615)))</formula>
    </cfRule>
  </conditionalFormatting>
  <conditionalFormatting sqref="B615 B635:B636 B619">
    <cfRule type="containsText" dxfId="2085" priority="2480" operator="containsText" text="m2">
      <formula>NOT(ISERROR(SEARCH("m2",B615)))</formula>
    </cfRule>
  </conditionalFormatting>
  <conditionalFormatting sqref="B1227:E1228">
    <cfRule type="containsText" dxfId="2084" priority="2476" operator="containsText" text="m2">
      <formula>NOT(ISERROR(SEARCH("m2",B1227)))</formula>
    </cfRule>
  </conditionalFormatting>
  <conditionalFormatting sqref="F1227:F1228">
    <cfRule type="containsText" dxfId="2083" priority="2475" operator="containsText" text="TOTAL">
      <formula>NOT(ISERROR(SEARCH("TOTAL",F1227)))</formula>
    </cfRule>
  </conditionalFormatting>
  <conditionalFormatting sqref="B1516:E1517">
    <cfRule type="containsText" dxfId="2082" priority="2474" operator="containsText" text="m2">
      <formula>NOT(ISERROR(SEARCH("m2",B1516)))</formula>
    </cfRule>
  </conditionalFormatting>
  <conditionalFormatting sqref="F1516:F1517">
    <cfRule type="containsText" dxfId="2081" priority="2473" operator="containsText" text="TOTAL">
      <formula>NOT(ISERROR(SEARCH("TOTAL",F1516)))</formula>
    </cfRule>
  </conditionalFormatting>
  <conditionalFormatting sqref="B1685:E1686">
    <cfRule type="containsText" dxfId="2080" priority="2472" operator="containsText" text="m2">
      <formula>NOT(ISERROR(SEARCH("m2",B1685)))</formula>
    </cfRule>
  </conditionalFormatting>
  <conditionalFormatting sqref="F1685:F1686">
    <cfRule type="containsText" dxfId="2079" priority="2471" operator="containsText" text="TOTAL">
      <formula>NOT(ISERROR(SEARCH("TOTAL",F1685)))</formula>
    </cfRule>
  </conditionalFormatting>
  <conditionalFormatting sqref="B1518:E1518">
    <cfRule type="containsText" dxfId="2078" priority="2470" operator="containsText" text="m2">
      <formula>NOT(ISERROR(SEARCH("m2",B1518)))</formula>
    </cfRule>
  </conditionalFormatting>
  <conditionalFormatting sqref="F1518">
    <cfRule type="containsText" dxfId="2077" priority="2469" operator="containsText" text="TOTAL">
      <formula>NOT(ISERROR(SEARCH("TOTAL",F1518)))</formula>
    </cfRule>
  </conditionalFormatting>
  <conditionalFormatting sqref="B1072">
    <cfRule type="containsText" dxfId="2076" priority="2434" operator="containsText" text="m2">
      <formula>NOT(ISERROR(SEARCH("m2",B1072)))</formula>
    </cfRule>
  </conditionalFormatting>
  <conditionalFormatting sqref="F1072">
    <cfRule type="containsText" dxfId="2075" priority="2433" operator="containsText" text="TOTAL">
      <formula>NOT(ISERROR(SEARCH("TOTAL",F1072)))</formula>
    </cfRule>
  </conditionalFormatting>
  <conditionalFormatting sqref="F1677">
    <cfRule type="containsText" dxfId="2074" priority="2403" operator="containsText" text="TOTAL">
      <formula>NOT(ISERROR(SEARCH("TOTAL",F1677)))</formula>
    </cfRule>
  </conditionalFormatting>
  <conditionalFormatting sqref="B734:B745">
    <cfRule type="containsText" dxfId="2073" priority="2224" operator="containsText" text="m2">
      <formula>NOT(ISERROR(SEARCH("m2",B734)))</formula>
    </cfRule>
  </conditionalFormatting>
  <conditionalFormatting sqref="F1684">
    <cfRule type="containsText" dxfId="2072" priority="2401" operator="containsText" text="TOTAL">
      <formula>NOT(ISERROR(SEARCH("TOTAL",F1684)))</formula>
    </cfRule>
  </conditionalFormatting>
  <conditionalFormatting sqref="D1602:E1602">
    <cfRule type="containsText" dxfId="2071" priority="2430" operator="containsText" text="m2">
      <formula>NOT(ISERROR(SEARCH("m2",D1602)))</formula>
    </cfRule>
  </conditionalFormatting>
  <conditionalFormatting sqref="F1602">
    <cfRule type="containsText" dxfId="2070" priority="2429" operator="containsText" text="TOTAL">
      <formula>NOT(ISERROR(SEARCH("TOTAL",F1602)))</formula>
    </cfRule>
  </conditionalFormatting>
  <conditionalFormatting sqref="D1608:E1608">
    <cfRule type="containsText" dxfId="2069" priority="2428" operator="containsText" text="m2">
      <formula>NOT(ISERROR(SEARCH("m2",D1608)))</formula>
    </cfRule>
  </conditionalFormatting>
  <conditionalFormatting sqref="F1608">
    <cfRule type="containsText" dxfId="2068" priority="2427" operator="containsText" text="TOTAL">
      <formula>NOT(ISERROR(SEARCH("TOTAL",F1608)))</formula>
    </cfRule>
  </conditionalFormatting>
  <conditionalFormatting sqref="D1614:E1614">
    <cfRule type="containsText" dxfId="2067" priority="2426" operator="containsText" text="m2">
      <formula>NOT(ISERROR(SEARCH("m2",D1614)))</formula>
    </cfRule>
  </conditionalFormatting>
  <conditionalFormatting sqref="F1614">
    <cfRule type="containsText" dxfId="2066" priority="2425" operator="containsText" text="TOTAL">
      <formula>NOT(ISERROR(SEARCH("TOTAL",F1614)))</formula>
    </cfRule>
  </conditionalFormatting>
  <conditionalFormatting sqref="D1620:E1620">
    <cfRule type="containsText" dxfId="2065" priority="2424" operator="containsText" text="m2">
      <formula>NOT(ISERROR(SEARCH("m2",D1620)))</formula>
    </cfRule>
  </conditionalFormatting>
  <conditionalFormatting sqref="F1620">
    <cfRule type="containsText" dxfId="2064" priority="2423" operator="containsText" text="TOTAL">
      <formula>NOT(ISERROR(SEARCH("TOTAL",F1620)))</formula>
    </cfRule>
  </conditionalFormatting>
  <conditionalFormatting sqref="D1626:E1626">
    <cfRule type="containsText" dxfId="2063" priority="2422" operator="containsText" text="m2">
      <formula>NOT(ISERROR(SEARCH("m2",D1626)))</formula>
    </cfRule>
  </conditionalFormatting>
  <conditionalFormatting sqref="F1626">
    <cfRule type="containsText" dxfId="2062" priority="2421" operator="containsText" text="TOTAL">
      <formula>NOT(ISERROR(SEARCH("TOTAL",F1626)))</formula>
    </cfRule>
  </conditionalFormatting>
  <conditionalFormatting sqref="D1632:E1632">
    <cfRule type="containsText" dxfId="2061" priority="2420" operator="containsText" text="m2">
      <formula>NOT(ISERROR(SEARCH("m2",D1632)))</formula>
    </cfRule>
  </conditionalFormatting>
  <conditionalFormatting sqref="F1632">
    <cfRule type="containsText" dxfId="2060" priority="2419" operator="containsText" text="TOTAL">
      <formula>NOT(ISERROR(SEARCH("TOTAL",F1632)))</formula>
    </cfRule>
  </conditionalFormatting>
  <conditionalFormatting sqref="D1638:E1638">
    <cfRule type="containsText" dxfId="2059" priority="2418" operator="containsText" text="m2">
      <formula>NOT(ISERROR(SEARCH("m2",D1638)))</formula>
    </cfRule>
  </conditionalFormatting>
  <conditionalFormatting sqref="F1638">
    <cfRule type="containsText" dxfId="2058" priority="2417" operator="containsText" text="TOTAL">
      <formula>NOT(ISERROR(SEARCH("TOTAL",F1638)))</formula>
    </cfRule>
  </conditionalFormatting>
  <conditionalFormatting sqref="D1644:E1644">
    <cfRule type="containsText" dxfId="2057" priority="2416" operator="containsText" text="m2">
      <formula>NOT(ISERROR(SEARCH("m2",D1644)))</formula>
    </cfRule>
  </conditionalFormatting>
  <conditionalFormatting sqref="F1644">
    <cfRule type="containsText" dxfId="2056" priority="2415" operator="containsText" text="TOTAL">
      <formula>NOT(ISERROR(SEARCH("TOTAL",F1644)))</formula>
    </cfRule>
  </conditionalFormatting>
  <conditionalFormatting sqref="D1650:E1650">
    <cfRule type="containsText" dxfId="2055" priority="2414" operator="containsText" text="m2">
      <formula>NOT(ISERROR(SEARCH("m2",D1650)))</formula>
    </cfRule>
  </conditionalFormatting>
  <conditionalFormatting sqref="F1650">
    <cfRule type="containsText" dxfId="2054" priority="2413" operator="containsText" text="TOTAL">
      <formula>NOT(ISERROR(SEARCH("TOTAL",F1650)))</formula>
    </cfRule>
  </conditionalFormatting>
  <conditionalFormatting sqref="D1656:E1656">
    <cfRule type="containsText" dxfId="2053" priority="2412" operator="containsText" text="m2">
      <formula>NOT(ISERROR(SEARCH("m2",D1656)))</formula>
    </cfRule>
  </conditionalFormatting>
  <conditionalFormatting sqref="F1656">
    <cfRule type="containsText" dxfId="2052" priority="2411" operator="containsText" text="TOTAL">
      <formula>NOT(ISERROR(SEARCH("TOTAL",F1656)))</formula>
    </cfRule>
  </conditionalFormatting>
  <conditionalFormatting sqref="D1662:E1662">
    <cfRule type="containsText" dxfId="2051" priority="2410" operator="containsText" text="m2">
      <formula>NOT(ISERROR(SEARCH("m2",D1662)))</formula>
    </cfRule>
  </conditionalFormatting>
  <conditionalFormatting sqref="F1662">
    <cfRule type="containsText" dxfId="2050" priority="2409" operator="containsText" text="TOTAL">
      <formula>NOT(ISERROR(SEARCH("TOTAL",F1662)))</formula>
    </cfRule>
  </conditionalFormatting>
  <conditionalFormatting sqref="D1666:E1666">
    <cfRule type="containsText" dxfId="2049" priority="2408" operator="containsText" text="m2">
      <formula>NOT(ISERROR(SEARCH("m2",D1666)))</formula>
    </cfRule>
  </conditionalFormatting>
  <conditionalFormatting sqref="F1666">
    <cfRule type="containsText" dxfId="2048" priority="2407" operator="containsText" text="TOTAL">
      <formula>NOT(ISERROR(SEARCH("TOTAL",F1666)))</formula>
    </cfRule>
  </conditionalFormatting>
  <conditionalFormatting sqref="D1677:E1677">
    <cfRule type="containsText" dxfId="2047" priority="2404" operator="containsText" text="m2">
      <formula>NOT(ISERROR(SEARCH("m2",D1677)))</formula>
    </cfRule>
  </conditionalFormatting>
  <conditionalFormatting sqref="F1671">
    <cfRule type="containsText" dxfId="2046" priority="2405" operator="containsText" text="TOTAL">
      <formula>NOT(ISERROR(SEARCH("TOTAL",F1671)))</formula>
    </cfRule>
  </conditionalFormatting>
  <conditionalFormatting sqref="B1546:E1546">
    <cfRule type="containsText" dxfId="2045" priority="2394" operator="containsText" text="m2">
      <formula>NOT(ISERROR(SEARCH("m2",B1546)))</formula>
    </cfRule>
  </conditionalFormatting>
  <conditionalFormatting sqref="F1690">
    <cfRule type="containsText" dxfId="2044" priority="2399" operator="containsText" text="TOTAL">
      <formula>NOT(ISERROR(SEARCH("TOTAL",F1690)))</formula>
    </cfRule>
  </conditionalFormatting>
  <conditionalFormatting sqref="F1546">
    <cfRule type="containsText" dxfId="2043" priority="2393" operator="containsText" text="TOTAL">
      <formula>NOT(ISERROR(SEARCH("TOTAL",F1546)))</formula>
    </cfRule>
  </conditionalFormatting>
  <conditionalFormatting sqref="D1684:E1684">
    <cfRule type="containsText" dxfId="2042" priority="2402" operator="containsText" text="m2">
      <formula>NOT(ISERROR(SEARCH("m2",D1684)))</formula>
    </cfRule>
  </conditionalFormatting>
  <conditionalFormatting sqref="F1540">
    <cfRule type="containsText" dxfId="2041" priority="2391" operator="containsText" text="TOTAL">
      <formula>NOT(ISERROR(SEARCH("TOTAL",F1540)))</formula>
    </cfRule>
  </conditionalFormatting>
  <conditionalFormatting sqref="D1690:E1690">
    <cfRule type="containsText" dxfId="2040" priority="2400" operator="containsText" text="m2">
      <formula>NOT(ISERROR(SEARCH("m2",D1690)))</formula>
    </cfRule>
  </conditionalFormatting>
  <conditionalFormatting sqref="F1551">
    <cfRule type="containsText" dxfId="2039" priority="2389" operator="containsText" text="TOTAL">
      <formula>NOT(ISERROR(SEARCH("TOTAL",F1551)))</formula>
    </cfRule>
  </conditionalFormatting>
  <conditionalFormatting sqref="B1540:E1540">
    <cfRule type="containsText" dxfId="2038" priority="2392" operator="containsText" text="m2">
      <formula>NOT(ISERROR(SEARCH("m2",B1540)))</formula>
    </cfRule>
  </conditionalFormatting>
  <conditionalFormatting sqref="B1551:E1551">
    <cfRule type="containsText" dxfId="2037" priority="2390" operator="containsText" text="m2">
      <formula>NOT(ISERROR(SEARCH("m2",B1551)))</formula>
    </cfRule>
  </conditionalFormatting>
  <conditionalFormatting sqref="F1557">
    <cfRule type="containsText" dxfId="2036" priority="2387" operator="containsText" text="TOTAL">
      <formula>NOT(ISERROR(SEARCH("TOTAL",F1557)))</formula>
    </cfRule>
  </conditionalFormatting>
  <conditionalFormatting sqref="B1557:E1557">
    <cfRule type="containsText" dxfId="2035" priority="2388" operator="containsText" text="m2">
      <formula>NOT(ISERROR(SEARCH("m2",B1557)))</formula>
    </cfRule>
  </conditionalFormatting>
  <conditionalFormatting sqref="C1534:E1534">
    <cfRule type="containsText" dxfId="2034" priority="2386" operator="containsText" text="m2">
      <formula>NOT(ISERROR(SEARCH("m2",C1534)))</formula>
    </cfRule>
  </conditionalFormatting>
  <conditionalFormatting sqref="F1534">
    <cfRule type="containsText" dxfId="2033" priority="2385" operator="containsText" text="TOTAL">
      <formula>NOT(ISERROR(SEARCH("TOTAL",F1534)))</formula>
    </cfRule>
  </conditionalFormatting>
  <conditionalFormatting sqref="F1571">
    <cfRule type="containsText" dxfId="2032" priority="2383" operator="containsText" text="TOTAL">
      <formula>NOT(ISERROR(SEARCH("TOTAL",F1571)))</formula>
    </cfRule>
  </conditionalFormatting>
  <conditionalFormatting sqref="B1571:E1571">
    <cfRule type="containsText" dxfId="2031" priority="2384" operator="containsText" text="m2">
      <formula>NOT(ISERROR(SEARCH("m2",B1571)))</formula>
    </cfRule>
  </conditionalFormatting>
  <conditionalFormatting sqref="F1580">
    <cfRule type="containsText" dxfId="2030" priority="2381" operator="containsText" text="TOTAL">
      <formula>NOT(ISERROR(SEARCH("TOTAL",F1580)))</formula>
    </cfRule>
  </conditionalFormatting>
  <conditionalFormatting sqref="B1580:E1580">
    <cfRule type="containsText" dxfId="2029" priority="2382" operator="containsText" text="m2">
      <formula>NOT(ISERROR(SEARCH("m2",B1580)))</formula>
    </cfRule>
  </conditionalFormatting>
  <conditionalFormatting sqref="F639">
    <cfRule type="containsText" dxfId="2028" priority="2376" operator="containsText" text="TOTAL">
      <formula>NOT(ISERROR(SEARCH("TOTAL",F639)))</formula>
    </cfRule>
  </conditionalFormatting>
  <conditionalFormatting sqref="F646">
    <cfRule type="containsText" dxfId="2027" priority="2374" operator="containsText" text="TOTAL">
      <formula>NOT(ISERROR(SEARCH("TOTAL",F646)))</formula>
    </cfRule>
  </conditionalFormatting>
  <conditionalFormatting sqref="B646">
    <cfRule type="containsText" dxfId="2026" priority="2375" operator="containsText" text="m2">
      <formula>NOT(ISERROR(SEARCH("m2",B646)))</formula>
    </cfRule>
  </conditionalFormatting>
  <conditionalFormatting sqref="F2075">
    <cfRule type="containsText" dxfId="2025" priority="2178" operator="containsText" text="TOTAL">
      <formula>NOT(ISERROR(SEARCH("TOTAL",F2075)))</formula>
    </cfRule>
  </conditionalFormatting>
  <conditionalFormatting sqref="F2077">
    <cfRule type="containsText" dxfId="2024" priority="2176" operator="containsText" text="TOTAL">
      <formula>NOT(ISERROR(SEARCH("TOTAL",F2077)))</formula>
    </cfRule>
  </conditionalFormatting>
  <conditionalFormatting sqref="F2078">
    <cfRule type="containsText" dxfId="2023" priority="2174" operator="containsText" text="TOTAL">
      <formula>NOT(ISERROR(SEARCH("TOTAL",F2078)))</formula>
    </cfRule>
  </conditionalFormatting>
  <conditionalFormatting sqref="C1515:E1515">
    <cfRule type="containsText" dxfId="2022" priority="2368" operator="containsText" text="m2">
      <formula>NOT(ISERROR(SEARCH("m2",C1515)))</formula>
    </cfRule>
  </conditionalFormatting>
  <conditionalFormatting sqref="F1515">
    <cfRule type="containsText" dxfId="2021" priority="2367" operator="containsText" text="TOTAL">
      <formula>NOT(ISERROR(SEARCH("TOTAL",F1515)))</formula>
    </cfRule>
  </conditionalFormatting>
  <conditionalFormatting sqref="B1515">
    <cfRule type="containsText" dxfId="2020" priority="2366" operator="containsText" text="m2">
      <formula>NOT(ISERROR(SEARCH("m2",B1515)))</formula>
    </cfRule>
  </conditionalFormatting>
  <conditionalFormatting sqref="B1534">
    <cfRule type="containsText" dxfId="2019" priority="2365" operator="containsText" text="m2">
      <formula>NOT(ISERROR(SEARCH("m2",B1534)))</formula>
    </cfRule>
  </conditionalFormatting>
  <conditionalFormatting sqref="F1566">
    <cfRule type="containsText" dxfId="2018" priority="2363" operator="containsText" text="TOTAL">
      <formula>NOT(ISERROR(SEARCH("TOTAL",F1566)))</formula>
    </cfRule>
  </conditionalFormatting>
  <conditionalFormatting sqref="B1566:E1566">
    <cfRule type="containsText" dxfId="2017" priority="2364" operator="containsText" text="m2">
      <formula>NOT(ISERROR(SEARCH("m2",B1566)))</formula>
    </cfRule>
  </conditionalFormatting>
  <conditionalFormatting sqref="F2046">
    <cfRule type="containsText" dxfId="2016" priority="2338" operator="containsText" text="TOTAL">
      <formula>NOT(ISERROR(SEARCH("TOTAL",F2046)))</formula>
    </cfRule>
  </conditionalFormatting>
  <conditionalFormatting sqref="F2049">
    <cfRule type="containsText" dxfId="2015" priority="2360" operator="containsText" text="TOTAL">
      <formula>NOT(ISERROR(SEARCH("TOTAL",F2049)))</formula>
    </cfRule>
  </conditionalFormatting>
  <conditionalFormatting sqref="B2049:E2049">
    <cfRule type="containsText" dxfId="2014" priority="2359" operator="containsText" text="m2">
      <formula>NOT(ISERROR(SEARCH("m2",B2049)))</formula>
    </cfRule>
  </conditionalFormatting>
  <conditionalFormatting sqref="B2046:E2046">
    <cfRule type="containsText" dxfId="2013" priority="2357" operator="containsText" text="m2">
      <formula>NOT(ISERROR(SEARCH("m2",B2046)))</formula>
    </cfRule>
  </conditionalFormatting>
  <conditionalFormatting sqref="F2222">
    <cfRule type="containsText" dxfId="2012" priority="2084" operator="containsText" text="TOTAL">
      <formula>NOT(ISERROR(SEARCH("TOTAL",F2222)))</formula>
    </cfRule>
  </conditionalFormatting>
  <conditionalFormatting sqref="B694:B695">
    <cfRule type="containsText" dxfId="2011" priority="2235" operator="containsText" text="m2">
      <formula>NOT(ISERROR(SEARCH("m2",B694)))</formula>
    </cfRule>
  </conditionalFormatting>
  <conditionalFormatting sqref="B697:B699">
    <cfRule type="containsText" dxfId="2010" priority="2231" operator="containsText" text="m2">
      <formula>NOT(ISERROR(SEARCH("m2",B697)))</formula>
    </cfRule>
  </conditionalFormatting>
  <conditionalFormatting sqref="F2219">
    <cfRule type="containsText" dxfId="2009" priority="2086" operator="containsText" text="TOTAL">
      <formula>NOT(ISERROR(SEARCH("TOTAL",F2219)))</formula>
    </cfRule>
  </conditionalFormatting>
  <conditionalFormatting sqref="B633">
    <cfRule type="containsText" dxfId="2008" priority="2257" operator="containsText" text="m2">
      <formula>NOT(ISERROR(SEARCH("m2",B633)))</formula>
    </cfRule>
  </conditionalFormatting>
  <conditionalFormatting sqref="F2182">
    <cfRule type="containsText" dxfId="2007" priority="2118" operator="containsText" text="TOTAL">
      <formula>NOT(ISERROR(SEARCH("TOTAL",F2182)))</formula>
    </cfRule>
  </conditionalFormatting>
  <conditionalFormatting sqref="F2184">
    <cfRule type="containsText" dxfId="2006" priority="2116" operator="containsText" text="TOTAL">
      <formula>NOT(ISERROR(SEARCH("TOTAL",F2184)))</formula>
    </cfRule>
  </conditionalFormatting>
  <conditionalFormatting sqref="C2184:E2184">
    <cfRule type="containsText" dxfId="2005" priority="2117" operator="containsText" text="m2">
      <formula>NOT(ISERROR(SEARCH("m2",C2184)))</formula>
    </cfRule>
  </conditionalFormatting>
  <conditionalFormatting sqref="B647">
    <cfRule type="containsText" dxfId="2004" priority="2253" operator="containsText" text="m2">
      <formula>NOT(ISERROR(SEARCH("m2",B647)))</formula>
    </cfRule>
  </conditionalFormatting>
  <conditionalFormatting sqref="F647">
    <cfRule type="containsText" dxfId="2003" priority="2252" operator="containsText" text="TOTAL">
      <formula>NOT(ISERROR(SEARCH("TOTAL",F647)))</formula>
    </cfRule>
  </conditionalFormatting>
  <conditionalFormatting sqref="F2187">
    <cfRule type="containsText" dxfId="2002" priority="2112" operator="containsText" text="TOTAL">
      <formula>NOT(ISERROR(SEARCH("TOTAL",F2187)))</formula>
    </cfRule>
  </conditionalFormatting>
  <conditionalFormatting sqref="C2187:E2187">
    <cfRule type="containsText" dxfId="2001" priority="2113" operator="containsText" text="m2">
      <formula>NOT(ISERROR(SEARCH("m2",C2187)))</formula>
    </cfRule>
  </conditionalFormatting>
  <conditionalFormatting sqref="B2188:E2188">
    <cfRule type="containsText" dxfId="2000" priority="2111" operator="containsText" text="m2">
      <formula>NOT(ISERROR(SEARCH("m2",B2188)))</formula>
    </cfRule>
  </conditionalFormatting>
  <conditionalFormatting sqref="F2188">
    <cfRule type="containsText" dxfId="1999" priority="2110" operator="containsText" text="TOTAL">
      <formula>NOT(ISERROR(SEARCH("TOTAL",F2188)))</formula>
    </cfRule>
  </conditionalFormatting>
  <conditionalFormatting sqref="F705 F735:F736">
    <cfRule type="containsText" dxfId="1998" priority="2246" operator="containsText" text="TOTAL">
      <formula>NOT(ISERROR(SEARCH("TOTAL",F705)))</formula>
    </cfRule>
  </conditionalFormatting>
  <conditionalFormatting sqref="B704:B717">
    <cfRule type="containsText" dxfId="1997" priority="2247" operator="containsText" text="m2">
      <formula>NOT(ISERROR(SEARCH("m2",B704)))</formula>
    </cfRule>
  </conditionalFormatting>
  <conditionalFormatting sqref="B666 B679:B680">
    <cfRule type="containsText" dxfId="1996" priority="2245" operator="containsText" text="m2">
      <formula>NOT(ISERROR(SEARCH("m2",B666)))</formula>
    </cfRule>
  </conditionalFormatting>
  <conditionalFormatting sqref="F666">
    <cfRule type="containsText" dxfId="1995" priority="2244" operator="containsText" text="TOTAL">
      <formula>NOT(ISERROR(SEARCH("TOTAL",F666)))</formula>
    </cfRule>
  </conditionalFormatting>
  <conditionalFormatting sqref="F718:F719 F752">
    <cfRule type="containsText" dxfId="1994" priority="2242" operator="containsText" text="TOTAL">
      <formula>NOT(ISERROR(SEARCH("TOTAL",F718)))</formula>
    </cfRule>
  </conditionalFormatting>
  <conditionalFormatting sqref="B718:B719 B752">
    <cfRule type="containsText" dxfId="1993" priority="2243" operator="containsText" text="m2">
      <formula>NOT(ISERROR(SEARCH("m2",B718)))</formula>
    </cfRule>
  </conditionalFormatting>
  <conditionalFormatting sqref="B2194:E2194">
    <cfRule type="containsText" dxfId="1992" priority="2103" operator="containsText" text="m2">
      <formula>NOT(ISERROR(SEARCH("m2",B2194)))</formula>
    </cfRule>
  </conditionalFormatting>
  <conditionalFormatting sqref="F707">
    <cfRule type="containsText" dxfId="1991" priority="2240" operator="containsText" text="TOTAL">
      <formula>NOT(ISERROR(SEARCH("TOTAL",F707)))</formula>
    </cfRule>
  </conditionalFormatting>
  <conditionalFormatting sqref="F709">
    <cfRule type="containsText" dxfId="1990" priority="2238" operator="containsText" text="TOTAL">
      <formula>NOT(ISERROR(SEARCH("TOTAL",F709)))</formula>
    </cfRule>
  </conditionalFormatting>
  <conditionalFormatting sqref="B2198:E2198">
    <cfRule type="containsText" dxfId="1989" priority="2101" operator="containsText" text="m2">
      <formula>NOT(ISERROR(SEARCH("m2",B2198)))</formula>
    </cfRule>
  </conditionalFormatting>
  <conditionalFormatting sqref="B2201:E2201">
    <cfRule type="containsText" dxfId="1988" priority="2099" operator="containsText" text="m2">
      <formula>NOT(ISERROR(SEARCH("m2",B2201)))</formula>
    </cfRule>
  </conditionalFormatting>
  <conditionalFormatting sqref="F2201">
    <cfRule type="containsText" dxfId="1987" priority="2098" operator="containsText" text="TOTAL">
      <formula>NOT(ISERROR(SEARCH("TOTAL",F2201)))</formula>
    </cfRule>
  </conditionalFormatting>
  <conditionalFormatting sqref="F2204">
    <cfRule type="containsText" dxfId="1986" priority="2096" operator="containsText" text="TOTAL">
      <formula>NOT(ISERROR(SEARCH("TOTAL",F2204)))</formula>
    </cfRule>
  </conditionalFormatting>
  <conditionalFormatting sqref="B2204:E2204">
    <cfRule type="containsText" dxfId="1985" priority="2097" operator="containsText" text="m2">
      <formula>NOT(ISERROR(SEARCH("m2",B2204)))</formula>
    </cfRule>
  </conditionalFormatting>
  <conditionalFormatting sqref="B2207:E2207">
    <cfRule type="containsText" dxfId="1984" priority="2095" operator="containsText" text="m2">
      <formula>NOT(ISERROR(SEARCH("m2",B2207)))</formula>
    </cfRule>
  </conditionalFormatting>
  <conditionalFormatting sqref="F2207">
    <cfRule type="containsText" dxfId="1983" priority="2094" operator="containsText" text="TOTAL">
      <formula>NOT(ISERROR(SEARCH("TOTAL",F2207)))</formula>
    </cfRule>
  </conditionalFormatting>
  <conditionalFormatting sqref="F2210">
    <cfRule type="containsText" dxfId="1982" priority="2092" operator="containsText" text="TOTAL">
      <formula>NOT(ISERROR(SEARCH("TOTAL",F2210)))</formula>
    </cfRule>
  </conditionalFormatting>
  <conditionalFormatting sqref="B2210:E2210">
    <cfRule type="containsText" dxfId="1981" priority="2093" operator="containsText" text="m2">
      <formula>NOT(ISERROR(SEARCH("m2",B2210)))</formula>
    </cfRule>
  </conditionalFormatting>
  <conditionalFormatting sqref="B2213:E2213">
    <cfRule type="containsText" dxfId="1980" priority="2091" operator="containsText" text="m2">
      <formula>NOT(ISERROR(SEARCH("m2",B2213)))</formula>
    </cfRule>
  </conditionalFormatting>
  <conditionalFormatting sqref="F2216">
    <cfRule type="containsText" dxfId="1979" priority="2088" operator="containsText" text="TOTAL">
      <formula>NOT(ISERROR(SEARCH("TOTAL",F2216)))</formula>
    </cfRule>
  </conditionalFormatting>
  <conditionalFormatting sqref="B2216:E2216">
    <cfRule type="containsText" dxfId="1978" priority="2089" operator="containsText" text="m2">
      <formula>NOT(ISERROR(SEARCH("m2",B2216)))</formula>
    </cfRule>
  </conditionalFormatting>
  <conditionalFormatting sqref="B2219:E2219">
    <cfRule type="containsText" dxfId="1977" priority="2087" operator="containsText" text="m2">
      <formula>NOT(ISERROR(SEARCH("m2",B2219)))</formula>
    </cfRule>
  </conditionalFormatting>
  <conditionalFormatting sqref="F2237">
    <cfRule type="containsText" dxfId="1976" priority="2074" operator="containsText" text="TOTAL">
      <formula>NOT(ISERROR(SEARCH("TOTAL",F2237)))</formula>
    </cfRule>
  </conditionalFormatting>
  <conditionalFormatting sqref="F2225">
    <cfRule type="containsText" dxfId="1975" priority="2082" operator="containsText" text="TOTAL">
      <formula>NOT(ISERROR(SEARCH("TOTAL",F2225)))</formula>
    </cfRule>
  </conditionalFormatting>
  <conditionalFormatting sqref="B720:B721">
    <cfRule type="containsText" dxfId="1974" priority="2223" operator="containsText" text="m2">
      <formula>NOT(ISERROR(SEARCH("m2",B720)))</formula>
    </cfRule>
  </conditionalFormatting>
  <conditionalFormatting sqref="B726:B729">
    <cfRule type="containsText" dxfId="1973" priority="2221" operator="containsText" text="m2">
      <formula>NOT(ISERROR(SEARCH("m2",B726)))</formula>
    </cfRule>
  </conditionalFormatting>
  <conditionalFormatting sqref="F2240">
    <cfRule type="containsText" dxfId="1972" priority="2072" operator="containsText" text="TOTAL">
      <formula>NOT(ISERROR(SEARCH("TOTAL",F2240)))</formula>
    </cfRule>
  </conditionalFormatting>
  <conditionalFormatting sqref="F737">
    <cfRule type="containsText" dxfId="1971" priority="2218" operator="containsText" text="TOTAL">
      <formula>NOT(ISERROR(SEARCH("TOTAL",F737)))</formula>
    </cfRule>
  </conditionalFormatting>
  <conditionalFormatting sqref="B2228:E2228">
    <cfRule type="containsText" dxfId="1970" priority="2081" operator="containsText" text="m2">
      <formula>NOT(ISERROR(SEARCH("m2",B2228)))</formula>
    </cfRule>
  </conditionalFormatting>
  <conditionalFormatting sqref="B2231:E2231">
    <cfRule type="containsText" dxfId="1969" priority="2079" operator="containsText" text="m2">
      <formula>NOT(ISERROR(SEARCH("m2",B2231)))</formula>
    </cfRule>
  </conditionalFormatting>
  <conditionalFormatting sqref="F739">
    <cfRule type="containsText" dxfId="1968" priority="2216" operator="containsText" text="TOTAL">
      <formula>NOT(ISERROR(SEARCH("TOTAL",F739)))</formula>
    </cfRule>
  </conditionalFormatting>
  <conditionalFormatting sqref="B2234:E2234">
    <cfRule type="containsText" dxfId="1967" priority="2077" operator="containsText" text="m2">
      <formula>NOT(ISERROR(SEARCH("m2",B2234)))</formula>
    </cfRule>
  </conditionalFormatting>
  <conditionalFormatting sqref="B2240:E2240">
    <cfRule type="containsText" dxfId="1966" priority="2073" operator="containsText" text="m2">
      <formula>NOT(ISERROR(SEARCH("m2",B2240)))</formula>
    </cfRule>
  </conditionalFormatting>
  <conditionalFormatting sqref="B2176">
    <cfRule type="containsText" dxfId="1965" priority="2071" operator="containsText" text="m2">
      <formula>NOT(ISERROR(SEARCH("m2",B2176)))</formula>
    </cfRule>
  </conditionalFormatting>
  <conditionalFormatting sqref="F2200">
    <cfRule type="containsText" dxfId="1964" priority="2058" operator="containsText" text="TOTAL">
      <formula>NOT(ISERROR(SEARCH("TOTAL",F2200)))</formula>
    </cfRule>
  </conditionalFormatting>
  <conditionalFormatting sqref="E2157 C2157:C2158">
    <cfRule type="containsText" dxfId="1963" priority="2069" operator="containsText" text="m2">
      <formula>NOT(ISERROR(SEARCH("m2",C2157)))</formula>
    </cfRule>
  </conditionalFormatting>
  <conditionalFormatting sqref="F664">
    <cfRule type="containsText" dxfId="1962" priority="2249" operator="containsText" text="TOTAL">
      <formula>NOT(ISERROR(SEARCH("TOTAL",F664)))</formula>
    </cfRule>
  </conditionalFormatting>
  <conditionalFormatting sqref="B656:B662">
    <cfRule type="containsText" dxfId="1961" priority="2248" operator="containsText" text="m2">
      <formula>NOT(ISERROR(SEARCH("m2",B656)))</formula>
    </cfRule>
  </conditionalFormatting>
  <conditionalFormatting sqref="B2182:E2182">
    <cfRule type="containsText" dxfId="1960" priority="2119" operator="containsText" text="m2">
      <formula>NOT(ISERROR(SEARCH("m2",B2182)))</formula>
    </cfRule>
  </conditionalFormatting>
  <conditionalFormatting sqref="F637">
    <cfRule type="containsText" dxfId="1959" priority="2255" operator="containsText" text="TOTAL">
      <formula>NOT(ISERROR(SEARCH("TOTAL",F637)))</formula>
    </cfRule>
  </conditionalFormatting>
  <conditionalFormatting sqref="B637">
    <cfRule type="containsText" dxfId="1958" priority="2256" operator="containsText" text="m2">
      <formula>NOT(ISERROR(SEARCH("m2",B637)))</formula>
    </cfRule>
  </conditionalFormatting>
  <conditionalFormatting sqref="F656:F662">
    <cfRule type="containsText" dxfId="1957" priority="2251" operator="containsText" text="TOTAL">
      <formula>NOT(ISERROR(SEARCH("TOTAL",F656)))</formula>
    </cfRule>
  </conditionalFormatting>
  <conditionalFormatting sqref="B2185:E2185">
    <cfRule type="containsText" dxfId="1956" priority="2115" operator="containsText" text="m2">
      <formula>NOT(ISERROR(SEARCH("m2",B2185)))</formula>
    </cfRule>
  </conditionalFormatting>
  <conditionalFormatting sqref="F2185">
    <cfRule type="containsText" dxfId="1955" priority="2114" operator="containsText" text="TOTAL">
      <formula>NOT(ISERROR(SEARCH("TOTAL",F2185)))</formula>
    </cfRule>
  </conditionalFormatting>
  <conditionalFormatting sqref="B664">
    <cfRule type="containsText" dxfId="1954" priority="2250" operator="containsText" text="m2">
      <formula>NOT(ISERROR(SEARCH("m2",B664)))</formula>
    </cfRule>
  </conditionalFormatting>
  <conditionalFormatting sqref="B39">
    <cfRule type="containsText" dxfId="1953" priority="2014" operator="containsText" text="m2">
      <formula>NOT(ISERROR(SEARCH("m2",B39)))</formula>
    </cfRule>
  </conditionalFormatting>
  <conditionalFormatting sqref="F747">
    <cfRule type="containsText" dxfId="1952" priority="2211" operator="containsText" text="TOTAL">
      <formula>NOT(ISERROR(SEARCH("TOTAL",F747)))</formula>
    </cfRule>
  </conditionalFormatting>
  <conditionalFormatting sqref="F2093">
    <cfRule type="containsText" dxfId="1951" priority="2154" operator="containsText" text="TOTAL">
      <formula>NOT(ISERROR(SEARCH("TOTAL",F2093)))</formula>
    </cfRule>
  </conditionalFormatting>
  <conditionalFormatting sqref="F2159">
    <cfRule type="containsText" dxfId="1950" priority="2016" operator="containsText" text="TOTAL">
      <formula>NOT(ISERROR(SEARCH("TOTAL",F2159)))</formula>
    </cfRule>
  </conditionalFormatting>
  <conditionalFormatting sqref="C2190:E2190">
    <cfRule type="containsText" dxfId="1949" priority="2109" operator="containsText" text="m2">
      <formula>NOT(ISERROR(SEARCH("m2",C2190)))</formula>
    </cfRule>
  </conditionalFormatting>
  <conditionalFormatting sqref="F2190">
    <cfRule type="containsText" dxfId="1948" priority="2108" operator="containsText" text="TOTAL">
      <formula>NOT(ISERROR(SEARCH("TOTAL",F2190)))</formula>
    </cfRule>
  </conditionalFormatting>
  <conditionalFormatting sqref="F2191">
    <cfRule type="containsText" dxfId="1947" priority="2106" operator="containsText" text="TOTAL">
      <formula>NOT(ISERROR(SEARCH("TOTAL",F2191)))</formula>
    </cfRule>
  </conditionalFormatting>
  <conditionalFormatting sqref="B2191:E2191">
    <cfRule type="containsText" dxfId="1946" priority="2107" operator="containsText" text="m2">
      <formula>NOT(ISERROR(SEARCH("m2",B2191)))</formula>
    </cfRule>
  </conditionalFormatting>
  <conditionalFormatting sqref="F2193">
    <cfRule type="containsText" dxfId="1945" priority="2104" operator="containsText" text="TOTAL">
      <formula>NOT(ISERROR(SEARCH("TOTAL",F2193)))</formula>
    </cfRule>
  </conditionalFormatting>
  <conditionalFormatting sqref="C2193:E2193">
    <cfRule type="containsText" dxfId="1944" priority="2105" operator="containsText" text="m2">
      <formula>NOT(ISERROR(SEARCH("m2",C2193)))</formula>
    </cfRule>
  </conditionalFormatting>
  <conditionalFormatting sqref="F706">
    <cfRule type="containsText" dxfId="1943" priority="2241" operator="containsText" text="TOTAL">
      <formula>NOT(ISERROR(SEARCH("TOTAL",F706)))</formula>
    </cfRule>
  </conditionalFormatting>
  <conditionalFormatting sqref="F2194">
    <cfRule type="containsText" dxfId="1942" priority="2102" operator="containsText" text="TOTAL">
      <formula>NOT(ISERROR(SEARCH("TOTAL",F2194)))</formula>
    </cfRule>
  </conditionalFormatting>
  <conditionalFormatting sqref="F708">
    <cfRule type="containsText" dxfId="1941" priority="2239" operator="containsText" text="TOTAL">
      <formula>NOT(ISERROR(SEARCH("TOTAL",F708)))</formula>
    </cfRule>
  </conditionalFormatting>
  <conditionalFormatting sqref="F2198">
    <cfRule type="containsText" dxfId="1940" priority="2100" operator="containsText" text="TOTAL">
      <formula>NOT(ISERROR(SEARCH("TOTAL",F2198)))</formula>
    </cfRule>
  </conditionalFormatting>
  <conditionalFormatting sqref="F710:F717">
    <cfRule type="containsText" dxfId="1939" priority="2237" operator="containsText" text="TOTAL">
      <formula>NOT(ISERROR(SEARCH("TOTAL",F710)))</formula>
    </cfRule>
  </conditionalFormatting>
  <conditionalFormatting sqref="B2222:E2222">
    <cfRule type="containsText" dxfId="1938" priority="2085" operator="containsText" text="m2">
      <formula>NOT(ISERROR(SEARCH("m2",B2222)))</formula>
    </cfRule>
  </conditionalFormatting>
  <conditionalFormatting sqref="B2225:E2225">
    <cfRule type="containsText" dxfId="1937" priority="2083" operator="containsText" text="m2">
      <formula>NOT(ISERROR(SEARCH("m2",B2225)))</formula>
    </cfRule>
  </conditionalFormatting>
  <conditionalFormatting sqref="B699">
    <cfRule type="containsText" priority="2230" operator="containsText" text="SALA DE RECURSO MULTIFUNCIONAL">
      <formula>NOT(ISERROR(SEARCH("SALA DE RECURSO MULTIFUNCIONAL",B699)))</formula>
    </cfRule>
  </conditionalFormatting>
  <conditionalFormatting sqref="F694">
    <cfRule type="containsText" dxfId="1936" priority="2229" operator="containsText" text="TOTAL">
      <formula>NOT(ISERROR(SEARCH("TOTAL",F694)))</formula>
    </cfRule>
  </conditionalFormatting>
  <conditionalFormatting sqref="F2213">
    <cfRule type="containsText" dxfId="1935" priority="2090" operator="containsText" text="TOTAL">
      <formula>NOT(ISERROR(SEARCH("TOTAL",F2213)))</formula>
    </cfRule>
  </conditionalFormatting>
  <conditionalFormatting sqref="F2234">
    <cfRule type="containsText" dxfId="1934" priority="2076" operator="containsText" text="TOTAL">
      <formula>NOT(ISERROR(SEARCH("TOTAL",F2234)))</formula>
    </cfRule>
  </conditionalFormatting>
  <conditionalFormatting sqref="B722:B723">
    <cfRule type="containsText" dxfId="1933" priority="2222" operator="containsText" text="m2">
      <formula>NOT(ISERROR(SEARCH("m2",B722)))</formula>
    </cfRule>
  </conditionalFormatting>
  <conditionalFormatting sqref="B729">
    <cfRule type="containsText" priority="2220" operator="containsText" text="SALA DE RECURSO MULTIFUNCIONAL">
      <formula>NOT(ISERROR(SEARCH("SALA DE RECURSO MULTIFUNCIONAL",B729)))</formula>
    </cfRule>
  </conditionalFormatting>
  <conditionalFormatting sqref="F720">
    <cfRule type="containsText" dxfId="1932" priority="2219" operator="containsText" text="TOTAL">
      <formula>NOT(ISERROR(SEARCH("TOTAL",F720)))</formula>
    </cfRule>
  </conditionalFormatting>
  <conditionalFormatting sqref="F2228">
    <cfRule type="containsText" dxfId="1931" priority="2080" operator="containsText" text="TOTAL">
      <formula>NOT(ISERROR(SEARCH("TOTAL",F2228)))</formula>
    </cfRule>
  </conditionalFormatting>
  <conditionalFormatting sqref="F738">
    <cfRule type="containsText" dxfId="1930" priority="2217" operator="containsText" text="TOTAL">
      <formula>NOT(ISERROR(SEARCH("TOTAL",F738)))</formula>
    </cfRule>
  </conditionalFormatting>
  <conditionalFormatting sqref="F2231">
    <cfRule type="containsText" dxfId="1929" priority="2078" operator="containsText" text="TOTAL">
      <formula>NOT(ISERROR(SEARCH("TOTAL",F2231)))</formula>
    </cfRule>
  </conditionalFormatting>
  <conditionalFormatting sqref="F740">
    <cfRule type="containsText" dxfId="1928" priority="2215" operator="containsText" text="TOTAL">
      <formula>NOT(ISERROR(SEARCH("TOTAL",F740)))</formula>
    </cfRule>
  </conditionalFormatting>
  <conditionalFormatting sqref="B2237:E2237">
    <cfRule type="containsText" dxfId="1927" priority="2075" operator="containsText" text="m2">
      <formula>NOT(ISERROR(SEARCH("m2",B2237)))</formula>
    </cfRule>
  </conditionalFormatting>
  <conditionalFormatting sqref="B747">
    <cfRule type="containsText" dxfId="1926" priority="2212" operator="containsText" text="m2">
      <formula>NOT(ISERROR(SEARCH("m2",B747)))</formula>
    </cfRule>
  </conditionalFormatting>
  <conditionalFormatting sqref="B2054 B2055:C2055 E2055 E2058 B2058:C2058 B2061:C2061 E2061 E2064 B2064:C2064 B2067:C2067 E2067 E2070 B2070:C2070 B2073:C2073 E2073 E2076 B2076:C2076 B2079:C2079 E2079 E2082 B2082:C2082 B2085:C2085 E2085 E2088 B2088:C2088 B2091:C2091 E2091">
    <cfRule type="containsText" dxfId="1925" priority="2210" operator="containsText" text="m2">
      <formula>NOT(ISERROR(SEARCH("m2",B2054)))</formula>
    </cfRule>
  </conditionalFormatting>
  <conditionalFormatting sqref="F2055 F2058 F2061 F2064 F2067 F2070 F2073 F2076 F2079 F2082 F2085 F2088 F2091">
    <cfRule type="containsText" dxfId="1924" priority="2209" operator="containsText" text="TOTAL">
      <formula>NOT(ISERROR(SEARCH("TOTAL",F2055)))</formula>
    </cfRule>
  </conditionalFormatting>
  <conditionalFormatting sqref="E2054">
    <cfRule type="containsText" dxfId="1923" priority="2208" operator="containsText" text="m2">
      <formula>NOT(ISERROR(SEARCH("m2",E2054)))</formula>
    </cfRule>
  </conditionalFormatting>
  <conditionalFormatting sqref="F2054">
    <cfRule type="containsText" dxfId="1922" priority="2207" operator="containsText" text="TOTAL">
      <formula>NOT(ISERROR(SEARCH("TOTAL",F2054)))</formula>
    </cfRule>
  </conditionalFormatting>
  <conditionalFormatting sqref="D2055 D2058 D2061 D2064 D2067 D2070 D2073 D2076 D2079 D2082 D2085 D2088 D2091">
    <cfRule type="containsText" dxfId="1921" priority="2206" operator="containsText" text="m2">
      <formula>NOT(ISERROR(SEARCH("m2",D2055)))</formula>
    </cfRule>
  </conditionalFormatting>
  <conditionalFormatting sqref="B2056:E2056">
    <cfRule type="containsText" dxfId="1920" priority="2205" operator="containsText" text="m2">
      <formula>NOT(ISERROR(SEARCH("m2",B2056)))</formula>
    </cfRule>
  </conditionalFormatting>
  <conditionalFormatting sqref="F2056">
    <cfRule type="containsText" dxfId="1919" priority="2204" operator="containsText" text="TOTAL">
      <formula>NOT(ISERROR(SEARCH("TOTAL",F2056)))</formula>
    </cfRule>
  </conditionalFormatting>
  <conditionalFormatting sqref="B2057:E2057">
    <cfRule type="containsText" dxfId="1918" priority="2203" operator="containsText" text="m2">
      <formula>NOT(ISERROR(SEARCH("m2",B2057)))</formula>
    </cfRule>
  </conditionalFormatting>
  <conditionalFormatting sqref="F2057">
    <cfRule type="containsText" dxfId="1917" priority="2202" operator="containsText" text="TOTAL">
      <formula>NOT(ISERROR(SEARCH("TOTAL",F2057)))</formula>
    </cfRule>
  </conditionalFormatting>
  <conditionalFormatting sqref="B2059:E2059">
    <cfRule type="containsText" dxfId="1916" priority="2201" operator="containsText" text="m2">
      <formula>NOT(ISERROR(SEARCH("m2",B2059)))</formula>
    </cfRule>
  </conditionalFormatting>
  <conditionalFormatting sqref="F2059">
    <cfRule type="containsText" dxfId="1915" priority="2200" operator="containsText" text="TOTAL">
      <formula>NOT(ISERROR(SEARCH("TOTAL",F2059)))</formula>
    </cfRule>
  </conditionalFormatting>
  <conditionalFormatting sqref="B2060:E2060">
    <cfRule type="containsText" dxfId="1914" priority="2199" operator="containsText" text="m2">
      <formula>NOT(ISERROR(SEARCH("m2",B2060)))</formula>
    </cfRule>
  </conditionalFormatting>
  <conditionalFormatting sqref="F2060">
    <cfRule type="containsText" dxfId="1913" priority="2198" operator="containsText" text="TOTAL">
      <formula>NOT(ISERROR(SEARCH("TOTAL",F2060)))</formula>
    </cfRule>
  </conditionalFormatting>
  <conditionalFormatting sqref="B2062:E2062">
    <cfRule type="containsText" dxfId="1912" priority="2197" operator="containsText" text="m2">
      <formula>NOT(ISERROR(SEARCH("m2",B2062)))</formula>
    </cfRule>
  </conditionalFormatting>
  <conditionalFormatting sqref="F2062">
    <cfRule type="containsText" dxfId="1911" priority="2196" operator="containsText" text="TOTAL">
      <formula>NOT(ISERROR(SEARCH("TOTAL",F2062)))</formula>
    </cfRule>
  </conditionalFormatting>
  <conditionalFormatting sqref="B2063:E2063">
    <cfRule type="containsText" dxfId="1910" priority="2195" operator="containsText" text="m2">
      <formula>NOT(ISERROR(SEARCH("m2",B2063)))</formula>
    </cfRule>
  </conditionalFormatting>
  <conditionalFormatting sqref="F2063">
    <cfRule type="containsText" dxfId="1909" priority="2194" operator="containsText" text="TOTAL">
      <formula>NOT(ISERROR(SEARCH("TOTAL",F2063)))</formula>
    </cfRule>
  </conditionalFormatting>
  <conditionalFormatting sqref="B2065:E2065">
    <cfRule type="containsText" dxfId="1908" priority="2193" operator="containsText" text="m2">
      <formula>NOT(ISERROR(SEARCH("m2",B2065)))</formula>
    </cfRule>
  </conditionalFormatting>
  <conditionalFormatting sqref="F2065">
    <cfRule type="containsText" dxfId="1907" priority="2192" operator="containsText" text="TOTAL">
      <formula>NOT(ISERROR(SEARCH("TOTAL",F2065)))</formula>
    </cfRule>
  </conditionalFormatting>
  <conditionalFormatting sqref="B2066:E2066">
    <cfRule type="containsText" dxfId="1906" priority="2191" operator="containsText" text="m2">
      <formula>NOT(ISERROR(SEARCH("m2",B2066)))</formula>
    </cfRule>
  </conditionalFormatting>
  <conditionalFormatting sqref="F2066">
    <cfRule type="containsText" dxfId="1905" priority="2190" operator="containsText" text="TOTAL">
      <formula>NOT(ISERROR(SEARCH("TOTAL",F2066)))</formula>
    </cfRule>
  </conditionalFormatting>
  <conditionalFormatting sqref="B2068:E2068">
    <cfRule type="containsText" dxfId="1904" priority="2189" operator="containsText" text="m2">
      <formula>NOT(ISERROR(SEARCH("m2",B2068)))</formula>
    </cfRule>
  </conditionalFormatting>
  <conditionalFormatting sqref="F2068">
    <cfRule type="containsText" dxfId="1903" priority="2188" operator="containsText" text="TOTAL">
      <formula>NOT(ISERROR(SEARCH("TOTAL",F2068)))</formula>
    </cfRule>
  </conditionalFormatting>
  <conditionalFormatting sqref="B2069:E2069">
    <cfRule type="containsText" dxfId="1902" priority="2187" operator="containsText" text="m2">
      <formula>NOT(ISERROR(SEARCH("m2",B2069)))</formula>
    </cfRule>
  </conditionalFormatting>
  <conditionalFormatting sqref="F2069">
    <cfRule type="containsText" dxfId="1901" priority="2186" operator="containsText" text="TOTAL">
      <formula>NOT(ISERROR(SEARCH("TOTAL",F2069)))</formula>
    </cfRule>
  </conditionalFormatting>
  <conditionalFormatting sqref="B2071:E2071">
    <cfRule type="containsText" dxfId="1900" priority="2185" operator="containsText" text="m2">
      <formula>NOT(ISERROR(SEARCH("m2",B2071)))</formula>
    </cfRule>
  </conditionalFormatting>
  <conditionalFormatting sqref="F2071">
    <cfRule type="containsText" dxfId="1899" priority="2184" operator="containsText" text="TOTAL">
      <formula>NOT(ISERROR(SEARCH("TOTAL",F2071)))</formula>
    </cfRule>
  </conditionalFormatting>
  <conditionalFormatting sqref="B2072:E2072">
    <cfRule type="containsText" dxfId="1898" priority="2183" operator="containsText" text="m2">
      <formula>NOT(ISERROR(SEARCH("m2",B2072)))</formula>
    </cfRule>
  </conditionalFormatting>
  <conditionalFormatting sqref="F2072">
    <cfRule type="containsText" dxfId="1897" priority="2182" operator="containsText" text="TOTAL">
      <formula>NOT(ISERROR(SEARCH("TOTAL",F2072)))</formula>
    </cfRule>
  </conditionalFormatting>
  <conditionalFormatting sqref="B2074:E2074">
    <cfRule type="containsText" dxfId="1896" priority="2181" operator="containsText" text="m2">
      <formula>NOT(ISERROR(SEARCH("m2",B2074)))</formula>
    </cfRule>
  </conditionalFormatting>
  <conditionalFormatting sqref="F2074">
    <cfRule type="containsText" dxfId="1895" priority="2180" operator="containsText" text="TOTAL">
      <formula>NOT(ISERROR(SEARCH("TOTAL",F2074)))</formula>
    </cfRule>
  </conditionalFormatting>
  <conditionalFormatting sqref="B2075:E2075">
    <cfRule type="containsText" dxfId="1894" priority="2179" operator="containsText" text="m2">
      <formula>NOT(ISERROR(SEARCH("m2",B2075)))</formula>
    </cfRule>
  </conditionalFormatting>
  <conditionalFormatting sqref="F2084">
    <cfRule type="containsText" dxfId="1893" priority="2166" operator="containsText" text="TOTAL">
      <formula>NOT(ISERROR(SEARCH("TOTAL",F2084)))</formula>
    </cfRule>
  </conditionalFormatting>
  <conditionalFormatting sqref="B2077:E2077">
    <cfRule type="containsText" dxfId="1892" priority="2177" operator="containsText" text="m2">
      <formula>NOT(ISERROR(SEARCH("m2",B2077)))</formula>
    </cfRule>
  </conditionalFormatting>
  <conditionalFormatting sqref="F2086">
    <cfRule type="containsText" dxfId="1891" priority="2164" operator="containsText" text="TOTAL">
      <formula>NOT(ISERROR(SEARCH("TOTAL",F2086)))</formula>
    </cfRule>
  </conditionalFormatting>
  <conditionalFormatting sqref="B2078:E2078">
    <cfRule type="containsText" dxfId="1890" priority="2175" operator="containsText" text="m2">
      <formula>NOT(ISERROR(SEARCH("m2",B2078)))</formula>
    </cfRule>
  </conditionalFormatting>
  <conditionalFormatting sqref="F2080">
    <cfRule type="containsText" dxfId="1889" priority="2172" operator="containsText" text="TOTAL">
      <formula>NOT(ISERROR(SEARCH("TOTAL",F2080)))</formula>
    </cfRule>
  </conditionalFormatting>
  <conditionalFormatting sqref="B2080:E2080">
    <cfRule type="containsText" dxfId="1888" priority="2173" operator="containsText" text="m2">
      <formula>NOT(ISERROR(SEARCH("m2",B2080)))</formula>
    </cfRule>
  </conditionalFormatting>
  <conditionalFormatting sqref="F2087">
    <cfRule type="containsText" dxfId="1887" priority="2162" operator="containsText" text="TOTAL">
      <formula>NOT(ISERROR(SEARCH("TOTAL",F2087)))</formula>
    </cfRule>
  </conditionalFormatting>
  <conditionalFormatting sqref="B2081:E2081">
    <cfRule type="containsText" dxfId="1886" priority="2171" operator="containsText" text="m2">
      <formula>NOT(ISERROR(SEARCH("m2",B2081)))</formula>
    </cfRule>
  </conditionalFormatting>
  <conditionalFormatting sqref="F2081">
    <cfRule type="containsText" dxfId="1885" priority="2170" operator="containsText" text="TOTAL">
      <formula>NOT(ISERROR(SEARCH("TOTAL",F2081)))</formula>
    </cfRule>
  </conditionalFormatting>
  <conditionalFormatting sqref="B2083:E2083">
    <cfRule type="containsText" dxfId="1884" priority="2169" operator="containsText" text="m2">
      <formula>NOT(ISERROR(SEARCH("m2",B2083)))</formula>
    </cfRule>
  </conditionalFormatting>
  <conditionalFormatting sqref="F2083">
    <cfRule type="containsText" dxfId="1883" priority="2168" operator="containsText" text="TOTAL">
      <formula>NOT(ISERROR(SEARCH("TOTAL",F2083)))</formula>
    </cfRule>
  </conditionalFormatting>
  <conditionalFormatting sqref="B2084:E2084">
    <cfRule type="containsText" dxfId="1882" priority="2167" operator="containsText" text="m2">
      <formula>NOT(ISERROR(SEARCH("m2",B2084)))</formula>
    </cfRule>
  </conditionalFormatting>
  <conditionalFormatting sqref="B2086:E2086">
    <cfRule type="containsText" dxfId="1881" priority="2165" operator="containsText" text="m2">
      <formula>NOT(ISERROR(SEARCH("m2",B2086)))</formula>
    </cfRule>
  </conditionalFormatting>
  <conditionalFormatting sqref="B2087:E2087">
    <cfRule type="containsText" dxfId="1880" priority="2163" operator="containsText" text="m2">
      <formula>NOT(ISERROR(SEARCH("m2",B2087)))</formula>
    </cfRule>
  </conditionalFormatting>
  <conditionalFormatting sqref="B2089:E2089">
    <cfRule type="containsText" dxfId="1879" priority="2161" operator="containsText" text="m2">
      <formula>NOT(ISERROR(SEARCH("m2",B2089)))</formula>
    </cfRule>
  </conditionalFormatting>
  <conditionalFormatting sqref="F2089">
    <cfRule type="containsText" dxfId="1878" priority="2160" operator="containsText" text="TOTAL">
      <formula>NOT(ISERROR(SEARCH("TOTAL",F2089)))</formula>
    </cfRule>
  </conditionalFormatting>
  <conditionalFormatting sqref="B2090:E2090">
    <cfRule type="containsText" dxfId="1877" priority="2159" operator="containsText" text="m2">
      <formula>NOT(ISERROR(SEARCH("m2",B2090)))</formula>
    </cfRule>
  </conditionalFormatting>
  <conditionalFormatting sqref="F2090">
    <cfRule type="containsText" dxfId="1876" priority="2158" operator="containsText" text="TOTAL">
      <formula>NOT(ISERROR(SEARCH("TOTAL",F2090)))</formula>
    </cfRule>
  </conditionalFormatting>
  <conditionalFormatting sqref="B2092:E2092">
    <cfRule type="containsText" dxfId="1875" priority="2157" operator="containsText" text="m2">
      <formula>NOT(ISERROR(SEARCH("m2",B2092)))</formula>
    </cfRule>
  </conditionalFormatting>
  <conditionalFormatting sqref="F2092">
    <cfRule type="containsText" dxfId="1874" priority="2156" operator="containsText" text="TOTAL">
      <formula>NOT(ISERROR(SEARCH("TOTAL",F2092)))</formula>
    </cfRule>
  </conditionalFormatting>
  <conditionalFormatting sqref="B2093:E2093">
    <cfRule type="containsText" dxfId="1873" priority="2155" operator="containsText" text="m2">
      <formula>NOT(ISERROR(SEARCH("m2",B2093)))</formula>
    </cfRule>
  </conditionalFormatting>
  <conditionalFormatting sqref="C2152:C2153 B2149:B2153 C2169 C2202 E2202 E2166 B2166:C2166 E2169 E2172 C2172 C2175 E2175 E2178:E2179 C2178:C2179 E2183 C2183 C2186 E2186 E2189 C2189 C2192 E2192 E2205 C2205 C2208 E2208 E2211 C2211 C2214 E2214 E2217 C2217 C2220 E2220 E2223 C2223 C2226 E2226 E2229 C2229 C2232 E2232 E2235 C2235 C2238 E2238 B2155:C2156 E2150:E2156 E2163 B2163:C2163">
    <cfRule type="containsText" dxfId="1872" priority="2153" operator="containsText" text="m2">
      <formula>NOT(ISERROR(SEARCH("m2",B2149)))</formula>
    </cfRule>
  </conditionalFormatting>
  <conditionalFormatting sqref="F2150:F2156 F2163">
    <cfRule type="containsText" dxfId="1871" priority="2152" operator="containsText" text="TOTAL">
      <formula>NOT(ISERROR(SEARCH("TOTAL",F2150)))</formula>
    </cfRule>
  </conditionalFormatting>
  <conditionalFormatting sqref="F2149">
    <cfRule type="containsText" dxfId="1870" priority="2150" operator="containsText" text="TOTAL">
      <formula>NOT(ISERROR(SEARCH("TOTAL",F2149)))</formula>
    </cfRule>
  </conditionalFormatting>
  <conditionalFormatting sqref="E2149">
    <cfRule type="containsText" dxfId="1869" priority="2151" operator="containsText" text="m2">
      <formula>NOT(ISERROR(SEARCH("m2",E2149)))</formula>
    </cfRule>
  </conditionalFormatting>
  <conditionalFormatting sqref="E2195:E2196">
    <cfRule type="containsText" dxfId="1868" priority="2146" operator="containsText" text="m2">
      <formula>NOT(ISERROR(SEARCH("m2",E2195)))</formula>
    </cfRule>
  </conditionalFormatting>
  <conditionalFormatting sqref="B2169 B2172 B2175 B2178:B2179 B2183 B2186 B2189 B2192 B2195:B2196">
    <cfRule type="containsText" dxfId="1867" priority="2149" operator="containsText" text="m2">
      <formula>NOT(ISERROR(SEARCH("m2",B2169)))</formula>
    </cfRule>
  </conditionalFormatting>
  <conditionalFormatting sqref="F2195:F2196 F2199 F2202 F2205 F2208 F2211 F2214 F2217 F2220 F2223 F2226 F2229 F2232 F2235 F2238">
    <cfRule type="containsText" dxfId="1866" priority="2145" operator="containsText" text="TOTAL">
      <formula>NOT(ISERROR(SEARCH("TOTAL",F2195)))</formula>
    </cfRule>
  </conditionalFormatting>
  <conditionalFormatting sqref="E2199">
    <cfRule type="containsText" dxfId="1865" priority="2147" operator="containsText" text="m2">
      <formula>NOT(ISERROR(SEARCH("m2",E2199)))</formula>
    </cfRule>
  </conditionalFormatting>
  <conditionalFormatting sqref="B2199 B2202 B2205 B2208 B2211 B2214 B2217 B2220 B2223 B2226 B2229 B2232 B2235 B2238">
    <cfRule type="containsText" dxfId="1864" priority="2148" operator="containsText" text="m2">
      <formula>NOT(ISERROR(SEARCH("m2",B2199)))</formula>
    </cfRule>
  </conditionalFormatting>
  <conditionalFormatting sqref="F2166 F2169 F2172 F2175 F2183 F2186 F2189 F2192 F2178:F2179">
    <cfRule type="containsText" dxfId="1863" priority="2142" operator="containsText" text="TOTAL">
      <formula>NOT(ISERROR(SEARCH("TOTAL",F2166)))</formula>
    </cfRule>
  </conditionalFormatting>
  <conditionalFormatting sqref="F2241:F2242">
    <cfRule type="containsText" dxfId="1862" priority="2144" operator="containsText" text="TOTAL">
      <formula>NOT(ISERROR(SEARCH("TOTAL",F2241)))</formula>
    </cfRule>
  </conditionalFormatting>
  <conditionalFormatting sqref="B2241:E2242 C2243">
    <cfRule type="containsText" dxfId="1861" priority="2143" operator="containsText" text="m2">
      <formula>NOT(ISERROR(SEARCH("m2",B2241)))</formula>
    </cfRule>
  </conditionalFormatting>
  <conditionalFormatting sqref="B2164:E2164">
    <cfRule type="containsText" dxfId="1860" priority="2141" operator="containsText" text="m2">
      <formula>NOT(ISERROR(SEARCH("m2",B2164)))</formula>
    </cfRule>
  </conditionalFormatting>
  <conditionalFormatting sqref="F2164">
    <cfRule type="containsText" dxfId="1859" priority="2140" operator="containsText" text="TOTAL">
      <formula>NOT(ISERROR(SEARCH("TOTAL",F2164)))</formula>
    </cfRule>
  </conditionalFormatting>
  <conditionalFormatting sqref="B2165:E2165">
    <cfRule type="containsText" dxfId="1858" priority="2139" operator="containsText" text="m2">
      <formula>NOT(ISERROR(SEARCH("m2",B2165)))</formula>
    </cfRule>
  </conditionalFormatting>
  <conditionalFormatting sqref="F2165">
    <cfRule type="containsText" dxfId="1857" priority="2138" operator="containsText" text="TOTAL">
      <formula>NOT(ISERROR(SEARCH("TOTAL",F2165)))</formula>
    </cfRule>
  </conditionalFormatting>
  <conditionalFormatting sqref="B2167:E2167">
    <cfRule type="containsText" dxfId="1856" priority="2137" operator="containsText" text="m2">
      <formula>NOT(ISERROR(SEARCH("m2",B2167)))</formula>
    </cfRule>
  </conditionalFormatting>
  <conditionalFormatting sqref="F2167">
    <cfRule type="containsText" dxfId="1855" priority="2136" operator="containsText" text="TOTAL">
      <formula>NOT(ISERROR(SEARCH("TOTAL",F2167)))</formula>
    </cfRule>
  </conditionalFormatting>
  <conditionalFormatting sqref="B2168:E2168">
    <cfRule type="containsText" dxfId="1854" priority="2135" operator="containsText" text="m2">
      <formula>NOT(ISERROR(SEARCH("m2",B2168)))</formula>
    </cfRule>
  </conditionalFormatting>
  <conditionalFormatting sqref="F2168">
    <cfRule type="containsText" dxfId="1853" priority="2134" operator="containsText" text="TOTAL">
      <formula>NOT(ISERROR(SEARCH("TOTAL",F2168)))</formula>
    </cfRule>
  </conditionalFormatting>
  <conditionalFormatting sqref="B2170:E2170">
    <cfRule type="containsText" dxfId="1852" priority="2133" operator="containsText" text="m2">
      <formula>NOT(ISERROR(SEARCH("m2",B2170)))</formula>
    </cfRule>
  </conditionalFormatting>
  <conditionalFormatting sqref="F2170">
    <cfRule type="containsText" dxfId="1851" priority="2132" operator="containsText" text="TOTAL">
      <formula>NOT(ISERROR(SEARCH("TOTAL",F2170)))</formula>
    </cfRule>
  </conditionalFormatting>
  <conditionalFormatting sqref="B2171:E2171">
    <cfRule type="containsText" dxfId="1850" priority="2131" operator="containsText" text="m2">
      <formula>NOT(ISERROR(SEARCH("m2",B2171)))</formula>
    </cfRule>
  </conditionalFormatting>
  <conditionalFormatting sqref="F2171">
    <cfRule type="containsText" dxfId="1849" priority="2130" operator="containsText" text="TOTAL">
      <formula>NOT(ISERROR(SEARCH("TOTAL",F2171)))</formula>
    </cfRule>
  </conditionalFormatting>
  <conditionalFormatting sqref="B2173:E2173">
    <cfRule type="containsText" dxfId="1848" priority="2129" operator="containsText" text="m2">
      <formula>NOT(ISERROR(SEARCH("m2",B2173)))</formula>
    </cfRule>
  </conditionalFormatting>
  <conditionalFormatting sqref="F2173">
    <cfRule type="containsText" dxfId="1847" priority="2128" operator="containsText" text="TOTAL">
      <formula>NOT(ISERROR(SEARCH("TOTAL",F2173)))</formula>
    </cfRule>
  </conditionalFormatting>
  <conditionalFormatting sqref="B2174:E2174">
    <cfRule type="containsText" dxfId="1846" priority="2127" operator="containsText" text="m2">
      <formula>NOT(ISERROR(SEARCH("m2",B2174)))</formula>
    </cfRule>
  </conditionalFormatting>
  <conditionalFormatting sqref="F2174">
    <cfRule type="containsText" dxfId="1845" priority="2126" operator="containsText" text="TOTAL">
      <formula>NOT(ISERROR(SEARCH("TOTAL",F2174)))</formula>
    </cfRule>
  </conditionalFormatting>
  <conditionalFormatting sqref="C2176:E2176">
    <cfRule type="containsText" dxfId="1844" priority="2125" operator="containsText" text="m2">
      <formula>NOT(ISERROR(SEARCH("m2",C2176)))</formula>
    </cfRule>
  </conditionalFormatting>
  <conditionalFormatting sqref="F2176">
    <cfRule type="containsText" dxfId="1843" priority="2124" operator="containsText" text="TOTAL">
      <formula>NOT(ISERROR(SEARCH("TOTAL",F2176)))</formula>
    </cfRule>
  </conditionalFormatting>
  <conditionalFormatting sqref="B2177:E2177">
    <cfRule type="containsText" dxfId="1842" priority="2123" operator="containsText" text="m2">
      <formula>NOT(ISERROR(SEARCH("m2",B2177)))</formula>
    </cfRule>
  </conditionalFormatting>
  <conditionalFormatting sqref="F2177">
    <cfRule type="containsText" dxfId="1841" priority="2122" operator="containsText" text="TOTAL">
      <formula>NOT(ISERROR(SEARCH("TOTAL",F2177)))</formula>
    </cfRule>
  </conditionalFormatting>
  <conditionalFormatting sqref="C2180:E2181">
    <cfRule type="containsText" dxfId="1840" priority="2121" operator="containsText" text="m2">
      <formula>NOT(ISERROR(SEARCH("m2",C2180)))</formula>
    </cfRule>
  </conditionalFormatting>
  <conditionalFormatting sqref="F2180:F2181">
    <cfRule type="containsText" dxfId="1839" priority="2120" operator="containsText" text="TOTAL">
      <formula>NOT(ISERROR(SEARCH("TOTAL",F2180)))</formula>
    </cfRule>
  </conditionalFormatting>
  <conditionalFormatting sqref="B2187">
    <cfRule type="containsText" dxfId="1838" priority="2065" operator="containsText" text="m2">
      <formula>NOT(ISERROR(SEARCH("m2",B2187)))</formula>
    </cfRule>
  </conditionalFormatting>
  <conditionalFormatting sqref="B2193">
    <cfRule type="containsText" dxfId="1837" priority="2063" operator="containsText" text="m2">
      <formula>NOT(ISERROR(SEARCH("m2",B2193)))</formula>
    </cfRule>
  </conditionalFormatting>
  <conditionalFormatting sqref="C2200:E2200">
    <cfRule type="containsText" dxfId="1836" priority="2059" operator="containsText" text="m2">
      <formula>NOT(ISERROR(SEARCH("m2",C2200)))</formula>
    </cfRule>
  </conditionalFormatting>
  <conditionalFormatting sqref="B2180:B2181">
    <cfRule type="containsText" dxfId="1835" priority="2070" operator="containsText" text="m2">
      <formula>NOT(ISERROR(SEARCH("m2",B2180)))</formula>
    </cfRule>
  </conditionalFormatting>
  <conditionalFormatting sqref="B2200">
    <cfRule type="containsText" dxfId="1834" priority="2057" operator="containsText" text="m2">
      <formula>NOT(ISERROR(SEARCH("m2",B2200)))</formula>
    </cfRule>
  </conditionalFormatting>
  <conditionalFormatting sqref="B2157:B2158">
    <cfRule type="containsText" dxfId="1833" priority="2068" operator="containsText" text="m2">
      <formula>NOT(ISERROR(SEARCH("m2",B2157)))</formula>
    </cfRule>
  </conditionalFormatting>
  <conditionalFormatting sqref="F2157">
    <cfRule type="containsText" dxfId="1832" priority="2067" operator="containsText" text="TOTAL">
      <formula>NOT(ISERROR(SEARCH("TOTAL",F2157)))</formula>
    </cfRule>
  </conditionalFormatting>
  <conditionalFormatting sqref="B2184">
    <cfRule type="containsText" dxfId="1831" priority="2066" operator="containsText" text="m2">
      <formula>NOT(ISERROR(SEARCH("m2",B2184)))</formula>
    </cfRule>
  </conditionalFormatting>
  <conditionalFormatting sqref="B2190">
    <cfRule type="containsText" dxfId="1830" priority="2064" operator="containsText" text="m2">
      <formula>NOT(ISERROR(SEARCH("m2",B2190)))</formula>
    </cfRule>
  </conditionalFormatting>
  <conditionalFormatting sqref="C2197:E2197">
    <cfRule type="containsText" dxfId="1829" priority="2062" operator="containsText" text="m2">
      <formula>NOT(ISERROR(SEARCH("m2",C2197)))</formula>
    </cfRule>
  </conditionalFormatting>
  <conditionalFormatting sqref="F2197">
    <cfRule type="containsText" dxfId="1828" priority="2061" operator="containsText" text="TOTAL">
      <formula>NOT(ISERROR(SEARCH("TOTAL",F2197)))</formula>
    </cfRule>
  </conditionalFormatting>
  <conditionalFormatting sqref="B2197">
    <cfRule type="containsText" dxfId="1827" priority="2060" operator="containsText" text="m2">
      <formula>NOT(ISERROR(SEARCH("m2",B2197)))</formula>
    </cfRule>
  </conditionalFormatting>
  <conditionalFormatting sqref="C2203:E2203">
    <cfRule type="containsText" dxfId="1826" priority="2056" operator="containsText" text="m2">
      <formula>NOT(ISERROR(SEARCH("m2",C2203)))</formula>
    </cfRule>
  </conditionalFormatting>
  <conditionalFormatting sqref="F2203">
    <cfRule type="containsText" dxfId="1825" priority="2055" operator="containsText" text="TOTAL">
      <formula>NOT(ISERROR(SEARCH("TOTAL",F2203)))</formula>
    </cfRule>
  </conditionalFormatting>
  <conditionalFormatting sqref="B2203">
    <cfRule type="containsText" dxfId="1824" priority="2054" operator="containsText" text="m2">
      <formula>NOT(ISERROR(SEARCH("m2",B2203)))</formula>
    </cfRule>
  </conditionalFormatting>
  <conditionalFormatting sqref="C2206:E2206">
    <cfRule type="containsText" dxfId="1823" priority="2053" operator="containsText" text="m2">
      <formula>NOT(ISERROR(SEARCH("m2",C2206)))</formula>
    </cfRule>
  </conditionalFormatting>
  <conditionalFormatting sqref="F2206">
    <cfRule type="containsText" dxfId="1822" priority="2052" operator="containsText" text="TOTAL">
      <formula>NOT(ISERROR(SEARCH("TOTAL",F2206)))</formula>
    </cfRule>
  </conditionalFormatting>
  <conditionalFormatting sqref="B2206">
    <cfRule type="containsText" dxfId="1821" priority="2051" operator="containsText" text="m2">
      <formula>NOT(ISERROR(SEARCH("m2",B2206)))</formula>
    </cfRule>
  </conditionalFormatting>
  <conditionalFormatting sqref="C2209:E2209">
    <cfRule type="containsText" dxfId="1820" priority="2050" operator="containsText" text="m2">
      <formula>NOT(ISERROR(SEARCH("m2",C2209)))</formula>
    </cfRule>
  </conditionalFormatting>
  <conditionalFormatting sqref="F2209">
    <cfRule type="containsText" dxfId="1819" priority="2049" operator="containsText" text="TOTAL">
      <formula>NOT(ISERROR(SEARCH("TOTAL",F2209)))</formula>
    </cfRule>
  </conditionalFormatting>
  <conditionalFormatting sqref="B2209">
    <cfRule type="containsText" dxfId="1818" priority="2048" operator="containsText" text="m2">
      <formula>NOT(ISERROR(SEARCH("m2",B2209)))</formula>
    </cfRule>
  </conditionalFormatting>
  <conditionalFormatting sqref="C2212:E2212">
    <cfRule type="containsText" dxfId="1817" priority="2047" operator="containsText" text="m2">
      <formula>NOT(ISERROR(SEARCH("m2",C2212)))</formula>
    </cfRule>
  </conditionalFormatting>
  <conditionalFormatting sqref="F2212">
    <cfRule type="containsText" dxfId="1816" priority="2046" operator="containsText" text="TOTAL">
      <formula>NOT(ISERROR(SEARCH("TOTAL",F2212)))</formula>
    </cfRule>
  </conditionalFormatting>
  <conditionalFormatting sqref="B2212">
    <cfRule type="containsText" dxfId="1815" priority="2045" operator="containsText" text="m2">
      <formula>NOT(ISERROR(SEARCH("m2",B2212)))</formula>
    </cfRule>
  </conditionalFormatting>
  <conditionalFormatting sqref="C2215:E2215">
    <cfRule type="containsText" dxfId="1814" priority="2044" operator="containsText" text="m2">
      <formula>NOT(ISERROR(SEARCH("m2",C2215)))</formula>
    </cfRule>
  </conditionalFormatting>
  <conditionalFormatting sqref="F2215">
    <cfRule type="containsText" dxfId="1813" priority="2043" operator="containsText" text="TOTAL">
      <formula>NOT(ISERROR(SEARCH("TOTAL",F2215)))</formula>
    </cfRule>
  </conditionalFormatting>
  <conditionalFormatting sqref="B2215">
    <cfRule type="containsText" dxfId="1812" priority="2042" operator="containsText" text="m2">
      <formula>NOT(ISERROR(SEARCH("m2",B2215)))</formula>
    </cfRule>
  </conditionalFormatting>
  <conditionalFormatting sqref="C2218:E2218">
    <cfRule type="containsText" dxfId="1811" priority="2041" operator="containsText" text="m2">
      <formula>NOT(ISERROR(SEARCH("m2",C2218)))</formula>
    </cfRule>
  </conditionalFormatting>
  <conditionalFormatting sqref="F2218">
    <cfRule type="containsText" dxfId="1810" priority="2040" operator="containsText" text="TOTAL">
      <formula>NOT(ISERROR(SEARCH("TOTAL",F2218)))</formula>
    </cfRule>
  </conditionalFormatting>
  <conditionalFormatting sqref="B2218">
    <cfRule type="containsText" dxfId="1809" priority="2039" operator="containsText" text="m2">
      <formula>NOT(ISERROR(SEARCH("m2",B2218)))</formula>
    </cfRule>
  </conditionalFormatting>
  <conditionalFormatting sqref="C2221:E2221">
    <cfRule type="containsText" dxfId="1808" priority="2038" operator="containsText" text="m2">
      <formula>NOT(ISERROR(SEARCH("m2",C2221)))</formula>
    </cfRule>
  </conditionalFormatting>
  <conditionalFormatting sqref="F2221">
    <cfRule type="containsText" dxfId="1807" priority="2037" operator="containsText" text="TOTAL">
      <formula>NOT(ISERROR(SEARCH("TOTAL",F2221)))</formula>
    </cfRule>
  </conditionalFormatting>
  <conditionalFormatting sqref="B2221">
    <cfRule type="containsText" dxfId="1806" priority="2036" operator="containsText" text="m2">
      <formula>NOT(ISERROR(SEARCH("m2",B2221)))</formula>
    </cfRule>
  </conditionalFormatting>
  <conditionalFormatting sqref="C2224:E2224">
    <cfRule type="containsText" dxfId="1805" priority="2035" operator="containsText" text="m2">
      <formula>NOT(ISERROR(SEARCH("m2",C2224)))</formula>
    </cfRule>
  </conditionalFormatting>
  <conditionalFormatting sqref="F2224">
    <cfRule type="containsText" dxfId="1804" priority="2034" operator="containsText" text="TOTAL">
      <formula>NOT(ISERROR(SEARCH("TOTAL",F2224)))</formula>
    </cfRule>
  </conditionalFormatting>
  <conditionalFormatting sqref="B2224">
    <cfRule type="containsText" dxfId="1803" priority="2033" operator="containsText" text="m2">
      <formula>NOT(ISERROR(SEARCH("m2",B2224)))</formula>
    </cfRule>
  </conditionalFormatting>
  <conditionalFormatting sqref="C2227:E2227">
    <cfRule type="containsText" dxfId="1802" priority="2032" operator="containsText" text="m2">
      <formula>NOT(ISERROR(SEARCH("m2",C2227)))</formula>
    </cfRule>
  </conditionalFormatting>
  <conditionalFormatting sqref="F2227">
    <cfRule type="containsText" dxfId="1801" priority="2031" operator="containsText" text="TOTAL">
      <formula>NOT(ISERROR(SEARCH("TOTAL",F2227)))</formula>
    </cfRule>
  </conditionalFormatting>
  <conditionalFormatting sqref="B2227">
    <cfRule type="containsText" dxfId="1800" priority="2030" operator="containsText" text="m2">
      <formula>NOT(ISERROR(SEARCH("m2",B2227)))</formula>
    </cfRule>
  </conditionalFormatting>
  <conditionalFormatting sqref="C2230:E2230">
    <cfRule type="containsText" dxfId="1799" priority="2029" operator="containsText" text="m2">
      <formula>NOT(ISERROR(SEARCH("m2",C2230)))</formula>
    </cfRule>
  </conditionalFormatting>
  <conditionalFormatting sqref="F2230">
    <cfRule type="containsText" dxfId="1798" priority="2028" operator="containsText" text="TOTAL">
      <formula>NOT(ISERROR(SEARCH("TOTAL",F2230)))</formula>
    </cfRule>
  </conditionalFormatting>
  <conditionalFormatting sqref="B2230">
    <cfRule type="containsText" dxfId="1797" priority="2027" operator="containsText" text="m2">
      <formula>NOT(ISERROR(SEARCH("m2",B2230)))</formula>
    </cfRule>
  </conditionalFormatting>
  <conditionalFormatting sqref="C2233:E2233">
    <cfRule type="containsText" dxfId="1796" priority="2026" operator="containsText" text="m2">
      <formula>NOT(ISERROR(SEARCH("m2",C2233)))</formula>
    </cfRule>
  </conditionalFormatting>
  <conditionalFormatting sqref="F2233">
    <cfRule type="containsText" dxfId="1795" priority="2025" operator="containsText" text="TOTAL">
      <formula>NOT(ISERROR(SEARCH("TOTAL",F2233)))</formula>
    </cfRule>
  </conditionalFormatting>
  <conditionalFormatting sqref="B2233">
    <cfRule type="containsText" dxfId="1794" priority="2024" operator="containsText" text="m2">
      <formula>NOT(ISERROR(SEARCH("m2",B2233)))</formula>
    </cfRule>
  </conditionalFormatting>
  <conditionalFormatting sqref="C2236:E2236">
    <cfRule type="containsText" dxfId="1793" priority="2023" operator="containsText" text="m2">
      <formula>NOT(ISERROR(SEARCH("m2",C2236)))</formula>
    </cfRule>
  </conditionalFormatting>
  <conditionalFormatting sqref="F2236">
    <cfRule type="containsText" dxfId="1792" priority="2022" operator="containsText" text="TOTAL">
      <formula>NOT(ISERROR(SEARCH("TOTAL",F2236)))</formula>
    </cfRule>
  </conditionalFormatting>
  <conditionalFormatting sqref="B2236">
    <cfRule type="containsText" dxfId="1791" priority="2021" operator="containsText" text="m2">
      <formula>NOT(ISERROR(SEARCH("m2",B2236)))</formula>
    </cfRule>
  </conditionalFormatting>
  <conditionalFormatting sqref="C2239:E2239">
    <cfRule type="containsText" dxfId="1790" priority="2020" operator="containsText" text="m2">
      <formula>NOT(ISERROR(SEARCH("m2",C2239)))</formula>
    </cfRule>
  </conditionalFormatting>
  <conditionalFormatting sqref="F2239">
    <cfRule type="containsText" dxfId="1789" priority="2019" operator="containsText" text="TOTAL">
      <formula>NOT(ISERROR(SEARCH("TOTAL",F2239)))</formula>
    </cfRule>
  </conditionalFormatting>
  <conditionalFormatting sqref="B2239">
    <cfRule type="containsText" dxfId="1788" priority="2018" operator="containsText" text="m2">
      <formula>NOT(ISERROR(SEARCH("m2",B2239)))</formula>
    </cfRule>
  </conditionalFormatting>
  <conditionalFormatting sqref="B2159:E2159">
    <cfRule type="containsText" dxfId="1787" priority="2017" operator="containsText" text="m2">
      <formula>NOT(ISERROR(SEARCH("m2",B2159)))</formula>
    </cfRule>
  </conditionalFormatting>
  <conditionalFormatting sqref="B107">
    <cfRule type="containsText" dxfId="1786" priority="2013" operator="containsText" text="m2">
      <formula>NOT(ISERROR(SEARCH("m2",B107)))</formula>
    </cfRule>
  </conditionalFormatting>
  <conditionalFormatting sqref="B125">
    <cfRule type="containsText" dxfId="1785" priority="2011" operator="containsText" text="m2">
      <formula>NOT(ISERROR(SEARCH("m2",B125)))</formula>
    </cfRule>
  </conditionalFormatting>
  <conditionalFormatting sqref="B112">
    <cfRule type="containsText" dxfId="1784" priority="2012" operator="containsText" text="m2">
      <formula>NOT(ISERROR(SEARCH("m2",B112)))</formula>
    </cfRule>
  </conditionalFormatting>
  <conditionalFormatting sqref="B130">
    <cfRule type="containsText" dxfId="1783" priority="2009" operator="containsText" text="m2">
      <formula>NOT(ISERROR(SEARCH("m2",B130)))</formula>
    </cfRule>
  </conditionalFormatting>
  <conditionalFormatting sqref="B129">
    <cfRule type="containsText" dxfId="1782" priority="2010" operator="containsText" text="m2">
      <formula>NOT(ISERROR(SEARCH("m2",B129)))</formula>
    </cfRule>
  </conditionalFormatting>
  <conditionalFormatting sqref="B135">
    <cfRule type="containsText" dxfId="1781" priority="2008" operator="containsText" text="m2">
      <formula>NOT(ISERROR(SEARCH("m2",B135)))</formula>
    </cfRule>
  </conditionalFormatting>
  <conditionalFormatting sqref="B165:B168">
    <cfRule type="containsText" dxfId="1780" priority="2006" operator="containsText" text="m2">
      <formula>NOT(ISERROR(SEARCH("m2",B165)))</formula>
    </cfRule>
  </conditionalFormatting>
  <conditionalFormatting sqref="B169:B177">
    <cfRule type="containsText" dxfId="1779" priority="2005" operator="containsText" text="m2">
      <formula>NOT(ISERROR(SEARCH("m2",B169)))</formula>
    </cfRule>
  </conditionalFormatting>
  <conditionalFormatting sqref="B196">
    <cfRule type="containsText" dxfId="1778" priority="2003" operator="containsText" text="m2">
      <formula>NOT(ISERROR(SEARCH("m2",B196)))</formula>
    </cfRule>
  </conditionalFormatting>
  <conditionalFormatting sqref="B230:B231">
    <cfRule type="containsText" dxfId="1777" priority="2002" operator="containsText" text="m2">
      <formula>NOT(ISERROR(SEARCH("m2",B230)))</formula>
    </cfRule>
  </conditionalFormatting>
  <conditionalFormatting sqref="B226">
    <cfRule type="containsText" dxfId="1776" priority="2000" operator="containsText" text="m2">
      <formula>NOT(ISERROR(SEARCH("m2",B226)))</formula>
    </cfRule>
  </conditionalFormatting>
  <conditionalFormatting sqref="B227">
    <cfRule type="containsText" dxfId="1775" priority="1999" operator="containsText" text="m2">
      <formula>NOT(ISERROR(SEARCH("m2",B227)))</formula>
    </cfRule>
  </conditionalFormatting>
  <conditionalFormatting sqref="B228:B229">
    <cfRule type="containsText" dxfId="1774" priority="1998" operator="containsText" text="m2">
      <formula>NOT(ISERROR(SEARCH("m2",B228)))</formula>
    </cfRule>
  </conditionalFormatting>
  <conditionalFormatting sqref="B232">
    <cfRule type="containsText" dxfId="1773" priority="1997" operator="containsText" text="m2">
      <formula>NOT(ISERROR(SEARCH("m2",B232)))</formula>
    </cfRule>
  </conditionalFormatting>
  <conditionalFormatting sqref="B233:B235">
    <cfRule type="containsText" dxfId="1772" priority="1996" operator="containsText" text="m2">
      <formula>NOT(ISERROR(SEARCH("m2",B233)))</formula>
    </cfRule>
  </conditionalFormatting>
  <conditionalFormatting sqref="B258">
    <cfRule type="containsText" dxfId="1771" priority="1995" operator="containsText" text="m2">
      <formula>NOT(ISERROR(SEARCH("m2",B258)))</formula>
    </cfRule>
  </conditionalFormatting>
  <conditionalFormatting sqref="B266:B268">
    <cfRule type="containsText" dxfId="1770" priority="1994" operator="containsText" text="m2">
      <formula>NOT(ISERROR(SEARCH("m2",B266)))</formula>
    </cfRule>
  </conditionalFormatting>
  <conditionalFormatting sqref="B269">
    <cfRule type="containsText" dxfId="1769" priority="1993" operator="containsText" text="m2">
      <formula>NOT(ISERROR(SEARCH("m2",B269)))</formula>
    </cfRule>
  </conditionalFormatting>
  <conditionalFormatting sqref="B300:B302 B285 B297">
    <cfRule type="containsText" dxfId="1768" priority="1992" operator="containsText" text="m2">
      <formula>NOT(ISERROR(SEARCH("m2",B285)))</formula>
    </cfRule>
  </conditionalFormatting>
  <conditionalFormatting sqref="B298">
    <cfRule type="containsText" dxfId="1767" priority="1991" operator="containsText" text="m2">
      <formula>NOT(ISERROR(SEARCH("m2",B298)))</formula>
    </cfRule>
  </conditionalFormatting>
  <conditionalFormatting sqref="B299">
    <cfRule type="containsText" dxfId="1766" priority="1990" operator="containsText" text="m2">
      <formula>NOT(ISERROR(SEARCH("m2",B299)))</formula>
    </cfRule>
  </conditionalFormatting>
  <conditionalFormatting sqref="B303">
    <cfRule type="containsText" dxfId="1765" priority="1989" operator="containsText" text="m2">
      <formula>NOT(ISERROR(SEARCH("m2",B303)))</formula>
    </cfRule>
  </conditionalFormatting>
  <conditionalFormatting sqref="B304">
    <cfRule type="containsText" dxfId="1764" priority="1988" operator="containsText" text="m2">
      <formula>NOT(ISERROR(SEARCH("m2",B304)))</formula>
    </cfRule>
  </conditionalFormatting>
  <conditionalFormatting sqref="B345:B348 B359 B334:B342">
    <cfRule type="containsText" dxfId="1763" priority="1987" operator="containsText" text="m2">
      <formula>NOT(ISERROR(SEARCH("m2",B334)))</formula>
    </cfRule>
  </conditionalFormatting>
  <conditionalFormatting sqref="F359">
    <cfRule type="containsText" dxfId="1762" priority="1986" operator="containsText" text="TOTAL">
      <formula>NOT(ISERROR(SEARCH("TOTAL",F359)))</formula>
    </cfRule>
  </conditionalFormatting>
  <conditionalFormatting sqref="B415">
    <cfRule type="containsText" dxfId="1761" priority="1983" operator="containsText" text="m2">
      <formula>NOT(ISERROR(SEARCH("m2",B415)))</formula>
    </cfRule>
  </conditionalFormatting>
  <conditionalFormatting sqref="B416:B417">
    <cfRule type="containsText" dxfId="1760" priority="1981" operator="containsText" text="m2">
      <formula>NOT(ISERROR(SEARCH("m2",B416)))</formula>
    </cfRule>
  </conditionalFormatting>
  <conditionalFormatting sqref="B413:B414">
    <cfRule type="containsText" dxfId="1759" priority="1982" operator="containsText" text="m2">
      <formula>NOT(ISERROR(SEARCH("m2",B413)))</formula>
    </cfRule>
  </conditionalFormatting>
  <conditionalFormatting sqref="B418:B420">
    <cfRule type="containsText" dxfId="1758" priority="1980" operator="containsText" text="m2">
      <formula>NOT(ISERROR(SEARCH("m2",B418)))</formula>
    </cfRule>
  </conditionalFormatting>
  <conditionalFormatting sqref="B445">
    <cfRule type="containsText" dxfId="1757" priority="1979" operator="containsText" text="m2">
      <formula>NOT(ISERROR(SEARCH("m2",B445)))</formula>
    </cfRule>
  </conditionalFormatting>
  <conditionalFormatting sqref="F445">
    <cfRule type="containsText" dxfId="1756" priority="1978" operator="containsText" text="TOTAL">
      <formula>NOT(ISERROR(SEARCH("TOTAL",F445)))</formula>
    </cfRule>
  </conditionalFormatting>
  <conditionalFormatting sqref="B412">
    <cfRule type="containsText" dxfId="1755" priority="1977" operator="containsText" text="m2">
      <formula>NOT(ISERROR(SEARCH("m2",B412)))</formula>
    </cfRule>
  </conditionalFormatting>
  <conditionalFormatting sqref="B517">
    <cfRule type="containsText" dxfId="1754" priority="1976" operator="containsText" text="m2">
      <formula>NOT(ISERROR(SEARCH("m2",B517)))</formula>
    </cfRule>
  </conditionalFormatting>
  <conditionalFormatting sqref="F518">
    <cfRule type="containsText" dxfId="1753" priority="1974" operator="containsText" text="TOTAL">
      <formula>NOT(ISERROR(SEARCH("TOTAL",F518)))</formula>
    </cfRule>
  </conditionalFormatting>
  <conditionalFormatting sqref="B518">
    <cfRule type="containsText" dxfId="1752" priority="1975" operator="containsText" text="m2">
      <formula>NOT(ISERROR(SEARCH("m2",B518)))</formula>
    </cfRule>
  </conditionalFormatting>
  <conditionalFormatting sqref="B533:B534">
    <cfRule type="containsText" dxfId="1751" priority="1973" operator="containsText" text="m2">
      <formula>NOT(ISERROR(SEARCH("m2",B533)))</formula>
    </cfRule>
  </conditionalFormatting>
  <conditionalFormatting sqref="F535">
    <cfRule type="containsText" dxfId="1750" priority="1971" operator="containsText" text="TOTAL">
      <formula>NOT(ISERROR(SEARCH("TOTAL",F535)))</formula>
    </cfRule>
  </conditionalFormatting>
  <conditionalFormatting sqref="B535">
    <cfRule type="containsText" dxfId="1749" priority="1972" operator="containsText" text="m2">
      <formula>NOT(ISERROR(SEARCH("m2",B535)))</formula>
    </cfRule>
  </conditionalFormatting>
  <conditionalFormatting sqref="F544:F546">
    <cfRule type="containsText" dxfId="1748" priority="1970" operator="containsText" text="TOTAL">
      <formula>NOT(ISERROR(SEARCH("TOTAL",F544)))</formula>
    </cfRule>
  </conditionalFormatting>
  <conditionalFormatting sqref="B544:B547">
    <cfRule type="containsText" dxfId="1747" priority="1969" operator="containsText" text="m2">
      <formula>NOT(ISERROR(SEARCH("m2",B544)))</formula>
    </cfRule>
  </conditionalFormatting>
  <conditionalFormatting sqref="F537">
    <cfRule type="containsText" dxfId="1746" priority="1968" operator="containsText" text="TOTAL">
      <formula>NOT(ISERROR(SEARCH("TOTAL",F537)))</formula>
    </cfRule>
  </conditionalFormatting>
  <conditionalFormatting sqref="F547">
    <cfRule type="containsText" dxfId="1745" priority="1967" operator="containsText" text="TOTAL">
      <formula>NOT(ISERROR(SEARCH("TOTAL",F547)))</formula>
    </cfRule>
  </conditionalFormatting>
  <conditionalFormatting sqref="F549">
    <cfRule type="containsText" dxfId="1744" priority="1965" operator="containsText" text="TOTAL">
      <formula>NOT(ISERROR(SEARCH("TOTAL",F549)))</formula>
    </cfRule>
  </conditionalFormatting>
  <conditionalFormatting sqref="B549">
    <cfRule type="containsText" dxfId="1743" priority="1966" operator="containsText" text="m2">
      <formula>NOT(ISERROR(SEARCH("m2",B549)))</formula>
    </cfRule>
  </conditionalFormatting>
  <conditionalFormatting sqref="F807:F808">
    <cfRule type="containsText" dxfId="1742" priority="1964" operator="containsText" text="TOTAL">
      <formula>NOT(ISERROR(SEARCH("TOTAL",F807)))</formula>
    </cfRule>
  </conditionalFormatting>
  <conditionalFormatting sqref="B807:B808">
    <cfRule type="containsText" dxfId="1741" priority="1963" operator="containsText" text="m2">
      <formula>NOT(ISERROR(SEARCH("m2",B807)))</formula>
    </cfRule>
  </conditionalFormatting>
  <conditionalFormatting sqref="F788">
    <cfRule type="containsText" dxfId="1740" priority="1962" operator="containsText" text="TOTAL">
      <formula>NOT(ISERROR(SEARCH("TOTAL",F788)))</formula>
    </cfRule>
  </conditionalFormatting>
  <conditionalFormatting sqref="F812">
    <cfRule type="containsText" dxfId="1739" priority="1960" operator="containsText" text="TOTAL">
      <formula>NOT(ISERROR(SEARCH("TOTAL",F812)))</formula>
    </cfRule>
  </conditionalFormatting>
  <conditionalFormatting sqref="B812">
    <cfRule type="containsText" dxfId="1738" priority="1961" operator="containsText" text="m2">
      <formula>NOT(ISERROR(SEARCH("m2",B812)))</formula>
    </cfRule>
  </conditionalFormatting>
  <conditionalFormatting sqref="F809:F810">
    <cfRule type="containsText" dxfId="1737" priority="1959" operator="containsText" text="TOTAL">
      <formula>NOT(ISERROR(SEARCH("TOTAL",F809)))</formula>
    </cfRule>
  </conditionalFormatting>
  <conditionalFormatting sqref="B809:B810">
    <cfRule type="containsText" dxfId="1736" priority="1958" operator="containsText" text="m2">
      <formula>NOT(ISERROR(SEARCH("m2",B809)))</formula>
    </cfRule>
  </conditionalFormatting>
  <conditionalFormatting sqref="B1932">
    <cfRule type="containsText" dxfId="1735" priority="1957" operator="containsText" text="m2">
      <formula>NOT(ISERROR(SEARCH("m2",B1932)))</formula>
    </cfRule>
  </conditionalFormatting>
  <conditionalFormatting sqref="D1932:E1932">
    <cfRule type="containsText" dxfId="1734" priority="1956" operator="containsText" text="m2">
      <formula>NOT(ISERROR(SEARCH("m2",D1932)))</formula>
    </cfRule>
  </conditionalFormatting>
  <conditionalFormatting sqref="F2162">
    <cfRule type="containsText" dxfId="1733" priority="1949" operator="containsText" text="TOTAL">
      <formula>NOT(ISERROR(SEARCH("TOTAL",F2162)))</formula>
    </cfRule>
  </conditionalFormatting>
  <conditionalFormatting sqref="E2160 B2160:C2160">
    <cfRule type="containsText" dxfId="1732" priority="1954" operator="containsText" text="m2">
      <formula>NOT(ISERROR(SEARCH("m2",B2160)))</formula>
    </cfRule>
  </conditionalFormatting>
  <conditionalFormatting sqref="F2160">
    <cfRule type="containsText" dxfId="1731" priority="1953" operator="containsText" text="TOTAL">
      <formula>NOT(ISERROR(SEARCH("TOTAL",F2160)))</formula>
    </cfRule>
  </conditionalFormatting>
  <conditionalFormatting sqref="B2161:E2161">
    <cfRule type="containsText" dxfId="1730" priority="1952" operator="containsText" text="m2">
      <formula>NOT(ISERROR(SEARCH("m2",B2161)))</formula>
    </cfRule>
  </conditionalFormatting>
  <conditionalFormatting sqref="F2161">
    <cfRule type="containsText" dxfId="1729" priority="1951" operator="containsText" text="TOTAL">
      <formula>NOT(ISERROR(SEARCH("TOTAL",F2161)))</formula>
    </cfRule>
  </conditionalFormatting>
  <conditionalFormatting sqref="B2162:E2162">
    <cfRule type="containsText" dxfId="1728" priority="1950" operator="containsText" text="m2">
      <formula>NOT(ISERROR(SEARCH("m2",B2162)))</formula>
    </cfRule>
  </conditionalFormatting>
  <conditionalFormatting sqref="B2050:E2052">
    <cfRule type="containsText" dxfId="1727" priority="1944" operator="containsText" text="m2">
      <formula>NOT(ISERROR(SEARCH("m2",B2050)))</formula>
    </cfRule>
  </conditionalFormatting>
  <conditionalFormatting sqref="F2050:F2052">
    <cfRule type="containsText" dxfId="1726" priority="1943" operator="containsText" text="TOTAL">
      <formula>NOT(ISERROR(SEARCH("TOTAL",F2050)))</formula>
    </cfRule>
  </conditionalFormatting>
  <conditionalFormatting sqref="F2053">
    <cfRule type="containsText" dxfId="1725" priority="1942" operator="containsText" text="TOTAL">
      <formula>NOT(ISERROR(SEARCH("TOTAL",F2053)))</formula>
    </cfRule>
  </conditionalFormatting>
  <conditionalFormatting sqref="B2053:E2053">
    <cfRule type="containsText" dxfId="1724" priority="1941" operator="containsText" text="m2">
      <formula>NOT(ISERROR(SEARCH("m2",B2053)))</formula>
    </cfRule>
  </conditionalFormatting>
  <conditionalFormatting sqref="B2256">
    <cfRule type="containsText" dxfId="1723" priority="1940" operator="containsText" text="m2">
      <formula>NOT(ISERROR(SEARCH("m2",B2256)))</formula>
    </cfRule>
  </conditionalFormatting>
  <conditionalFormatting sqref="E2256">
    <cfRule type="containsText" dxfId="1722" priority="1939" operator="containsText" text="m2">
      <formula>NOT(ISERROR(SEARCH("m2",E2256)))</formula>
    </cfRule>
  </conditionalFormatting>
  <conditionalFormatting sqref="B2257:B2264">
    <cfRule type="containsText" dxfId="1721" priority="1937" operator="containsText" text="m2">
      <formula>NOT(ISERROR(SEARCH("m2",B2257)))</formula>
    </cfRule>
  </conditionalFormatting>
  <conditionalFormatting sqref="D2257:E2264">
    <cfRule type="containsText" dxfId="1720" priority="1936" operator="containsText" text="m2">
      <formula>NOT(ISERROR(SEARCH("m2",D2257)))</formula>
    </cfRule>
  </conditionalFormatting>
  <conditionalFormatting sqref="F2257:F2264">
    <cfRule type="containsText" dxfId="1719" priority="1934" operator="containsText" text="TOTAL">
      <formula>NOT(ISERROR(SEARCH("TOTAL",F2257)))</formula>
    </cfRule>
  </conditionalFormatting>
  <conditionalFormatting sqref="F2265">
    <cfRule type="containsText" dxfId="1718" priority="1933" operator="containsText" text="TOTAL">
      <formula>NOT(ISERROR(SEARCH("TOTAL",F2265)))</formula>
    </cfRule>
  </conditionalFormatting>
  <conditionalFormatting sqref="B2265:E2265">
    <cfRule type="containsText" dxfId="1717" priority="1932" operator="containsText" text="m2">
      <formula>NOT(ISERROR(SEARCH("m2",B2265)))</formula>
    </cfRule>
  </conditionalFormatting>
  <conditionalFormatting sqref="C1071:E1071">
    <cfRule type="containsText" dxfId="1716" priority="1931" operator="containsText" text="m2">
      <formula>NOT(ISERROR(SEARCH("m2",C1071)))</formula>
    </cfRule>
  </conditionalFormatting>
  <conditionalFormatting sqref="F1071">
    <cfRule type="containsText" dxfId="1715" priority="1930" operator="containsText" text="TOTAL">
      <formula>NOT(ISERROR(SEARCH("TOTAL",F1071)))</formula>
    </cfRule>
  </conditionalFormatting>
  <conditionalFormatting sqref="B1071">
    <cfRule type="containsText" dxfId="1714" priority="1929" operator="containsText" text="m2">
      <formula>NOT(ISERROR(SEARCH("m2",B1071)))</formula>
    </cfRule>
  </conditionalFormatting>
  <conditionalFormatting sqref="B1936:E1936">
    <cfRule type="containsText" dxfId="1713" priority="1912" operator="containsText" text="m2">
      <formula>NOT(ISERROR(SEARCH("m2",B1936)))</formula>
    </cfRule>
  </conditionalFormatting>
  <conditionalFormatting sqref="F721">
    <cfRule type="containsText" dxfId="1712" priority="1914" operator="containsText" text="TOTAL">
      <formula>NOT(ISERROR(SEARCH("TOTAL",F721)))</formula>
    </cfRule>
  </conditionalFormatting>
  <conditionalFormatting sqref="F723">
    <cfRule type="containsText" dxfId="1711" priority="1913" operator="containsText" text="TOTAL">
      <formula>NOT(ISERROR(SEARCH("TOTAL",F723)))</formula>
    </cfRule>
  </conditionalFormatting>
  <conditionalFormatting sqref="B104">
    <cfRule type="containsText" dxfId="1710" priority="1866" operator="containsText" text="m2">
      <formula>NOT(ISERROR(SEARCH("m2",B104)))</formula>
    </cfRule>
  </conditionalFormatting>
  <conditionalFormatting sqref="F1936">
    <cfRule type="containsText" dxfId="1709" priority="1911" operator="containsText" text="TOTAL">
      <formula>NOT(ISERROR(SEARCH("TOTAL",F1936)))</formula>
    </cfRule>
  </conditionalFormatting>
  <conditionalFormatting sqref="B639">
    <cfRule type="containsText" dxfId="1708" priority="1910" operator="containsText" text="m2">
      <formula>NOT(ISERROR(SEARCH("m2",B639)))</formula>
    </cfRule>
  </conditionalFormatting>
  <conditionalFormatting sqref="B1921:E1921">
    <cfRule type="containsText" dxfId="1707" priority="1896" operator="containsText" text="m2">
      <formula>NOT(ISERROR(SEARCH("m2",B1921)))</formula>
    </cfRule>
  </conditionalFormatting>
  <conditionalFormatting sqref="B1938:E1938">
    <cfRule type="containsText" dxfId="1706" priority="1906" operator="containsText" text="m2">
      <formula>NOT(ISERROR(SEARCH("m2",B1938)))</formula>
    </cfRule>
  </conditionalFormatting>
  <conditionalFormatting sqref="F1938">
    <cfRule type="containsText" dxfId="1705" priority="1905" operator="containsText" text="TOTAL">
      <formula>NOT(ISERROR(SEARCH("TOTAL",F1938)))</formula>
    </cfRule>
  </conditionalFormatting>
  <conditionalFormatting sqref="B121">
    <cfRule type="containsText" dxfId="1704" priority="1878" operator="containsText" text="m2">
      <formula>NOT(ISERROR(SEARCH("m2",B121)))</formula>
    </cfRule>
  </conditionalFormatting>
  <conditionalFormatting sqref="B1918:E1918 B1920:E1920 E1919">
    <cfRule type="containsText" dxfId="1703" priority="1904" operator="containsText" text="m2">
      <formula>NOT(ISERROR(SEARCH("m2",B1918)))</formula>
    </cfRule>
  </conditionalFormatting>
  <conditionalFormatting sqref="F1917:F1920">
    <cfRule type="containsText" dxfId="1702" priority="1903" operator="containsText" text="TOTAL">
      <formula>NOT(ISERROR(SEARCH("TOTAL",F1917)))</formula>
    </cfRule>
  </conditionalFormatting>
  <conditionalFormatting sqref="B1919:D1919">
    <cfRule type="containsText" dxfId="1701" priority="1901" operator="containsText" text="m2">
      <formula>NOT(ISERROR(SEARCH("m2",B1919)))</formula>
    </cfRule>
  </conditionalFormatting>
  <conditionalFormatting sqref="B1922:E1922">
    <cfRule type="containsText" dxfId="1700" priority="1900" operator="containsText" text="m2">
      <formula>NOT(ISERROR(SEARCH("m2",B1922)))</formula>
    </cfRule>
  </conditionalFormatting>
  <conditionalFormatting sqref="F1922">
    <cfRule type="containsText" dxfId="1699" priority="1899" operator="containsText" text="TOTAL">
      <formula>NOT(ISERROR(SEARCH("TOTAL",F1922)))</formula>
    </cfRule>
  </conditionalFormatting>
  <conditionalFormatting sqref="B1917">
    <cfRule type="containsText" dxfId="1698" priority="1898" operator="containsText" text="m2">
      <formula>NOT(ISERROR(SEARCH("m2",B1917)))</formula>
    </cfRule>
  </conditionalFormatting>
  <conditionalFormatting sqref="D1917:E1917">
    <cfRule type="containsText" dxfId="1697" priority="1897" operator="containsText" text="m2">
      <formula>NOT(ISERROR(SEARCH("m2",D1917)))</formula>
    </cfRule>
  </conditionalFormatting>
  <conditionalFormatting sqref="F1921">
    <cfRule type="containsText" dxfId="1696" priority="1895" operator="containsText" text="TOTAL">
      <formula>NOT(ISERROR(SEARCH("TOTAL",F1921)))</formula>
    </cfRule>
  </conditionalFormatting>
  <conditionalFormatting sqref="B1923:E1923">
    <cfRule type="containsText" dxfId="1695" priority="1894" operator="containsText" text="m2">
      <formula>NOT(ISERROR(SEARCH("m2",B1923)))</formula>
    </cfRule>
  </conditionalFormatting>
  <conditionalFormatting sqref="F1923">
    <cfRule type="containsText" dxfId="1694" priority="1893" operator="containsText" text="TOTAL">
      <formula>NOT(ISERROR(SEARCH("TOTAL",F1923)))</formula>
    </cfRule>
  </conditionalFormatting>
  <conditionalFormatting sqref="D867:E867">
    <cfRule type="containsText" dxfId="1693" priority="1892" operator="containsText" text="m2">
      <formula>NOT(ISERROR(SEARCH("m2",D867)))</formula>
    </cfRule>
  </conditionalFormatting>
  <conditionalFormatting sqref="C1246:E1246">
    <cfRule type="containsText" dxfId="1692" priority="1891" operator="containsText" text="m2">
      <formula>NOT(ISERROR(SEARCH("m2",C1246)))</formula>
    </cfRule>
  </conditionalFormatting>
  <conditionalFormatting sqref="B82:B85">
    <cfRule type="containsText" dxfId="1691" priority="1888" operator="containsText" text="m2">
      <formula>NOT(ISERROR(SEARCH("m2",B82)))</formula>
    </cfRule>
  </conditionalFormatting>
  <conditionalFormatting sqref="B114">
    <cfRule type="containsText" dxfId="1690" priority="1885" operator="containsText" text="m2">
      <formula>NOT(ISERROR(SEARCH("m2",B114)))</formula>
    </cfRule>
  </conditionalFormatting>
  <conditionalFormatting sqref="B86">
    <cfRule type="containsText" dxfId="1689" priority="1886" operator="containsText" text="m2">
      <formula>NOT(ISERROR(SEARCH("m2",B86)))</formula>
    </cfRule>
  </conditionalFormatting>
  <conditionalFormatting sqref="B117">
    <cfRule type="containsText" dxfId="1688" priority="1881" operator="containsText" text="m2">
      <formula>NOT(ISERROR(SEARCH("m2",B117)))</formula>
    </cfRule>
  </conditionalFormatting>
  <conditionalFormatting sqref="B116">
    <cfRule type="containsText" dxfId="1687" priority="1882" operator="containsText" text="m2">
      <formula>NOT(ISERROR(SEARCH("m2",B116)))</formula>
    </cfRule>
  </conditionalFormatting>
  <conditionalFormatting sqref="B113">
    <cfRule type="containsText" dxfId="1686" priority="1884" operator="containsText" text="m2">
      <formula>NOT(ISERROR(SEARCH("m2",B113)))</formula>
    </cfRule>
  </conditionalFormatting>
  <conditionalFormatting sqref="B115">
    <cfRule type="containsText" dxfId="1685" priority="1883" operator="containsText" text="m2">
      <formula>NOT(ISERROR(SEARCH("m2",B115)))</formula>
    </cfRule>
  </conditionalFormatting>
  <conditionalFormatting sqref="B118">
    <cfRule type="containsText" dxfId="1684" priority="1880" operator="containsText" text="m2">
      <formula>NOT(ISERROR(SEARCH("m2",B118)))</formula>
    </cfRule>
  </conditionalFormatting>
  <conditionalFormatting sqref="B59">
    <cfRule type="containsText" dxfId="1683" priority="1876" operator="containsText" text="m2">
      <formula>NOT(ISERROR(SEARCH("m2",B59)))</formula>
    </cfRule>
  </conditionalFormatting>
  <conditionalFormatting sqref="B106">
    <cfRule type="containsText" dxfId="1682" priority="1853" operator="containsText" text="m2">
      <formula>NOT(ISERROR(SEARCH("m2",B106)))</formula>
    </cfRule>
  </conditionalFormatting>
  <conditionalFormatting sqref="B270">
    <cfRule type="containsText" dxfId="1681" priority="1847" operator="containsText" text="m2">
      <formula>NOT(ISERROR(SEARCH("m2",B270)))</formula>
    </cfRule>
  </conditionalFormatting>
  <conditionalFormatting sqref="B105">
    <cfRule type="containsText" dxfId="1680" priority="1865" operator="containsText" text="m2">
      <formula>NOT(ISERROR(SEARCH("m2",B105)))</formula>
    </cfRule>
  </conditionalFormatting>
  <conditionalFormatting sqref="B274 B276">
    <cfRule type="containsText" dxfId="1679" priority="1846" operator="containsText" text="m2">
      <formula>NOT(ISERROR(SEARCH("m2",B274)))</formula>
    </cfRule>
  </conditionalFormatting>
  <conditionalFormatting sqref="F559:F561">
    <cfRule type="containsText" dxfId="1678" priority="1845" operator="containsText" text="TOTAL">
      <formula>NOT(ISERROR(SEARCH("TOTAL",F559)))</formula>
    </cfRule>
  </conditionalFormatting>
  <conditionalFormatting sqref="F474">
    <cfRule type="containsText" dxfId="1677" priority="1842" operator="containsText" text="TOTAL">
      <formula>NOT(ISERROR(SEARCH("TOTAL",F474)))</formula>
    </cfRule>
  </conditionalFormatting>
  <conditionalFormatting sqref="B474">
    <cfRule type="containsText" dxfId="1676" priority="1843" operator="containsText" text="m2">
      <formula>NOT(ISERROR(SEARCH("m2",B474)))</formula>
    </cfRule>
  </conditionalFormatting>
  <conditionalFormatting sqref="D477">
    <cfRule type="containsText" dxfId="1675" priority="1840" operator="containsText" text="m2">
      <formula>NOT(ISERROR(SEARCH("m2",D477)))</formula>
    </cfRule>
  </conditionalFormatting>
  <conditionalFormatting sqref="F481">
    <cfRule type="containsText" dxfId="1674" priority="1838" operator="containsText" text="TOTAL">
      <formula>NOT(ISERROR(SEARCH("TOTAL",F481)))</formula>
    </cfRule>
  </conditionalFormatting>
  <conditionalFormatting sqref="B481">
    <cfRule type="containsText" dxfId="1673" priority="1839" operator="containsText" text="m2">
      <formula>NOT(ISERROR(SEARCH("m2",B481)))</formula>
    </cfRule>
  </conditionalFormatting>
  <conditionalFormatting sqref="B277">
    <cfRule type="containsText" dxfId="1672" priority="1837" operator="containsText" text="m2">
      <formula>NOT(ISERROR(SEARCH("m2",B277)))</formula>
    </cfRule>
  </conditionalFormatting>
  <conditionalFormatting sqref="F562:F563">
    <cfRule type="containsText" dxfId="1671" priority="1836" operator="containsText" text="TOTAL">
      <formula>NOT(ISERROR(SEARCH("TOTAL",F562)))</formula>
    </cfRule>
  </conditionalFormatting>
  <conditionalFormatting sqref="C372:D372">
    <cfRule type="containsText" dxfId="1670" priority="1835" operator="containsText" text="m2">
      <formula>NOT(ISERROR(SEARCH("m2",C372)))</formula>
    </cfRule>
  </conditionalFormatting>
  <conditionalFormatting sqref="F195">
    <cfRule type="containsText" dxfId="1669" priority="1834" operator="containsText" text="TOTAL">
      <formula>NOT(ISERROR(SEARCH("TOTAL",F195)))</formula>
    </cfRule>
  </conditionalFormatting>
  <conditionalFormatting sqref="B195">
    <cfRule type="containsText" dxfId="1668" priority="1833" operator="containsText" text="m2">
      <formula>NOT(ISERROR(SEARCH("m2",B195)))</formula>
    </cfRule>
  </conditionalFormatting>
  <conditionalFormatting sqref="D194">
    <cfRule type="containsText" dxfId="1667" priority="1832" operator="containsText" text="m2">
      <formula>NOT(ISERROR(SEARCH("m2",D194)))</formula>
    </cfRule>
  </conditionalFormatting>
  <conditionalFormatting sqref="B564:B569">
    <cfRule type="containsText" dxfId="1666" priority="1831" operator="containsText" text="m2">
      <formula>NOT(ISERROR(SEARCH("m2",B564)))</formula>
    </cfRule>
  </conditionalFormatting>
  <conditionalFormatting sqref="F564:F565">
    <cfRule type="containsText" dxfId="1665" priority="1830" operator="containsText" text="TOTAL">
      <formula>NOT(ISERROR(SEARCH("TOTAL",F564)))</formula>
    </cfRule>
  </conditionalFormatting>
  <conditionalFormatting sqref="D1705:E1705">
    <cfRule type="containsText" dxfId="1664" priority="1829" operator="containsText" text="m2">
      <formula>NOT(ISERROR(SEARCH("m2",D1705)))</formula>
    </cfRule>
  </conditionalFormatting>
  <conditionalFormatting sqref="F1705">
    <cfRule type="containsText" dxfId="1663" priority="1828" operator="containsText" text="TOTAL">
      <formula>NOT(ISERROR(SEARCH("TOTAL",F1705)))</formula>
    </cfRule>
  </conditionalFormatting>
  <conditionalFormatting sqref="F669">
    <cfRule type="containsText" dxfId="1662" priority="1827" operator="containsText" text="TOTAL">
      <formula>NOT(ISERROR(SEARCH("TOTAL",F669)))</formula>
    </cfRule>
  </conditionalFormatting>
  <conditionalFormatting sqref="B1706:C1706">
    <cfRule type="containsText" dxfId="1661" priority="1826" operator="containsText" text="m2">
      <formula>NOT(ISERROR(SEARCH("m2",B1706)))</formula>
    </cfRule>
  </conditionalFormatting>
  <conditionalFormatting sqref="D1706:E1706">
    <cfRule type="containsText" dxfId="1660" priority="1825" operator="containsText" text="m2">
      <formula>NOT(ISERROR(SEARCH("m2",D1706)))</formula>
    </cfRule>
  </conditionalFormatting>
  <conditionalFormatting sqref="F1706">
    <cfRule type="containsText" dxfId="1659" priority="1824" operator="containsText" text="TOTAL">
      <formula>NOT(ISERROR(SEARCH("TOTAL",F1706)))</formula>
    </cfRule>
  </conditionalFormatting>
  <conditionalFormatting sqref="D478">
    <cfRule type="containsText" dxfId="1658" priority="1823" operator="containsText" text="m2">
      <formula>NOT(ISERROR(SEARCH("m2",D478)))</formula>
    </cfRule>
  </conditionalFormatting>
  <conditionalFormatting sqref="B108:B109">
    <cfRule type="containsText" dxfId="1657" priority="1822" operator="containsText" text="m2">
      <formula>NOT(ISERROR(SEARCH("m2",B108)))</formula>
    </cfRule>
  </conditionalFormatting>
  <conditionalFormatting sqref="B201:B203">
    <cfRule type="containsText" dxfId="1656" priority="1821" operator="containsText" text="m2">
      <formula>NOT(ISERROR(SEARCH("m2",B201)))</formula>
    </cfRule>
  </conditionalFormatting>
  <conditionalFormatting sqref="B275">
    <cfRule type="containsText" dxfId="1655" priority="1820" operator="containsText" text="m2">
      <formula>NOT(ISERROR(SEARCH("m2",B275)))</formula>
    </cfRule>
  </conditionalFormatting>
  <conditionalFormatting sqref="B479:B480">
    <cfRule type="containsText" dxfId="1654" priority="1819" operator="containsText" text="m2">
      <formula>NOT(ISERROR(SEARCH("m2",B479)))</formula>
    </cfRule>
  </conditionalFormatting>
  <conditionalFormatting sqref="D479">
    <cfRule type="containsText" dxfId="1653" priority="1818" operator="containsText" text="m2">
      <formula>NOT(ISERROR(SEARCH("m2",D479)))</formula>
    </cfRule>
  </conditionalFormatting>
  <conditionalFormatting sqref="D480">
    <cfRule type="containsText" dxfId="1652" priority="1817" operator="containsText" text="m2">
      <formula>NOT(ISERROR(SEARCH("m2",D480)))</formula>
    </cfRule>
  </conditionalFormatting>
  <conditionalFormatting sqref="F566">
    <cfRule type="containsText" dxfId="1651" priority="1816" operator="containsText" text="TOTAL">
      <formula>NOT(ISERROR(SEARCH("TOTAL",F566)))</formula>
    </cfRule>
  </conditionalFormatting>
  <conditionalFormatting sqref="F567">
    <cfRule type="containsText" dxfId="1650" priority="1815" operator="containsText" text="TOTAL">
      <formula>NOT(ISERROR(SEARCH("TOTAL",F567)))</formula>
    </cfRule>
  </conditionalFormatting>
  <conditionalFormatting sqref="F568">
    <cfRule type="containsText" dxfId="1649" priority="1814" operator="containsText" text="TOTAL">
      <formula>NOT(ISERROR(SEARCH("TOTAL",F568)))</formula>
    </cfRule>
  </conditionalFormatting>
  <conditionalFormatting sqref="F569">
    <cfRule type="containsText" dxfId="1648" priority="1813" operator="containsText" text="TOTAL">
      <formula>NOT(ISERROR(SEARCH("TOTAL",F569)))</formula>
    </cfRule>
  </conditionalFormatting>
  <conditionalFormatting sqref="B45:B46">
    <cfRule type="containsText" dxfId="1647" priority="1811" operator="containsText" text="m2">
      <formula>NOT(ISERROR(SEARCH("m2",B45)))</formula>
    </cfRule>
  </conditionalFormatting>
  <conditionalFormatting sqref="B182:B183">
    <cfRule type="containsText" dxfId="1646" priority="1809" operator="containsText" text="m2">
      <formula>NOT(ISERROR(SEARCH("m2",B182)))</formula>
    </cfRule>
  </conditionalFormatting>
  <conditionalFormatting sqref="B263">
    <cfRule type="containsText" dxfId="1645" priority="1808" operator="containsText" text="m2">
      <formula>NOT(ISERROR(SEARCH("m2",B263)))</formula>
    </cfRule>
  </conditionalFormatting>
  <conditionalFormatting sqref="B264">
    <cfRule type="containsText" dxfId="1644" priority="1807" operator="containsText" text="m2">
      <formula>NOT(ISERROR(SEARCH("m2",B264)))</formula>
    </cfRule>
  </conditionalFormatting>
  <conditionalFormatting sqref="B158:B159">
    <cfRule type="containsText" dxfId="1643" priority="1805" operator="containsText" text="m2">
      <formula>NOT(ISERROR(SEARCH("m2",B158)))</formula>
    </cfRule>
  </conditionalFormatting>
  <conditionalFormatting sqref="B272">
    <cfRule type="containsText" dxfId="1642" priority="1804" operator="containsText" text="m2">
      <formula>NOT(ISERROR(SEARCH("m2",B272)))</formula>
    </cfRule>
  </conditionalFormatting>
  <conditionalFormatting sqref="B362:C362">
    <cfRule type="containsText" dxfId="1641" priority="1803" operator="containsText" text="m2">
      <formula>NOT(ISERROR(SEARCH("m2",B362)))</formula>
    </cfRule>
  </conditionalFormatting>
  <conditionalFormatting sqref="D2297:E2297">
    <cfRule type="containsText" dxfId="1640" priority="1801" operator="containsText" text="m2">
      <formula>NOT(ISERROR(SEARCH("m2",D2297)))</formula>
    </cfRule>
  </conditionalFormatting>
  <conditionalFormatting sqref="A2297">
    <cfRule type="containsText" dxfId="1639" priority="1798" operator="containsText" text="m2">
      <formula>NOT(ISERROR(SEARCH("m2",A2297)))</formula>
    </cfRule>
  </conditionalFormatting>
  <conditionalFormatting sqref="F2256">
    <cfRule type="containsText" dxfId="1638" priority="1797" operator="containsText" text="m2">
      <formula>NOT(ISERROR(SEARCH("m2",F2256)))</formula>
    </cfRule>
  </conditionalFormatting>
  <conditionalFormatting sqref="F2298">
    <cfRule type="containsText" dxfId="1637" priority="1796" operator="containsText" text="TOTAL">
      <formula>NOT(ISERROR(SEARCH("TOTAL",F2298)))</formula>
    </cfRule>
  </conditionalFormatting>
  <conditionalFormatting sqref="D2298:E2298">
    <cfRule type="containsText" dxfId="1636" priority="1795" operator="containsText" text="TOTAL">
      <formula>NOT(ISERROR(SEARCH("TOTAL",D2298)))</formula>
    </cfRule>
  </conditionalFormatting>
  <conditionalFormatting sqref="B2298">
    <cfRule type="containsText" dxfId="1635" priority="1794" operator="containsText" text="m2">
      <formula>NOT(ISERROR(SEARCH("m2",B2298)))</formula>
    </cfRule>
  </conditionalFormatting>
  <conditionalFormatting sqref="F2299">
    <cfRule type="containsText" dxfId="1634" priority="1793" operator="containsText" text="TOTAL">
      <formula>NOT(ISERROR(SEARCH("TOTAL",F2299)))</formula>
    </cfRule>
  </conditionalFormatting>
  <conditionalFormatting sqref="B2299:E2299">
    <cfRule type="containsText" dxfId="1633" priority="1792" operator="containsText" text="m2">
      <formula>NOT(ISERROR(SEARCH("m2",B2299)))</formula>
    </cfRule>
  </conditionalFormatting>
  <conditionalFormatting sqref="B28">
    <cfRule type="containsText" dxfId="1632" priority="1791" operator="containsText" text="m2">
      <formula>NOT(ISERROR(SEARCH("m2",B28)))</formula>
    </cfRule>
  </conditionalFormatting>
  <conditionalFormatting sqref="B358">
    <cfRule type="containsText" dxfId="1631" priority="1789" operator="containsText" text="m2">
      <formula>NOT(ISERROR(SEARCH("m2",B358)))</formula>
    </cfRule>
  </conditionalFormatting>
  <conditionalFormatting sqref="B317">
    <cfRule type="containsText" dxfId="1630" priority="1788" operator="containsText" text="m2">
      <formula>NOT(ISERROR(SEARCH("m2",B317)))</formula>
    </cfRule>
  </conditionalFormatting>
  <conditionalFormatting sqref="B399">
    <cfRule type="containsText" dxfId="1629" priority="1785" operator="containsText" text="m2">
      <formula>NOT(ISERROR(SEARCH("m2",B399)))</formula>
    </cfRule>
  </conditionalFormatting>
  <conditionalFormatting sqref="D374">
    <cfRule type="containsText" dxfId="1628" priority="1786" operator="containsText" text="m2">
      <formula>NOT(ISERROR(SEARCH("m2",D374)))</formula>
    </cfRule>
  </conditionalFormatting>
  <conditionalFormatting sqref="F680">
    <cfRule type="containsText" dxfId="1627" priority="1784" operator="containsText" text="TOTAL">
      <formula>NOT(ISERROR(SEARCH("TOTAL",F680)))</formula>
    </cfRule>
  </conditionalFormatting>
  <conditionalFormatting sqref="B110">
    <cfRule type="containsText" dxfId="1626" priority="1777" operator="containsText" text="m2">
      <formula>NOT(ISERROR(SEARCH("m2",B110)))</formula>
    </cfRule>
  </conditionalFormatting>
  <conditionalFormatting sqref="B122">
    <cfRule type="containsText" dxfId="1625" priority="1775" operator="containsText" text="m2">
      <formula>NOT(ISERROR(SEARCH("m2",B122)))</formula>
    </cfRule>
  </conditionalFormatting>
  <conditionalFormatting sqref="B134">
    <cfRule type="containsText" dxfId="1624" priority="1773" operator="containsText" text="m2">
      <formula>NOT(ISERROR(SEARCH("m2",B134)))</formula>
    </cfRule>
  </conditionalFormatting>
  <conditionalFormatting sqref="B20">
    <cfRule type="containsText" dxfId="1623" priority="1772" operator="containsText" text="m2">
      <formula>NOT(ISERROR(SEARCH("m2",B20)))</formula>
    </cfRule>
  </conditionalFormatting>
  <conditionalFormatting sqref="B27">
    <cfRule type="containsText" dxfId="1622" priority="1771" operator="containsText" text="m2">
      <formula>NOT(ISERROR(SEARCH("m2",B27)))</formula>
    </cfRule>
  </conditionalFormatting>
  <conditionalFormatting sqref="B18">
    <cfRule type="containsText" dxfId="1621" priority="1768" operator="containsText" text="m2">
      <formula>NOT(ISERROR(SEARCH("m2",B18)))</formula>
    </cfRule>
  </conditionalFormatting>
  <conditionalFormatting sqref="B38">
    <cfRule type="containsText" dxfId="1620" priority="1770" operator="containsText" text="m2">
      <formula>NOT(ISERROR(SEARCH("m2",B38)))</formula>
    </cfRule>
  </conditionalFormatting>
  <conditionalFormatting sqref="B49">
    <cfRule type="containsText" dxfId="1619" priority="1767" operator="containsText" text="m2">
      <formula>NOT(ISERROR(SEARCH("m2",B49)))</formula>
    </cfRule>
  </conditionalFormatting>
  <conditionalFormatting sqref="B21">
    <cfRule type="containsText" dxfId="1618" priority="1769" operator="containsText" text="m2">
      <formula>NOT(ISERROR(SEARCH("m2",B21)))</formula>
    </cfRule>
  </conditionalFormatting>
  <conditionalFormatting sqref="B44">
    <cfRule type="containsText" dxfId="1617" priority="1766" operator="containsText" text="m2">
      <formula>NOT(ISERROR(SEARCH("m2",B44)))</formula>
    </cfRule>
  </conditionalFormatting>
  <conditionalFormatting sqref="B48">
    <cfRule type="containsText" dxfId="1616" priority="1765" operator="containsText" text="m2">
      <formula>NOT(ISERROR(SEARCH("m2",B48)))</formula>
    </cfRule>
  </conditionalFormatting>
  <conditionalFormatting sqref="B53">
    <cfRule type="containsText" dxfId="1615" priority="1764" operator="containsText" text="m2">
      <formula>NOT(ISERROR(SEARCH("m2",B53)))</formula>
    </cfRule>
  </conditionalFormatting>
  <conditionalFormatting sqref="B56">
    <cfRule type="containsText" dxfId="1614" priority="1763" operator="containsText" text="m2">
      <formula>NOT(ISERROR(SEARCH("m2",B56)))</formula>
    </cfRule>
  </conditionalFormatting>
  <conditionalFormatting sqref="B60">
    <cfRule type="containsText" dxfId="1613" priority="1762" operator="containsText" text="m2">
      <formula>NOT(ISERROR(SEARCH("m2",B60)))</formula>
    </cfRule>
  </conditionalFormatting>
  <conditionalFormatting sqref="B61">
    <cfRule type="containsText" dxfId="1612" priority="1760" operator="containsText" text="m2">
      <formula>NOT(ISERROR(SEARCH("m2",B61)))</formula>
    </cfRule>
  </conditionalFormatting>
  <conditionalFormatting sqref="B65">
    <cfRule type="containsText" dxfId="1611" priority="1759" operator="containsText" text="m2">
      <formula>NOT(ISERROR(SEARCH("m2",B65)))</formula>
    </cfRule>
  </conditionalFormatting>
  <conditionalFormatting sqref="B81">
    <cfRule type="containsText" dxfId="1610" priority="1758" operator="containsText" text="m2">
      <formula>NOT(ISERROR(SEARCH("m2",B81)))</formula>
    </cfRule>
  </conditionalFormatting>
  <conditionalFormatting sqref="B87">
    <cfRule type="containsText" dxfId="1609" priority="1757" operator="containsText" text="m2">
      <formula>NOT(ISERROR(SEARCH("m2",B87)))</formula>
    </cfRule>
  </conditionalFormatting>
  <conditionalFormatting sqref="B93">
    <cfRule type="containsText" dxfId="1608" priority="1756" operator="containsText" text="m2">
      <formula>NOT(ISERROR(SEARCH("m2",B93)))</formula>
    </cfRule>
  </conditionalFormatting>
  <conditionalFormatting sqref="B151">
    <cfRule type="containsText" dxfId="1607" priority="1755" operator="containsText" text="m2">
      <formula>NOT(ISERROR(SEARCH("m2",B151)))</formula>
    </cfRule>
  </conditionalFormatting>
  <conditionalFormatting sqref="B204">
    <cfRule type="containsText" dxfId="1606" priority="1754" operator="containsText" text="m2">
      <formula>NOT(ISERROR(SEARCH("m2",B204)))</formula>
    </cfRule>
  </conditionalFormatting>
  <conditionalFormatting sqref="B257">
    <cfRule type="containsText" dxfId="1605" priority="1753" operator="containsText" text="m2">
      <formula>NOT(ISERROR(SEARCH("m2",B257)))</formula>
    </cfRule>
  </conditionalFormatting>
  <conditionalFormatting sqref="B261">
    <cfRule type="containsText" dxfId="1604" priority="1752" operator="containsText" text="m2">
      <formula>NOT(ISERROR(SEARCH("m2",B261)))</formula>
    </cfRule>
  </conditionalFormatting>
  <conditionalFormatting sqref="B283">
    <cfRule type="containsText" dxfId="1603" priority="1751" operator="containsText" text="m2">
      <formula>NOT(ISERROR(SEARCH("m2",B283)))</formula>
    </cfRule>
  </conditionalFormatting>
  <conditionalFormatting sqref="B295">
    <cfRule type="containsText" dxfId="1602" priority="1750" operator="containsText" text="m2">
      <formula>NOT(ISERROR(SEARCH("m2",B295)))</formula>
    </cfRule>
  </conditionalFormatting>
  <conditionalFormatting sqref="B310">
    <cfRule type="containsText" dxfId="1601" priority="1749" operator="containsText" text="m2">
      <formula>NOT(ISERROR(SEARCH("m2",B310)))</formula>
    </cfRule>
  </conditionalFormatting>
  <conditionalFormatting sqref="B373">
    <cfRule type="containsText" dxfId="1600" priority="1744" operator="containsText" text="m2">
      <formula>NOT(ISERROR(SEARCH("m2",B373)))</formula>
    </cfRule>
  </conditionalFormatting>
  <conditionalFormatting sqref="D192">
    <cfRule type="containsText" dxfId="1599" priority="1739" operator="containsText" text="m2">
      <formula>NOT(ISERROR(SEARCH("m2",D192)))</formula>
    </cfRule>
  </conditionalFormatting>
  <conditionalFormatting sqref="B363">
    <cfRule type="containsText" dxfId="1598" priority="1746" operator="containsText" text="m2">
      <formula>NOT(ISERROR(SEARCH("m2",B363)))</formula>
    </cfRule>
  </conditionalFormatting>
  <conditionalFormatting sqref="B361">
    <cfRule type="containsText" dxfId="1597" priority="1745" operator="containsText" text="m2">
      <formula>NOT(ISERROR(SEARCH("m2",B361)))</formula>
    </cfRule>
  </conditionalFormatting>
  <conditionalFormatting sqref="B375">
    <cfRule type="containsText" dxfId="1596" priority="1742" operator="containsText" text="m2">
      <formula>NOT(ISERROR(SEARCH("m2",B375)))</formula>
    </cfRule>
  </conditionalFormatting>
  <conditionalFormatting sqref="B369">
    <cfRule type="containsText" dxfId="1595" priority="1743" operator="containsText" text="m2">
      <formula>NOT(ISERROR(SEARCH("m2",B369)))</formula>
    </cfRule>
  </conditionalFormatting>
  <conditionalFormatting sqref="B191">
    <cfRule type="containsText" dxfId="1594" priority="1740" operator="containsText" text="m2">
      <formula>NOT(ISERROR(SEARCH("m2",B191)))</formula>
    </cfRule>
  </conditionalFormatting>
  <conditionalFormatting sqref="B390">
    <cfRule type="containsText" dxfId="1593" priority="1741" operator="containsText" text="m2">
      <formula>NOT(ISERROR(SEARCH("m2",B390)))</formula>
    </cfRule>
  </conditionalFormatting>
  <conditionalFormatting sqref="B193">
    <cfRule type="containsText" dxfId="1592" priority="1738" operator="containsText" text="m2">
      <formula>NOT(ISERROR(SEARCH("m2",B193)))</formula>
    </cfRule>
  </conditionalFormatting>
  <conditionalFormatting sqref="B527">
    <cfRule type="containsText" dxfId="1591" priority="1733" operator="containsText" text="m2">
      <formula>NOT(ISERROR(SEARCH("m2",B527)))</formula>
    </cfRule>
  </conditionalFormatting>
  <conditionalFormatting sqref="B409">
    <cfRule type="containsText" dxfId="1590" priority="1736" operator="containsText" text="m2">
      <formula>NOT(ISERROR(SEARCH("m2",B409)))</formula>
    </cfRule>
  </conditionalFormatting>
  <conditionalFormatting sqref="B444">
    <cfRule type="containsText" dxfId="1589" priority="1735" operator="containsText" text="m2">
      <formula>NOT(ISERROR(SEARCH("m2",B444)))</formula>
    </cfRule>
  </conditionalFormatting>
  <conditionalFormatting sqref="B484:B485">
    <cfRule type="containsText" dxfId="1588" priority="1734" operator="containsText" text="m2">
      <formula>NOT(ISERROR(SEARCH("m2",B484)))</formula>
    </cfRule>
  </conditionalFormatting>
  <conditionalFormatting sqref="B591">
    <cfRule type="containsText" dxfId="1587" priority="1729" operator="containsText" text="m2">
      <formula>NOT(ISERROR(SEARCH("m2",B591)))</formula>
    </cfRule>
  </conditionalFormatting>
  <conditionalFormatting sqref="B570">
    <cfRule type="containsText" dxfId="1586" priority="1732" operator="containsText" text="m2">
      <formula>NOT(ISERROR(SEARCH("m2",B570)))</formula>
    </cfRule>
  </conditionalFormatting>
  <conditionalFormatting sqref="F582">
    <cfRule type="containsText" dxfId="1585" priority="1731" operator="containsText" text="TOTAL">
      <formula>NOT(ISERROR(SEARCH("TOTAL",F582)))</formula>
    </cfRule>
  </conditionalFormatting>
  <conditionalFormatting sqref="B582">
    <cfRule type="containsText" dxfId="1584" priority="1730" operator="containsText" text="m2">
      <formula>NOT(ISERROR(SEARCH("m2",B582)))</formula>
    </cfRule>
  </conditionalFormatting>
  <conditionalFormatting sqref="B614">
    <cfRule type="containsText" dxfId="1583" priority="1728" operator="containsText" text="m2">
      <formula>NOT(ISERROR(SEARCH("m2",B614)))</formula>
    </cfRule>
  </conditionalFormatting>
  <conditionalFormatting sqref="B655">
    <cfRule type="containsText" dxfId="1582" priority="1727" operator="containsText" text="m2">
      <formula>NOT(ISERROR(SEARCH("m2",B655)))</formula>
    </cfRule>
  </conditionalFormatting>
  <conditionalFormatting sqref="B667">
    <cfRule type="containsText" dxfId="1581" priority="1726" operator="containsText" text="m2">
      <formula>NOT(ISERROR(SEARCH("m2",B667)))</formula>
    </cfRule>
  </conditionalFormatting>
  <conditionalFormatting sqref="B678">
    <cfRule type="containsText" dxfId="1580" priority="1725" operator="containsText" text="m2">
      <formula>NOT(ISERROR(SEARCH("m2",B678)))</formula>
    </cfRule>
  </conditionalFormatting>
  <conditionalFormatting sqref="B874:E875 B873 D873:E873 B877:E877">
    <cfRule type="containsText" dxfId="1579" priority="1710" operator="containsText" text="m2">
      <formula>NOT(ISERROR(SEARCH("m2",B873)))</formula>
    </cfRule>
  </conditionalFormatting>
  <conditionalFormatting sqref="B692">
    <cfRule type="containsText" dxfId="1578" priority="1723" operator="containsText" text="m2">
      <formula>NOT(ISERROR(SEARCH("m2",B692)))</formula>
    </cfRule>
  </conditionalFormatting>
  <conditionalFormatting sqref="B806">
    <cfRule type="containsText" dxfId="1577" priority="1722" operator="containsText" text="m2">
      <formula>NOT(ISERROR(SEARCH("m2",B806)))</formula>
    </cfRule>
  </conditionalFormatting>
  <conditionalFormatting sqref="B819">
    <cfRule type="containsText" dxfId="1576" priority="1721" operator="containsText" text="m2">
      <formula>NOT(ISERROR(SEARCH("m2",B819)))</formula>
    </cfRule>
  </conditionalFormatting>
  <conditionalFormatting sqref="F829">
    <cfRule type="containsText" dxfId="1575" priority="1719" operator="containsText" text="TOTAL">
      <formula>NOT(ISERROR(SEARCH("TOTAL",F829)))</formula>
    </cfRule>
  </conditionalFormatting>
  <conditionalFormatting sqref="B829">
    <cfRule type="containsText" dxfId="1574" priority="1720" operator="containsText" text="m2">
      <formula>NOT(ISERROR(SEARCH("m2",B829)))</formula>
    </cfRule>
  </conditionalFormatting>
  <conditionalFormatting sqref="B845">
    <cfRule type="containsText" dxfId="1573" priority="1718" operator="containsText" text="m2">
      <formula>NOT(ISERROR(SEARCH("m2",B845)))</formula>
    </cfRule>
  </conditionalFormatting>
  <conditionalFormatting sqref="F860">
    <cfRule type="containsText" dxfId="1572" priority="1716" operator="containsText" text="TOTAL">
      <formula>NOT(ISERROR(SEARCH("TOTAL",F860)))</formula>
    </cfRule>
  </conditionalFormatting>
  <conditionalFormatting sqref="B860">
    <cfRule type="containsText" dxfId="1571" priority="1717" operator="containsText" text="m2">
      <formula>NOT(ISERROR(SEARCH("m2",B860)))</formula>
    </cfRule>
  </conditionalFormatting>
  <conditionalFormatting sqref="B868">
    <cfRule type="containsText" dxfId="1570" priority="1714" operator="containsText" text="m2">
      <formula>NOT(ISERROR(SEARCH("m2",B868)))</formula>
    </cfRule>
  </conditionalFormatting>
  <conditionalFormatting sqref="B872 B902:E902 B905:E905 B940:E941">
    <cfRule type="containsText" dxfId="1569" priority="1713" operator="containsText" text="m2">
      <formula>NOT(ISERROR(SEARCH("m2",B872)))</formula>
    </cfRule>
  </conditionalFormatting>
  <conditionalFormatting sqref="F884:F886 F888:F891 F870 F872 F905 F941 F902:F903">
    <cfRule type="containsText" dxfId="1568" priority="1712" operator="containsText" text="TOTAL">
      <formula>NOT(ISERROR(SEARCH("TOTAL",F870)))</formula>
    </cfRule>
  </conditionalFormatting>
  <conditionalFormatting sqref="B869 B870:E870 D869:E869">
    <cfRule type="containsText" dxfId="1567" priority="1711" operator="containsText" text="m2">
      <formula>NOT(ISERROR(SEARCH("m2",B869)))</formula>
    </cfRule>
  </conditionalFormatting>
  <conditionalFormatting sqref="F874:F875 F877">
    <cfRule type="containsText" dxfId="1566" priority="1709" operator="containsText" text="TOTAL">
      <formula>NOT(ISERROR(SEARCH("TOTAL",F874)))</formula>
    </cfRule>
  </conditionalFormatting>
  <conditionalFormatting sqref="B879:E882 B878 D878:E878">
    <cfRule type="containsText" dxfId="1565" priority="1708" operator="containsText" text="m2">
      <formula>NOT(ISERROR(SEARCH("m2",B878)))</formula>
    </cfRule>
  </conditionalFormatting>
  <conditionalFormatting sqref="F879:F882">
    <cfRule type="containsText" dxfId="1564" priority="1707" operator="containsText" text="TOTAL">
      <formula>NOT(ISERROR(SEARCH("TOTAL",F879)))</formula>
    </cfRule>
  </conditionalFormatting>
  <conditionalFormatting sqref="B883 B884:E886 D883:E883 B888:E891 B887 D887:E887">
    <cfRule type="containsText" dxfId="1563" priority="1706" operator="containsText" text="m2">
      <formula>NOT(ISERROR(SEARCH("m2",B883)))</formula>
    </cfRule>
  </conditionalFormatting>
  <conditionalFormatting sqref="B893:E893 B892 D892:E892 B896:B897 D897:E897 B901 D901:E901">
    <cfRule type="containsText" dxfId="1562" priority="1705" operator="containsText" text="m2">
      <formula>NOT(ISERROR(SEARCH("m2",B892)))</formula>
    </cfRule>
  </conditionalFormatting>
  <conditionalFormatting sqref="F893 F896">
    <cfRule type="containsText" dxfId="1561" priority="1704" operator="containsText" text="TOTAL">
      <formula>NOT(ISERROR(SEARCH("TOTAL",F893)))</formula>
    </cfRule>
  </conditionalFormatting>
  <conditionalFormatting sqref="B906 D906:E906">
    <cfRule type="containsText" dxfId="1560" priority="1703" operator="containsText" text="m2">
      <formula>NOT(ISERROR(SEARCH("m2",B906)))</formula>
    </cfRule>
  </conditionalFormatting>
  <conditionalFormatting sqref="F932">
    <cfRule type="containsText" dxfId="1559" priority="1693" operator="containsText" text="TOTAL">
      <formula>NOT(ISERROR(SEARCH("TOTAL",F932)))</formula>
    </cfRule>
  </conditionalFormatting>
  <conditionalFormatting sqref="B911 D911:E911">
    <cfRule type="containsText" dxfId="1558" priority="1700" operator="containsText" text="m2">
      <formula>NOT(ISERROR(SEARCH("m2",B911)))</formula>
    </cfRule>
  </conditionalFormatting>
  <conditionalFormatting sqref="B910:E910">
    <cfRule type="containsText" dxfId="1557" priority="1702" operator="containsText" text="m2">
      <formula>NOT(ISERROR(SEARCH("m2",B910)))</formula>
    </cfRule>
  </conditionalFormatting>
  <conditionalFormatting sqref="F910">
    <cfRule type="containsText" dxfId="1556" priority="1701" operator="containsText" text="TOTAL">
      <formula>NOT(ISERROR(SEARCH("TOTAL",F910)))</formula>
    </cfRule>
  </conditionalFormatting>
  <conditionalFormatting sqref="B912:E912">
    <cfRule type="containsText" dxfId="1555" priority="1699" operator="containsText" text="m2">
      <formula>NOT(ISERROR(SEARCH("m2",B912)))</formula>
    </cfRule>
  </conditionalFormatting>
  <conditionalFormatting sqref="F912:F913 F915">
    <cfRule type="containsText" dxfId="1554" priority="1698" operator="containsText" text="TOTAL">
      <formula>NOT(ISERROR(SEARCH("TOTAL",F912)))</formula>
    </cfRule>
  </conditionalFormatting>
  <conditionalFormatting sqref="F934">
    <cfRule type="containsText" dxfId="1553" priority="1692" operator="containsText" text="TOTAL">
      <formula>NOT(ISERROR(SEARCH("TOTAL",F934)))</formula>
    </cfRule>
  </conditionalFormatting>
  <conditionalFormatting sqref="B916:E916">
    <cfRule type="containsText" dxfId="1552" priority="1697" operator="containsText" text="m2">
      <formula>NOT(ISERROR(SEARCH("m2",B916)))</formula>
    </cfRule>
  </conditionalFormatting>
  <conditionalFormatting sqref="F916">
    <cfRule type="containsText" dxfId="1551" priority="1696" operator="containsText" text="TOTAL">
      <formula>NOT(ISERROR(SEARCH("TOTAL",F916)))</formula>
    </cfRule>
  </conditionalFormatting>
  <conditionalFormatting sqref="F939">
    <cfRule type="containsText" dxfId="1550" priority="1691" operator="containsText" text="TOTAL">
      <formula>NOT(ISERROR(SEARCH("TOTAL",F939)))</formula>
    </cfRule>
  </conditionalFormatting>
  <conditionalFormatting sqref="F922">
    <cfRule type="containsText" dxfId="1549" priority="1695" operator="containsText" text="TOTAL">
      <formula>NOT(ISERROR(SEARCH("TOTAL",F922)))</formula>
    </cfRule>
  </conditionalFormatting>
  <conditionalFormatting sqref="F928">
    <cfRule type="containsText" dxfId="1548" priority="1694" operator="containsText" text="TOTAL">
      <formula>NOT(ISERROR(SEARCH("TOTAL",F928)))</formula>
    </cfRule>
  </conditionalFormatting>
  <conditionalFormatting sqref="B894:E894">
    <cfRule type="containsText" dxfId="1547" priority="1679" operator="containsText" text="m2">
      <formula>NOT(ISERROR(SEARCH("m2",B894)))</formula>
    </cfRule>
  </conditionalFormatting>
  <conditionalFormatting sqref="B922 B928 B917:E917 B923:E923">
    <cfRule type="containsText" dxfId="1546" priority="1690" operator="containsText" text="m2">
      <formula>NOT(ISERROR(SEARCH("m2",B917)))</formula>
    </cfRule>
  </conditionalFormatting>
  <conditionalFormatting sqref="B932 B939 B929:E929 B933:E934">
    <cfRule type="containsText" dxfId="1545" priority="1689" operator="containsText" text="m2">
      <formula>NOT(ISERROR(SEARCH("m2",B929)))</formula>
    </cfRule>
  </conditionalFormatting>
  <conditionalFormatting sqref="B900">
    <cfRule type="containsText" dxfId="1544" priority="1686" operator="containsText" text="m2">
      <formula>NOT(ISERROR(SEARCH("m2",B900)))</formula>
    </cfRule>
  </conditionalFormatting>
  <conditionalFormatting sqref="B871:E871">
    <cfRule type="containsText" dxfId="1543" priority="1683" operator="containsText" text="m2">
      <formula>NOT(ISERROR(SEARCH("m2",B871)))</formula>
    </cfRule>
  </conditionalFormatting>
  <conditionalFormatting sqref="F898">
    <cfRule type="containsText" dxfId="1542" priority="1688" operator="containsText" text="TOTAL">
      <formula>NOT(ISERROR(SEARCH("TOTAL",F898)))</formula>
    </cfRule>
  </conditionalFormatting>
  <conditionalFormatting sqref="B898:E898">
    <cfRule type="containsText" dxfId="1541" priority="1687" operator="containsText" text="m2">
      <formula>NOT(ISERROR(SEARCH("m2",B898)))</formula>
    </cfRule>
  </conditionalFormatting>
  <conditionalFormatting sqref="B895:E895">
    <cfRule type="containsText" dxfId="1540" priority="1678" operator="containsText" text="m2">
      <formula>NOT(ISERROR(SEARCH("m2",B895)))</formula>
    </cfRule>
  </conditionalFormatting>
  <conditionalFormatting sqref="F900">
    <cfRule type="containsText" dxfId="1539" priority="1685" operator="containsText" text="TOTAL">
      <formula>NOT(ISERROR(SEARCH("TOTAL",F900)))</formula>
    </cfRule>
  </conditionalFormatting>
  <conditionalFormatting sqref="B876:E876">
    <cfRule type="containsText" dxfId="1538" priority="1682" operator="containsText" text="m2">
      <formula>NOT(ISERROR(SEARCH("m2",B876)))</formula>
    </cfRule>
  </conditionalFormatting>
  <conditionalFormatting sqref="F871">
    <cfRule type="containsText" dxfId="1537" priority="1684" operator="containsText" text="TOTAL">
      <formula>NOT(ISERROR(SEARCH("TOTAL",F871)))</formula>
    </cfRule>
  </conditionalFormatting>
  <conditionalFormatting sqref="B904:E904">
    <cfRule type="containsText" dxfId="1536" priority="1674" operator="containsText" text="m2">
      <formula>NOT(ISERROR(SEARCH("m2",B904)))</formula>
    </cfRule>
  </conditionalFormatting>
  <conditionalFormatting sqref="F876">
    <cfRule type="containsText" dxfId="1535" priority="1681" operator="containsText" text="TOTAL">
      <formula>NOT(ISERROR(SEARCH("TOTAL",F876)))</formula>
    </cfRule>
  </conditionalFormatting>
  <conditionalFormatting sqref="F894">
    <cfRule type="containsText" dxfId="1534" priority="1680" operator="containsText" text="TOTAL">
      <formula>NOT(ISERROR(SEARCH("TOTAL",F894)))</formula>
    </cfRule>
  </conditionalFormatting>
  <conditionalFormatting sqref="B909:E909">
    <cfRule type="containsText" dxfId="1533" priority="1666" operator="containsText" text="m2">
      <formula>NOT(ISERROR(SEARCH("m2",B909)))</formula>
    </cfRule>
  </conditionalFormatting>
  <conditionalFormatting sqref="F895">
    <cfRule type="containsText" dxfId="1532" priority="1677" operator="containsText" text="TOTAL">
      <formula>NOT(ISERROR(SEARCH("TOTAL",F895)))</formula>
    </cfRule>
  </conditionalFormatting>
  <conditionalFormatting sqref="F899">
    <cfRule type="containsText" dxfId="1531" priority="1676" operator="containsText" text="TOTAL">
      <formula>NOT(ISERROR(SEARCH("TOTAL",F899)))</formula>
    </cfRule>
  </conditionalFormatting>
  <conditionalFormatting sqref="B899:E899">
    <cfRule type="containsText" dxfId="1530" priority="1675" operator="containsText" text="m2">
      <formula>NOT(ISERROR(SEARCH("m2",B899)))</formula>
    </cfRule>
  </conditionalFormatting>
  <conditionalFormatting sqref="F904">
    <cfRule type="containsText" dxfId="1529" priority="1673" operator="containsText" text="TOTAL">
      <formula>NOT(ISERROR(SEARCH("TOTAL",F904)))</formula>
    </cfRule>
  </conditionalFormatting>
  <conditionalFormatting sqref="B903:E903">
    <cfRule type="containsText" dxfId="1528" priority="1671" operator="containsText" text="m2">
      <formula>NOT(ISERROR(SEARCH("m2",B903)))</formula>
    </cfRule>
  </conditionalFormatting>
  <conditionalFormatting sqref="B907:E907">
    <cfRule type="containsText" dxfId="1527" priority="1670" operator="containsText" text="m2">
      <formula>NOT(ISERROR(SEARCH("m2",B907)))</formula>
    </cfRule>
  </conditionalFormatting>
  <conditionalFormatting sqref="F907:F908">
    <cfRule type="containsText" dxfId="1526" priority="1669" operator="containsText" text="TOTAL">
      <formula>NOT(ISERROR(SEARCH("TOTAL",F907)))</formula>
    </cfRule>
  </conditionalFormatting>
  <conditionalFormatting sqref="B908:E908">
    <cfRule type="containsText" dxfId="1525" priority="1667" operator="containsText" text="m2">
      <formula>NOT(ISERROR(SEARCH("m2",B908)))</formula>
    </cfRule>
  </conditionalFormatting>
  <conditionalFormatting sqref="B915:E915">
    <cfRule type="containsText" dxfId="1524" priority="1662" operator="containsText" text="m2">
      <formula>NOT(ISERROR(SEARCH("m2",B915)))</formula>
    </cfRule>
  </conditionalFormatting>
  <conditionalFormatting sqref="F909">
    <cfRule type="containsText" dxfId="1523" priority="1665" operator="containsText" text="TOTAL">
      <formula>NOT(ISERROR(SEARCH("TOTAL",F909)))</formula>
    </cfRule>
  </conditionalFormatting>
  <conditionalFormatting sqref="B913:E913">
    <cfRule type="containsText" dxfId="1522" priority="1663" operator="containsText" text="m2">
      <formula>NOT(ISERROR(SEARCH("m2",B913)))</formula>
    </cfRule>
  </conditionalFormatting>
  <conditionalFormatting sqref="B918:E918">
    <cfRule type="containsText" dxfId="1521" priority="1660" operator="containsText" text="m2">
      <formula>NOT(ISERROR(SEARCH("m2",B918)))</formula>
    </cfRule>
  </conditionalFormatting>
  <conditionalFormatting sqref="F918:F919 F921">
    <cfRule type="containsText" dxfId="1520" priority="1659" operator="containsText" text="TOTAL">
      <formula>NOT(ISERROR(SEARCH("TOTAL",F918)))</formula>
    </cfRule>
  </conditionalFormatting>
  <conditionalFormatting sqref="B919:E919">
    <cfRule type="containsText" dxfId="1519" priority="1657" operator="containsText" text="m2">
      <formula>NOT(ISERROR(SEARCH("m2",B919)))</formula>
    </cfRule>
  </conditionalFormatting>
  <conditionalFormatting sqref="B921:E921">
    <cfRule type="containsText" dxfId="1518" priority="1656" operator="containsText" text="m2">
      <formula>NOT(ISERROR(SEARCH("m2",B921)))</formula>
    </cfRule>
  </conditionalFormatting>
  <conditionalFormatting sqref="B927:E927">
    <cfRule type="containsText" dxfId="1517" priority="1648" operator="containsText" text="m2">
      <formula>NOT(ISERROR(SEARCH("m2",B927)))</formula>
    </cfRule>
  </conditionalFormatting>
  <conditionalFormatting sqref="F927">
    <cfRule type="containsText" dxfId="1516" priority="1647" operator="containsText" text="TOTAL">
      <formula>NOT(ISERROR(SEARCH("TOTAL",F927)))</formula>
    </cfRule>
  </conditionalFormatting>
  <conditionalFormatting sqref="F925">
    <cfRule type="containsText" dxfId="1515" priority="1652" operator="containsText" text="TOTAL">
      <formula>NOT(ISERROR(SEARCH("TOTAL",F925)))</formula>
    </cfRule>
  </conditionalFormatting>
  <conditionalFormatting sqref="B925:E925">
    <cfRule type="containsText" dxfId="1514" priority="1651" operator="containsText" text="m2">
      <formula>NOT(ISERROR(SEARCH("m2",B925)))</formula>
    </cfRule>
  </conditionalFormatting>
  <conditionalFormatting sqref="F931">
    <cfRule type="containsText" dxfId="1513" priority="1644" operator="containsText" text="TOTAL">
      <formula>NOT(ISERROR(SEARCH("TOTAL",F931)))</formula>
    </cfRule>
  </conditionalFormatting>
  <conditionalFormatting sqref="B931:E931">
    <cfRule type="containsText" dxfId="1512" priority="1643" operator="containsText" text="m2">
      <formula>NOT(ISERROR(SEARCH("m2",B931)))</formula>
    </cfRule>
  </conditionalFormatting>
  <conditionalFormatting sqref="B924:E924">
    <cfRule type="containsText" dxfId="1511" priority="1654" operator="containsText" text="m2">
      <formula>NOT(ISERROR(SEARCH("m2",B924)))</formula>
    </cfRule>
  </conditionalFormatting>
  <conditionalFormatting sqref="F924">
    <cfRule type="containsText" dxfId="1510" priority="1653" operator="containsText" text="TOTAL">
      <formula>NOT(ISERROR(SEARCH("TOTAL",F924)))</formula>
    </cfRule>
  </conditionalFormatting>
  <conditionalFormatting sqref="F926">
    <cfRule type="containsText" dxfId="1509" priority="1650" operator="containsText" text="TOTAL">
      <formula>NOT(ISERROR(SEARCH("TOTAL",F926)))</formula>
    </cfRule>
  </conditionalFormatting>
  <conditionalFormatting sqref="B926:E926">
    <cfRule type="containsText" dxfId="1508" priority="1649" operator="containsText" text="m2">
      <formula>NOT(ISERROR(SEARCH("m2",B926)))</formula>
    </cfRule>
  </conditionalFormatting>
  <conditionalFormatting sqref="B930:E930">
    <cfRule type="containsText" dxfId="1507" priority="1646" operator="containsText" text="m2">
      <formula>NOT(ISERROR(SEARCH("m2",B930)))</formula>
    </cfRule>
  </conditionalFormatting>
  <conditionalFormatting sqref="F930">
    <cfRule type="containsText" dxfId="1506" priority="1645" operator="containsText" text="TOTAL">
      <formula>NOT(ISERROR(SEARCH("TOTAL",F930)))</formula>
    </cfRule>
  </conditionalFormatting>
  <conditionalFormatting sqref="F935">
    <cfRule type="containsText" dxfId="1505" priority="1642" operator="containsText" text="TOTAL">
      <formula>NOT(ISERROR(SEARCH("TOTAL",F935)))</formula>
    </cfRule>
  </conditionalFormatting>
  <conditionalFormatting sqref="B935:E935">
    <cfRule type="containsText" dxfId="1504" priority="1641" operator="containsText" text="m2">
      <formula>NOT(ISERROR(SEARCH("m2",B935)))</formula>
    </cfRule>
  </conditionalFormatting>
  <conditionalFormatting sqref="F936">
    <cfRule type="containsText" dxfId="1503" priority="1640" operator="containsText" text="TOTAL">
      <formula>NOT(ISERROR(SEARCH("TOTAL",F936)))</formula>
    </cfRule>
  </conditionalFormatting>
  <conditionalFormatting sqref="B936:E936">
    <cfRule type="containsText" dxfId="1502" priority="1639" operator="containsText" text="m2">
      <formula>NOT(ISERROR(SEARCH("m2",B936)))</formula>
    </cfRule>
  </conditionalFormatting>
  <conditionalFormatting sqref="F937">
    <cfRule type="containsText" dxfId="1501" priority="1638" operator="containsText" text="TOTAL">
      <formula>NOT(ISERROR(SEARCH("TOTAL",F937)))</formula>
    </cfRule>
  </conditionalFormatting>
  <conditionalFormatting sqref="B937:E937">
    <cfRule type="containsText" dxfId="1500" priority="1637" operator="containsText" text="m2">
      <formula>NOT(ISERROR(SEARCH("m2",B937)))</formula>
    </cfRule>
  </conditionalFormatting>
  <conditionalFormatting sqref="F938">
    <cfRule type="containsText" dxfId="1499" priority="1636" operator="containsText" text="TOTAL">
      <formula>NOT(ISERROR(SEARCH("TOTAL",F938)))</formula>
    </cfRule>
  </conditionalFormatting>
  <conditionalFormatting sqref="B938:E938">
    <cfRule type="containsText" dxfId="1498" priority="1635" operator="containsText" text="m2">
      <formula>NOT(ISERROR(SEARCH("m2",B938)))</formula>
    </cfRule>
  </conditionalFormatting>
  <conditionalFormatting sqref="B943">
    <cfRule type="containsText" dxfId="1497" priority="1634" operator="containsText" text="m2">
      <formula>NOT(ISERROR(SEARCH("m2",B943)))</formula>
    </cfRule>
  </conditionalFormatting>
  <conditionalFormatting sqref="B1067">
    <cfRule type="containsText" dxfId="1496" priority="1633" operator="containsText" text="m2">
      <formula>NOT(ISERROR(SEARCH("m2",B1067)))</formula>
    </cfRule>
  </conditionalFormatting>
  <conditionalFormatting sqref="B956:E956 B955 D955:E955 B959:E959 B962:E962">
    <cfRule type="containsText" dxfId="1495" priority="1632" operator="containsText" text="m2">
      <formula>NOT(ISERROR(SEARCH("m2",B955)))</formula>
    </cfRule>
  </conditionalFormatting>
  <conditionalFormatting sqref="F956 F959 F962">
    <cfRule type="containsText" dxfId="1494" priority="1631" operator="containsText" text="TOTAL">
      <formula>NOT(ISERROR(SEARCH("TOTAL",F956)))</formula>
    </cfRule>
  </conditionalFormatting>
  <conditionalFormatting sqref="F957">
    <cfRule type="containsText" dxfId="1493" priority="1630" operator="containsText" text="TOTAL">
      <formula>NOT(ISERROR(SEARCH("TOTAL",F957)))</formula>
    </cfRule>
  </conditionalFormatting>
  <conditionalFormatting sqref="B957:E957">
    <cfRule type="containsText" dxfId="1492" priority="1629" operator="containsText" text="m2">
      <formula>NOT(ISERROR(SEARCH("m2",B957)))</formula>
    </cfRule>
  </conditionalFormatting>
  <conditionalFormatting sqref="B960:E960">
    <cfRule type="containsText" dxfId="1491" priority="1628" operator="containsText" text="m2">
      <formula>NOT(ISERROR(SEARCH("m2",B960)))</formula>
    </cfRule>
  </conditionalFormatting>
  <conditionalFormatting sqref="F960">
    <cfRule type="containsText" dxfId="1490" priority="1627" operator="containsText" text="TOTAL">
      <formula>NOT(ISERROR(SEARCH("TOTAL",F960)))</formula>
    </cfRule>
  </conditionalFormatting>
  <conditionalFormatting sqref="F958">
    <cfRule type="containsText" dxfId="1489" priority="1626" operator="containsText" text="TOTAL">
      <formula>NOT(ISERROR(SEARCH("TOTAL",F958)))</formula>
    </cfRule>
  </conditionalFormatting>
  <conditionalFormatting sqref="B958:E958">
    <cfRule type="containsText" dxfId="1488" priority="1625" operator="containsText" text="m2">
      <formula>NOT(ISERROR(SEARCH("m2",B958)))</formula>
    </cfRule>
  </conditionalFormatting>
  <conditionalFormatting sqref="B961:E961">
    <cfRule type="containsText" dxfId="1487" priority="1624" operator="containsText" text="m2">
      <formula>NOT(ISERROR(SEARCH("m2",B961)))</formula>
    </cfRule>
  </conditionalFormatting>
  <conditionalFormatting sqref="F961">
    <cfRule type="containsText" dxfId="1486" priority="1623" operator="containsText" text="TOTAL">
      <formula>NOT(ISERROR(SEARCH("TOTAL",F961)))</formula>
    </cfRule>
  </conditionalFormatting>
  <conditionalFormatting sqref="F964:F965">
    <cfRule type="containsText" dxfId="1485" priority="1622" operator="containsText" text="TOTAL">
      <formula>NOT(ISERROR(SEARCH("TOTAL",F964)))</formula>
    </cfRule>
  </conditionalFormatting>
  <conditionalFormatting sqref="B963 B964:E965 D963:E963">
    <cfRule type="containsText" dxfId="1484" priority="1621" operator="containsText" text="m2">
      <formula>NOT(ISERROR(SEARCH("m2",B963)))</formula>
    </cfRule>
  </conditionalFormatting>
  <conditionalFormatting sqref="B966:E966">
    <cfRule type="containsText" dxfId="1483" priority="1620" operator="containsText" text="m2">
      <formula>NOT(ISERROR(SEARCH("m2",B966)))</formula>
    </cfRule>
  </conditionalFormatting>
  <conditionalFormatting sqref="F966">
    <cfRule type="containsText" dxfId="1482" priority="1619" operator="containsText" text="TOTAL">
      <formula>NOT(ISERROR(SEARCH("TOTAL",F966)))</formula>
    </cfRule>
  </conditionalFormatting>
  <conditionalFormatting sqref="F967">
    <cfRule type="containsText" dxfId="1481" priority="1617" operator="containsText" text="TOTAL">
      <formula>NOT(ISERROR(SEARCH("TOTAL",F967)))</formula>
    </cfRule>
  </conditionalFormatting>
  <conditionalFormatting sqref="B967:E967">
    <cfRule type="containsText" dxfId="1480" priority="1618" operator="containsText" text="m2">
      <formula>NOT(ISERROR(SEARCH("m2",B967)))</formula>
    </cfRule>
  </conditionalFormatting>
  <conditionalFormatting sqref="B969:E971">
    <cfRule type="containsText" dxfId="1479" priority="1616" operator="containsText" text="m2">
      <formula>NOT(ISERROR(SEARCH("m2",B969)))</formula>
    </cfRule>
  </conditionalFormatting>
  <conditionalFormatting sqref="F969:F971">
    <cfRule type="containsText" dxfId="1478" priority="1615" operator="containsText" text="TOTAL">
      <formula>NOT(ISERROR(SEARCH("TOTAL",F969)))</formula>
    </cfRule>
  </conditionalFormatting>
  <conditionalFormatting sqref="B968 D968:E968">
    <cfRule type="containsText" dxfId="1477" priority="1614" operator="containsText" text="m2">
      <formula>NOT(ISERROR(SEARCH("m2",B968)))</formula>
    </cfRule>
  </conditionalFormatting>
  <conditionalFormatting sqref="B973:E975">
    <cfRule type="containsText" dxfId="1476" priority="1613" operator="containsText" text="m2">
      <formula>NOT(ISERROR(SEARCH("m2",B973)))</formula>
    </cfRule>
  </conditionalFormatting>
  <conditionalFormatting sqref="F973:F975">
    <cfRule type="containsText" dxfId="1475" priority="1612" operator="containsText" text="TOTAL">
      <formula>NOT(ISERROR(SEARCH("TOTAL",F973)))</formula>
    </cfRule>
  </conditionalFormatting>
  <conditionalFormatting sqref="B972 D972:E972">
    <cfRule type="containsText" dxfId="1474" priority="1611" operator="containsText" text="m2">
      <formula>NOT(ISERROR(SEARCH("m2",B972)))</formula>
    </cfRule>
  </conditionalFormatting>
  <conditionalFormatting sqref="F978">
    <cfRule type="containsText" dxfId="1473" priority="1603" operator="containsText" text="TOTAL">
      <formula>NOT(ISERROR(SEARCH("TOTAL",F978)))</formula>
    </cfRule>
  </conditionalFormatting>
  <conditionalFormatting sqref="C980:E980">
    <cfRule type="containsText" dxfId="1472" priority="1607" operator="containsText" text="m2">
      <formula>NOT(ISERROR(SEARCH("m2",C980)))</formula>
    </cfRule>
  </conditionalFormatting>
  <conditionalFormatting sqref="B977:E977 B976 D976:E976">
    <cfRule type="containsText" dxfId="1471" priority="1610" operator="containsText" text="m2">
      <formula>NOT(ISERROR(SEARCH("m2",B976)))</formula>
    </cfRule>
  </conditionalFormatting>
  <conditionalFormatting sqref="F977">
    <cfRule type="containsText" dxfId="1470" priority="1609" operator="containsText" text="TOTAL">
      <formula>NOT(ISERROR(SEARCH("TOTAL",F977)))</formula>
    </cfRule>
  </conditionalFormatting>
  <conditionalFormatting sqref="F980">
    <cfRule type="containsText" dxfId="1469" priority="1608" operator="containsText" text="TOTAL">
      <formula>NOT(ISERROR(SEARCH("TOTAL",F980)))</formula>
    </cfRule>
  </conditionalFormatting>
  <conditionalFormatting sqref="B980">
    <cfRule type="containsText" dxfId="1468" priority="1606" operator="containsText" text="m2">
      <formula>NOT(ISERROR(SEARCH("m2",B980)))</formula>
    </cfRule>
  </conditionalFormatting>
  <conditionalFormatting sqref="B981:E981">
    <cfRule type="containsText" dxfId="1467" priority="1605" operator="containsText" text="m2">
      <formula>NOT(ISERROR(SEARCH("m2",B981)))</formula>
    </cfRule>
  </conditionalFormatting>
  <conditionalFormatting sqref="F981">
    <cfRule type="containsText" dxfId="1466" priority="1604" operator="containsText" text="TOTAL">
      <formula>NOT(ISERROR(SEARCH("TOTAL",F981)))</formula>
    </cfRule>
  </conditionalFormatting>
  <conditionalFormatting sqref="B978:E978">
    <cfRule type="containsText" dxfId="1465" priority="1602" operator="containsText" text="m2">
      <formula>NOT(ISERROR(SEARCH("m2",B978)))</formula>
    </cfRule>
  </conditionalFormatting>
  <conditionalFormatting sqref="F979">
    <cfRule type="containsText" dxfId="1464" priority="1601" operator="containsText" text="TOTAL">
      <formula>NOT(ISERROR(SEARCH("TOTAL",F979)))</formula>
    </cfRule>
  </conditionalFormatting>
  <conditionalFormatting sqref="B982 B983:E984 D982:E982">
    <cfRule type="containsText" dxfId="1463" priority="1598" operator="containsText" text="m2">
      <formula>NOT(ISERROR(SEARCH("m2",B982)))</formula>
    </cfRule>
  </conditionalFormatting>
  <conditionalFormatting sqref="B985:E985">
    <cfRule type="containsText" dxfId="1462" priority="1597" operator="containsText" text="m2">
      <formula>NOT(ISERROR(SEARCH("m2",B985)))</formula>
    </cfRule>
  </conditionalFormatting>
  <conditionalFormatting sqref="F985">
    <cfRule type="containsText" dxfId="1461" priority="1596" operator="containsText" text="TOTAL">
      <formula>NOT(ISERROR(SEARCH("TOTAL",F985)))</formula>
    </cfRule>
  </conditionalFormatting>
  <conditionalFormatting sqref="B979:E979">
    <cfRule type="containsText" dxfId="1460" priority="1600" operator="containsText" text="m2">
      <formula>NOT(ISERROR(SEARCH("m2",B979)))</formula>
    </cfRule>
  </conditionalFormatting>
  <conditionalFormatting sqref="F983:F984">
    <cfRule type="containsText" dxfId="1459" priority="1599" operator="containsText" text="TOTAL">
      <formula>NOT(ISERROR(SEARCH("TOTAL",F983)))</formula>
    </cfRule>
  </conditionalFormatting>
  <conditionalFormatting sqref="B986:E986">
    <cfRule type="containsText" dxfId="1458" priority="1595" operator="containsText" text="m2">
      <formula>NOT(ISERROR(SEARCH("m2",B986)))</formula>
    </cfRule>
  </conditionalFormatting>
  <conditionalFormatting sqref="F986">
    <cfRule type="containsText" dxfId="1457" priority="1594" operator="containsText" text="TOTAL">
      <formula>NOT(ISERROR(SEARCH("TOTAL",F986)))</formula>
    </cfRule>
  </conditionalFormatting>
  <conditionalFormatting sqref="B1006:E1006">
    <cfRule type="containsText" dxfId="1456" priority="1593" operator="containsText" text="m2">
      <formula>NOT(ISERROR(SEARCH("m2",B1006)))</formula>
    </cfRule>
  </conditionalFormatting>
  <conditionalFormatting sqref="F1006">
    <cfRule type="containsText" dxfId="1455" priority="1592" operator="containsText" text="TOTAL">
      <formula>NOT(ISERROR(SEARCH("TOTAL",F1006)))</formula>
    </cfRule>
  </conditionalFormatting>
  <conditionalFormatting sqref="B1025:E1025 B1024 D1024:E1024">
    <cfRule type="containsText" dxfId="1454" priority="1591" operator="containsText" text="m2">
      <formula>NOT(ISERROR(SEARCH("m2",B1024)))</formula>
    </cfRule>
  </conditionalFormatting>
  <conditionalFormatting sqref="F1025">
    <cfRule type="containsText" dxfId="1453" priority="1590" operator="containsText" text="TOTAL">
      <formula>NOT(ISERROR(SEARCH("TOTAL",F1025)))</formula>
    </cfRule>
  </conditionalFormatting>
  <conditionalFormatting sqref="F1026">
    <cfRule type="containsText" dxfId="1452" priority="1589" operator="containsText" text="TOTAL">
      <formula>NOT(ISERROR(SEARCH("TOTAL",F1026)))</formula>
    </cfRule>
  </conditionalFormatting>
  <conditionalFormatting sqref="C1026:E1026">
    <cfRule type="containsText" dxfId="1451" priority="1588" operator="containsText" text="m2">
      <formula>NOT(ISERROR(SEARCH("m2",C1026)))</formula>
    </cfRule>
  </conditionalFormatting>
  <conditionalFormatting sqref="B1026">
    <cfRule type="containsText" dxfId="1450" priority="1587" operator="containsText" text="m2">
      <formula>NOT(ISERROR(SEARCH("m2",B1026)))</formula>
    </cfRule>
  </conditionalFormatting>
  <conditionalFormatting sqref="F1000">
    <cfRule type="containsText" dxfId="1449" priority="1573" operator="containsText" text="TOTAL">
      <formula>NOT(ISERROR(SEARCH("TOTAL",F1000)))</formula>
    </cfRule>
  </conditionalFormatting>
  <conditionalFormatting sqref="B1027:E1027">
    <cfRule type="containsText" dxfId="1448" priority="1586" operator="containsText" text="m2">
      <formula>NOT(ISERROR(SEARCH("m2",B1027)))</formula>
    </cfRule>
  </conditionalFormatting>
  <conditionalFormatting sqref="F1027">
    <cfRule type="containsText" dxfId="1447" priority="1585" operator="containsText" text="TOTAL">
      <formula>NOT(ISERROR(SEARCH("TOTAL",F1027)))</formula>
    </cfRule>
  </conditionalFormatting>
  <conditionalFormatting sqref="B989:E989">
    <cfRule type="containsText" dxfId="1446" priority="1576" operator="containsText" text="m2">
      <formula>NOT(ISERROR(SEARCH("m2",B989)))</formula>
    </cfRule>
  </conditionalFormatting>
  <conditionalFormatting sqref="C995:E995">
    <cfRule type="containsText" dxfId="1445" priority="1563" operator="containsText" text="m2">
      <formula>NOT(ISERROR(SEARCH("m2",C995)))</formula>
    </cfRule>
  </conditionalFormatting>
  <conditionalFormatting sqref="F994">
    <cfRule type="containsText" dxfId="1444" priority="1559" operator="containsText" text="TOTAL">
      <formula>NOT(ISERROR(SEARCH("TOTAL",F994)))</formula>
    </cfRule>
  </conditionalFormatting>
  <conditionalFormatting sqref="F989">
    <cfRule type="containsText" dxfId="1443" priority="1577" operator="containsText" text="TOTAL">
      <formula>NOT(ISERROR(SEARCH("TOTAL",F989)))</formula>
    </cfRule>
  </conditionalFormatting>
  <conditionalFormatting sqref="B988:E988 B987 D987:E987">
    <cfRule type="containsText" dxfId="1442" priority="1584" operator="containsText" text="m2">
      <formula>NOT(ISERROR(SEARCH("m2",B987)))</formula>
    </cfRule>
  </conditionalFormatting>
  <conditionalFormatting sqref="F988">
    <cfRule type="containsText" dxfId="1441" priority="1583" operator="containsText" text="TOTAL">
      <formula>NOT(ISERROR(SEARCH("TOTAL",F988)))</formula>
    </cfRule>
  </conditionalFormatting>
  <conditionalFormatting sqref="F990">
    <cfRule type="containsText" dxfId="1440" priority="1582" operator="containsText" text="TOTAL">
      <formula>NOT(ISERROR(SEARCH("TOTAL",F990)))</formula>
    </cfRule>
  </conditionalFormatting>
  <conditionalFormatting sqref="C990:E990">
    <cfRule type="containsText" dxfId="1439" priority="1581" operator="containsText" text="m2">
      <formula>NOT(ISERROR(SEARCH("m2",C990)))</formula>
    </cfRule>
  </conditionalFormatting>
  <conditionalFormatting sqref="B990">
    <cfRule type="containsText" dxfId="1438" priority="1580" operator="containsText" text="m2">
      <formula>NOT(ISERROR(SEARCH("m2",B990)))</formula>
    </cfRule>
  </conditionalFormatting>
  <conditionalFormatting sqref="B991:E991">
    <cfRule type="containsText" dxfId="1437" priority="1579" operator="containsText" text="m2">
      <formula>NOT(ISERROR(SEARCH("m2",B991)))</formula>
    </cfRule>
  </conditionalFormatting>
  <conditionalFormatting sqref="F991">
    <cfRule type="containsText" dxfId="1436" priority="1578" operator="containsText" text="TOTAL">
      <formula>NOT(ISERROR(SEARCH("TOTAL",F991)))</formula>
    </cfRule>
  </conditionalFormatting>
  <conditionalFormatting sqref="F999">
    <cfRule type="containsText" dxfId="1435" priority="1568" operator="containsText" text="TOTAL">
      <formula>NOT(ISERROR(SEARCH("TOTAL",F999)))</formula>
    </cfRule>
  </conditionalFormatting>
  <conditionalFormatting sqref="B998:E998 B997 D997:E997">
    <cfRule type="containsText" dxfId="1434" priority="1575" operator="containsText" text="m2">
      <formula>NOT(ISERROR(SEARCH("m2",B997)))</formula>
    </cfRule>
  </conditionalFormatting>
  <conditionalFormatting sqref="F998">
    <cfRule type="containsText" dxfId="1433" priority="1574" operator="containsText" text="TOTAL">
      <formula>NOT(ISERROR(SEARCH("TOTAL",F998)))</formula>
    </cfRule>
  </conditionalFormatting>
  <conditionalFormatting sqref="C1000:E1000">
    <cfRule type="containsText" dxfId="1432" priority="1572" operator="containsText" text="m2">
      <formula>NOT(ISERROR(SEARCH("m2",C1000)))</formula>
    </cfRule>
  </conditionalFormatting>
  <conditionalFormatting sqref="B1000">
    <cfRule type="containsText" dxfId="1431" priority="1571" operator="containsText" text="m2">
      <formula>NOT(ISERROR(SEARCH("m2",B1000)))</formula>
    </cfRule>
  </conditionalFormatting>
  <conditionalFormatting sqref="B1001:E1001">
    <cfRule type="containsText" dxfId="1430" priority="1570" operator="containsText" text="m2">
      <formula>NOT(ISERROR(SEARCH("m2",B1001)))</formula>
    </cfRule>
  </conditionalFormatting>
  <conditionalFormatting sqref="F1001">
    <cfRule type="containsText" dxfId="1429" priority="1569" operator="containsText" text="TOTAL">
      <formula>NOT(ISERROR(SEARCH("TOTAL",F1001)))</formula>
    </cfRule>
  </conditionalFormatting>
  <conditionalFormatting sqref="B999:E999">
    <cfRule type="containsText" dxfId="1428" priority="1567" operator="containsText" text="m2">
      <formula>NOT(ISERROR(SEARCH("m2",B999)))</formula>
    </cfRule>
  </conditionalFormatting>
  <conditionalFormatting sqref="B996:E996">
    <cfRule type="containsText" dxfId="1427" priority="1561" operator="containsText" text="m2">
      <formula>NOT(ISERROR(SEARCH("m2",B996)))</formula>
    </cfRule>
  </conditionalFormatting>
  <conditionalFormatting sqref="B993:E993 B992 D992:E992">
    <cfRule type="containsText" dxfId="1426" priority="1566" operator="containsText" text="m2">
      <formula>NOT(ISERROR(SEARCH("m2",B992)))</formula>
    </cfRule>
  </conditionalFormatting>
  <conditionalFormatting sqref="F993">
    <cfRule type="containsText" dxfId="1425" priority="1565" operator="containsText" text="TOTAL">
      <formula>NOT(ISERROR(SEARCH("TOTAL",F993)))</formula>
    </cfRule>
  </conditionalFormatting>
  <conditionalFormatting sqref="F995">
    <cfRule type="containsText" dxfId="1424" priority="1564" operator="containsText" text="TOTAL">
      <formula>NOT(ISERROR(SEARCH("TOTAL",F995)))</formula>
    </cfRule>
  </conditionalFormatting>
  <conditionalFormatting sqref="B995">
    <cfRule type="containsText" dxfId="1423" priority="1562" operator="containsText" text="m2">
      <formula>NOT(ISERROR(SEARCH("m2",B995)))</formula>
    </cfRule>
  </conditionalFormatting>
  <conditionalFormatting sqref="F996">
    <cfRule type="containsText" dxfId="1422" priority="1560" operator="containsText" text="TOTAL">
      <formula>NOT(ISERROR(SEARCH("TOTAL",F996)))</formula>
    </cfRule>
  </conditionalFormatting>
  <conditionalFormatting sqref="B994:E994">
    <cfRule type="containsText" dxfId="1421" priority="1558" operator="containsText" text="m2">
      <formula>NOT(ISERROR(SEARCH("m2",B994)))</formula>
    </cfRule>
  </conditionalFormatting>
  <conditionalFormatting sqref="B1005 B1007 B1016">
    <cfRule type="containsText" dxfId="1420" priority="1551" operator="containsText" text="m2">
      <formula>NOT(ISERROR(SEARCH("m2",B1005)))</formula>
    </cfRule>
  </conditionalFormatting>
  <conditionalFormatting sqref="B1002">
    <cfRule type="containsText" dxfId="1419" priority="1557" operator="containsText" text="m2">
      <formula>NOT(ISERROR(SEARCH("m2",B1002)))</formula>
    </cfRule>
  </conditionalFormatting>
  <conditionalFormatting sqref="B1003:E1003">
    <cfRule type="containsText" dxfId="1418" priority="1556" operator="containsText" text="m2">
      <formula>NOT(ISERROR(SEARCH("m2",B1003)))</formula>
    </cfRule>
  </conditionalFormatting>
  <conditionalFormatting sqref="F1003">
    <cfRule type="containsText" dxfId="1417" priority="1555" operator="containsText" text="TOTAL">
      <formula>NOT(ISERROR(SEARCH("TOTAL",F1003)))</formula>
    </cfRule>
  </conditionalFormatting>
  <conditionalFormatting sqref="D1002:E1002">
    <cfRule type="containsText" dxfId="1416" priority="1554" operator="containsText" text="m2">
      <formula>NOT(ISERROR(SEARCH("m2",D1002)))</formula>
    </cfRule>
  </conditionalFormatting>
  <conditionalFormatting sqref="F1004">
    <cfRule type="containsText" dxfId="1415" priority="1550" operator="containsText" text="TOTAL">
      <formula>NOT(ISERROR(SEARCH("TOTAL",F1004)))</formula>
    </cfRule>
  </conditionalFormatting>
  <conditionalFormatting sqref="F1005">
    <cfRule type="containsText" dxfId="1414" priority="1553" operator="containsText" text="TOTAL">
      <formula>NOT(ISERROR(SEARCH("TOTAL",F1005)))</formula>
    </cfRule>
  </conditionalFormatting>
  <conditionalFormatting sqref="C1005:E1005">
    <cfRule type="containsText" dxfId="1413" priority="1552" operator="containsText" text="m2">
      <formula>NOT(ISERROR(SEARCH("m2",C1005)))</formula>
    </cfRule>
  </conditionalFormatting>
  <conditionalFormatting sqref="B1004:E1004">
    <cfRule type="containsText" dxfId="1412" priority="1549" operator="containsText" text="m2">
      <formula>NOT(ISERROR(SEARCH("m2",B1004)))</formula>
    </cfRule>
  </conditionalFormatting>
  <conditionalFormatting sqref="B1008:E1008">
    <cfRule type="containsText" dxfId="1411" priority="1548" operator="containsText" text="m2">
      <formula>NOT(ISERROR(SEARCH("m2",B1008)))</formula>
    </cfRule>
  </conditionalFormatting>
  <conditionalFormatting sqref="F1008">
    <cfRule type="containsText" dxfId="1410" priority="1547" operator="containsText" text="TOTAL">
      <formula>NOT(ISERROR(SEARCH("TOTAL",F1008)))</formula>
    </cfRule>
  </conditionalFormatting>
  <conditionalFormatting sqref="D1007:E1007">
    <cfRule type="containsText" dxfId="1409" priority="1546" operator="containsText" text="m2">
      <formula>NOT(ISERROR(SEARCH("m2",D1007)))</formula>
    </cfRule>
  </conditionalFormatting>
  <conditionalFormatting sqref="B1012:E1012">
    <cfRule type="containsText" dxfId="1408" priority="1545" operator="containsText" text="m2">
      <formula>NOT(ISERROR(SEARCH("m2",B1012)))</formula>
    </cfRule>
  </conditionalFormatting>
  <conditionalFormatting sqref="F1012">
    <cfRule type="containsText" dxfId="1407" priority="1544" operator="containsText" text="TOTAL">
      <formula>NOT(ISERROR(SEARCH("TOTAL",F1012)))</formula>
    </cfRule>
  </conditionalFormatting>
  <conditionalFormatting sqref="B1010">
    <cfRule type="containsText" dxfId="1406" priority="1541" operator="containsText" text="m2">
      <formula>NOT(ISERROR(SEARCH("m2",B1010)))</formula>
    </cfRule>
  </conditionalFormatting>
  <conditionalFormatting sqref="F1009">
    <cfRule type="containsText" dxfId="1405" priority="1540" operator="containsText" text="TOTAL">
      <formula>NOT(ISERROR(SEARCH("TOTAL",F1009)))</formula>
    </cfRule>
  </conditionalFormatting>
  <conditionalFormatting sqref="F1010">
    <cfRule type="containsText" dxfId="1404" priority="1543" operator="containsText" text="TOTAL">
      <formula>NOT(ISERROR(SEARCH("TOTAL",F1010)))</formula>
    </cfRule>
  </conditionalFormatting>
  <conditionalFormatting sqref="C1010:E1010">
    <cfRule type="containsText" dxfId="1403" priority="1542" operator="containsText" text="m2">
      <formula>NOT(ISERROR(SEARCH("m2",C1010)))</formula>
    </cfRule>
  </conditionalFormatting>
  <conditionalFormatting sqref="B1009:E1009">
    <cfRule type="containsText" dxfId="1402" priority="1539" operator="containsText" text="m2">
      <formula>NOT(ISERROR(SEARCH("m2",B1009)))</formula>
    </cfRule>
  </conditionalFormatting>
  <conditionalFormatting sqref="B1011">
    <cfRule type="containsText" dxfId="1401" priority="1536" operator="containsText" text="m2">
      <formula>NOT(ISERROR(SEARCH("m2",B1011)))</formula>
    </cfRule>
  </conditionalFormatting>
  <conditionalFormatting sqref="F1011">
    <cfRule type="containsText" dxfId="1400" priority="1538" operator="containsText" text="TOTAL">
      <formula>NOT(ISERROR(SEARCH("TOTAL",F1011)))</formula>
    </cfRule>
  </conditionalFormatting>
  <conditionalFormatting sqref="C1011:E1011">
    <cfRule type="containsText" dxfId="1399" priority="1537" operator="containsText" text="m2">
      <formula>NOT(ISERROR(SEARCH("m2",C1011)))</formula>
    </cfRule>
  </conditionalFormatting>
  <conditionalFormatting sqref="D1016:E1016">
    <cfRule type="containsText" dxfId="1398" priority="1535" operator="containsText" text="m2">
      <formula>NOT(ISERROR(SEARCH("m2",D1016)))</formula>
    </cfRule>
  </conditionalFormatting>
  <conditionalFormatting sqref="B1017:E1017">
    <cfRule type="containsText" dxfId="1397" priority="1534" operator="containsText" text="m2">
      <formula>NOT(ISERROR(SEARCH("m2",B1017)))</formula>
    </cfRule>
  </conditionalFormatting>
  <conditionalFormatting sqref="F1017">
    <cfRule type="containsText" dxfId="1396" priority="1533" operator="containsText" text="TOTAL">
      <formula>NOT(ISERROR(SEARCH("TOTAL",F1017)))</formula>
    </cfRule>
  </conditionalFormatting>
  <conditionalFormatting sqref="B1019:E1019">
    <cfRule type="containsText" dxfId="1395" priority="1532" operator="containsText" text="m2">
      <formula>NOT(ISERROR(SEARCH("m2",B1019)))</formula>
    </cfRule>
  </conditionalFormatting>
  <conditionalFormatting sqref="F1019">
    <cfRule type="containsText" dxfId="1394" priority="1531" operator="containsText" text="TOTAL">
      <formula>NOT(ISERROR(SEARCH("TOTAL",F1019)))</formula>
    </cfRule>
  </conditionalFormatting>
  <conditionalFormatting sqref="B1018">
    <cfRule type="containsText" dxfId="1393" priority="1528" operator="containsText" text="m2">
      <formula>NOT(ISERROR(SEARCH("m2",B1018)))</formula>
    </cfRule>
  </conditionalFormatting>
  <conditionalFormatting sqref="F1018">
    <cfRule type="containsText" dxfId="1392" priority="1530" operator="containsText" text="TOTAL">
      <formula>NOT(ISERROR(SEARCH("TOTAL",F1018)))</formula>
    </cfRule>
  </conditionalFormatting>
  <conditionalFormatting sqref="C1018:E1018">
    <cfRule type="containsText" dxfId="1391" priority="1529" operator="containsText" text="m2">
      <formula>NOT(ISERROR(SEARCH("m2",C1018)))</formula>
    </cfRule>
  </conditionalFormatting>
  <conditionalFormatting sqref="B1020">
    <cfRule type="containsText" dxfId="1390" priority="1527" operator="containsText" text="m2">
      <formula>NOT(ISERROR(SEARCH("m2",B1020)))</formula>
    </cfRule>
  </conditionalFormatting>
  <conditionalFormatting sqref="D1020:E1020">
    <cfRule type="containsText" dxfId="1389" priority="1526" operator="containsText" text="m2">
      <formula>NOT(ISERROR(SEARCH("m2",D1020)))</formula>
    </cfRule>
  </conditionalFormatting>
  <conditionalFormatting sqref="C1021:E1021">
    <cfRule type="containsText" dxfId="1388" priority="1525" operator="containsText" text="m2">
      <formula>NOT(ISERROR(SEARCH("m2",C1021)))</formula>
    </cfRule>
  </conditionalFormatting>
  <conditionalFormatting sqref="F1021">
    <cfRule type="containsText" dxfId="1387" priority="1524" operator="containsText" text="TOTAL">
      <formula>NOT(ISERROR(SEARCH("TOTAL",F1021)))</formula>
    </cfRule>
  </conditionalFormatting>
  <conditionalFormatting sqref="B1023:E1023">
    <cfRule type="containsText" dxfId="1386" priority="1523" operator="containsText" text="m2">
      <formula>NOT(ISERROR(SEARCH("m2",B1023)))</formula>
    </cfRule>
  </conditionalFormatting>
  <conditionalFormatting sqref="F1023">
    <cfRule type="containsText" dxfId="1385" priority="1522" operator="containsText" text="TOTAL">
      <formula>NOT(ISERROR(SEARCH("TOTAL",F1023)))</formula>
    </cfRule>
  </conditionalFormatting>
  <conditionalFormatting sqref="B1022">
    <cfRule type="containsText" dxfId="1384" priority="1519" operator="containsText" text="m2">
      <formula>NOT(ISERROR(SEARCH("m2",B1022)))</formula>
    </cfRule>
  </conditionalFormatting>
  <conditionalFormatting sqref="F1022">
    <cfRule type="containsText" dxfId="1383" priority="1521" operator="containsText" text="TOTAL">
      <formula>NOT(ISERROR(SEARCH("TOTAL",F1022)))</formula>
    </cfRule>
  </conditionalFormatting>
  <conditionalFormatting sqref="C1022:E1022">
    <cfRule type="containsText" dxfId="1382" priority="1520" operator="containsText" text="m2">
      <formula>NOT(ISERROR(SEARCH("m2",C1022)))</formula>
    </cfRule>
  </conditionalFormatting>
  <conditionalFormatting sqref="B1021">
    <cfRule type="containsText" dxfId="1381" priority="1518" operator="containsText" text="m2">
      <formula>NOT(ISERROR(SEARCH("m2",B1021)))</formula>
    </cfRule>
  </conditionalFormatting>
  <conditionalFormatting sqref="B1029:E1029 B1028 D1028:E1028">
    <cfRule type="containsText" dxfId="1380" priority="1517" operator="containsText" text="m2">
      <formula>NOT(ISERROR(SEARCH("m2",B1028)))</formula>
    </cfRule>
  </conditionalFormatting>
  <conditionalFormatting sqref="F1029">
    <cfRule type="containsText" dxfId="1379" priority="1516" operator="containsText" text="TOTAL">
      <formula>NOT(ISERROR(SEARCH("TOTAL",F1029)))</formula>
    </cfRule>
  </conditionalFormatting>
  <conditionalFormatting sqref="F1032">
    <cfRule type="containsText" dxfId="1378" priority="1515" operator="containsText" text="TOTAL">
      <formula>NOT(ISERROR(SEARCH("TOTAL",F1032)))</formula>
    </cfRule>
  </conditionalFormatting>
  <conditionalFormatting sqref="C1032:E1032">
    <cfRule type="containsText" dxfId="1377" priority="1514" operator="containsText" text="m2">
      <formula>NOT(ISERROR(SEARCH("m2",C1032)))</formula>
    </cfRule>
  </conditionalFormatting>
  <conditionalFormatting sqref="B1032">
    <cfRule type="containsText" dxfId="1376" priority="1513" operator="containsText" text="m2">
      <formula>NOT(ISERROR(SEARCH("m2",B1032)))</formula>
    </cfRule>
  </conditionalFormatting>
  <conditionalFormatting sqref="B1037 D1037:E1037">
    <cfRule type="containsText" dxfId="1375" priority="1500" operator="containsText" text="m2">
      <formula>NOT(ISERROR(SEARCH("m2",B1037)))</formula>
    </cfRule>
  </conditionalFormatting>
  <conditionalFormatting sqref="F1030">
    <cfRule type="containsText" dxfId="1374" priority="1512" operator="containsText" text="TOTAL">
      <formula>NOT(ISERROR(SEARCH("TOTAL",F1030)))</formula>
    </cfRule>
  </conditionalFormatting>
  <conditionalFormatting sqref="B1030:E1030">
    <cfRule type="containsText" dxfId="1373" priority="1511" operator="containsText" text="m2">
      <formula>NOT(ISERROR(SEARCH("m2",B1030)))</formula>
    </cfRule>
  </conditionalFormatting>
  <conditionalFormatting sqref="B1033">
    <cfRule type="containsText" dxfId="1372" priority="1508" operator="containsText" text="m2">
      <formula>NOT(ISERROR(SEARCH("m2",B1033)))</formula>
    </cfRule>
  </conditionalFormatting>
  <conditionalFormatting sqref="F1033">
    <cfRule type="containsText" dxfId="1371" priority="1510" operator="containsText" text="TOTAL">
      <formula>NOT(ISERROR(SEARCH("TOTAL",F1033)))</formula>
    </cfRule>
  </conditionalFormatting>
  <conditionalFormatting sqref="C1033:E1033">
    <cfRule type="containsText" dxfId="1370" priority="1509" operator="containsText" text="m2">
      <formula>NOT(ISERROR(SEARCH("m2",C1033)))</formula>
    </cfRule>
  </conditionalFormatting>
  <conditionalFormatting sqref="B1034">
    <cfRule type="containsText" dxfId="1369" priority="1505" operator="containsText" text="m2">
      <formula>NOT(ISERROR(SEARCH("m2",B1034)))</formula>
    </cfRule>
  </conditionalFormatting>
  <conditionalFormatting sqref="F1034">
    <cfRule type="containsText" dxfId="1368" priority="1507" operator="containsText" text="TOTAL">
      <formula>NOT(ISERROR(SEARCH("TOTAL",F1034)))</formula>
    </cfRule>
  </conditionalFormatting>
  <conditionalFormatting sqref="C1034:E1034">
    <cfRule type="containsText" dxfId="1367" priority="1506" operator="containsText" text="m2">
      <formula>NOT(ISERROR(SEARCH("m2",C1034)))</formula>
    </cfRule>
  </conditionalFormatting>
  <conditionalFormatting sqref="B1036:E1036">
    <cfRule type="containsText" dxfId="1366" priority="1504" operator="containsText" text="m2">
      <formula>NOT(ISERROR(SEARCH("m2",B1036)))</formula>
    </cfRule>
  </conditionalFormatting>
  <conditionalFormatting sqref="F1036">
    <cfRule type="containsText" dxfId="1365" priority="1503" operator="containsText" text="TOTAL">
      <formula>NOT(ISERROR(SEARCH("TOTAL",F1036)))</formula>
    </cfRule>
  </conditionalFormatting>
  <conditionalFormatting sqref="B1038:E1040">
    <cfRule type="containsText" dxfId="1364" priority="1502" operator="containsText" text="m2">
      <formula>NOT(ISERROR(SEARCH("m2",B1038)))</formula>
    </cfRule>
  </conditionalFormatting>
  <conditionalFormatting sqref="F1038:F1040">
    <cfRule type="containsText" dxfId="1363" priority="1501" operator="containsText" text="TOTAL">
      <formula>NOT(ISERROR(SEARCH("TOTAL",F1038)))</formula>
    </cfRule>
  </conditionalFormatting>
  <conditionalFormatting sqref="B1042:E1044">
    <cfRule type="containsText" dxfId="1362" priority="1499" operator="containsText" text="m2">
      <formula>NOT(ISERROR(SEARCH("m2",B1042)))</formula>
    </cfRule>
  </conditionalFormatting>
  <conditionalFormatting sqref="F1042:F1044">
    <cfRule type="containsText" dxfId="1361" priority="1498" operator="containsText" text="TOTAL">
      <formula>NOT(ISERROR(SEARCH("TOTAL",F1042)))</formula>
    </cfRule>
  </conditionalFormatting>
  <conditionalFormatting sqref="B1041 D1041:E1041">
    <cfRule type="containsText" dxfId="1360" priority="1497" operator="containsText" text="m2">
      <formula>NOT(ISERROR(SEARCH("m2",B1041)))</formula>
    </cfRule>
  </conditionalFormatting>
  <conditionalFormatting sqref="B1031:E1031">
    <cfRule type="containsText" dxfId="1359" priority="1495" operator="containsText" text="m2">
      <formula>NOT(ISERROR(SEARCH("m2",B1031)))</formula>
    </cfRule>
  </conditionalFormatting>
  <conditionalFormatting sqref="B1035">
    <cfRule type="containsText" dxfId="1358" priority="1492" operator="containsText" text="m2">
      <formula>NOT(ISERROR(SEARCH("m2",B1035)))</formula>
    </cfRule>
  </conditionalFormatting>
  <conditionalFormatting sqref="C1035:E1035">
    <cfRule type="containsText" dxfId="1357" priority="1493" operator="containsText" text="m2">
      <formula>NOT(ISERROR(SEARCH("m2",C1035)))</formula>
    </cfRule>
  </conditionalFormatting>
  <conditionalFormatting sqref="F1031">
    <cfRule type="containsText" dxfId="1356" priority="1496" operator="containsText" text="TOTAL">
      <formula>NOT(ISERROR(SEARCH("TOTAL",F1031)))</formula>
    </cfRule>
  </conditionalFormatting>
  <conditionalFormatting sqref="F1035">
    <cfRule type="containsText" dxfId="1355" priority="1494" operator="containsText" text="TOTAL">
      <formula>NOT(ISERROR(SEARCH("TOTAL",F1035)))</formula>
    </cfRule>
  </conditionalFormatting>
  <conditionalFormatting sqref="B1013:B1014">
    <cfRule type="containsText" dxfId="1354" priority="1491" operator="containsText" text="m2">
      <formula>NOT(ISERROR(SEARCH("m2",B1013)))</formula>
    </cfRule>
  </conditionalFormatting>
  <conditionalFormatting sqref="D1013:E1013 E1014">
    <cfRule type="containsText" dxfId="1353" priority="1490" operator="containsText" text="m2">
      <formula>NOT(ISERROR(SEARCH("m2",D1013)))</formula>
    </cfRule>
  </conditionalFormatting>
  <conditionalFormatting sqref="B1015:E1015">
    <cfRule type="containsText" dxfId="1352" priority="1489" operator="containsText" text="m2">
      <formula>NOT(ISERROR(SEARCH("m2",B1015)))</formula>
    </cfRule>
  </conditionalFormatting>
  <conditionalFormatting sqref="F1015">
    <cfRule type="containsText" dxfId="1351" priority="1488" operator="containsText" text="TOTAL">
      <formula>NOT(ISERROR(SEARCH("TOTAL",F1015)))</formula>
    </cfRule>
  </conditionalFormatting>
  <conditionalFormatting sqref="D1014">
    <cfRule type="containsText" dxfId="1350" priority="1487" operator="containsText" text="m2">
      <formula>NOT(ISERROR(SEARCH("m2",D1014)))</formula>
    </cfRule>
  </conditionalFormatting>
  <conditionalFormatting sqref="F1014">
    <cfRule type="containsText" dxfId="1349" priority="1486" operator="containsText" text="TOTAL">
      <formula>NOT(ISERROR(SEARCH("TOTAL",F1014)))</formula>
    </cfRule>
  </conditionalFormatting>
  <conditionalFormatting sqref="B1047:E1047">
    <cfRule type="containsText" dxfId="1348" priority="1477" operator="containsText" text="m2">
      <formula>NOT(ISERROR(SEARCH("m2",B1047)))</formula>
    </cfRule>
  </conditionalFormatting>
  <conditionalFormatting sqref="F1047">
    <cfRule type="containsText" dxfId="1347" priority="1478" operator="containsText" text="TOTAL">
      <formula>NOT(ISERROR(SEARCH("TOTAL",F1047)))</formula>
    </cfRule>
  </conditionalFormatting>
  <conditionalFormatting sqref="C1048:E1048">
    <cfRule type="containsText" dxfId="1346" priority="1482" operator="containsText" text="m2">
      <formula>NOT(ISERROR(SEARCH("m2",C1048)))</formula>
    </cfRule>
  </conditionalFormatting>
  <conditionalFormatting sqref="B1046:E1046 B1045 D1045:E1045">
    <cfRule type="containsText" dxfId="1345" priority="1485" operator="containsText" text="m2">
      <formula>NOT(ISERROR(SEARCH("m2",B1045)))</formula>
    </cfRule>
  </conditionalFormatting>
  <conditionalFormatting sqref="F1046">
    <cfRule type="containsText" dxfId="1344" priority="1484" operator="containsText" text="TOTAL">
      <formula>NOT(ISERROR(SEARCH("TOTAL",F1046)))</formula>
    </cfRule>
  </conditionalFormatting>
  <conditionalFormatting sqref="F1048">
    <cfRule type="containsText" dxfId="1343" priority="1483" operator="containsText" text="TOTAL">
      <formula>NOT(ISERROR(SEARCH("TOTAL",F1048)))</formula>
    </cfRule>
  </conditionalFormatting>
  <conditionalFormatting sqref="B1048">
    <cfRule type="containsText" dxfId="1342" priority="1481" operator="containsText" text="m2">
      <formula>NOT(ISERROR(SEARCH("m2",B1048)))</formula>
    </cfRule>
  </conditionalFormatting>
  <conditionalFormatting sqref="B1049:E1049">
    <cfRule type="containsText" dxfId="1341" priority="1480" operator="containsText" text="m2">
      <formula>NOT(ISERROR(SEARCH("m2",B1049)))</formula>
    </cfRule>
  </conditionalFormatting>
  <conditionalFormatting sqref="F1049">
    <cfRule type="containsText" dxfId="1340" priority="1479" operator="containsText" text="TOTAL">
      <formula>NOT(ISERROR(SEARCH("TOTAL",F1049)))</formula>
    </cfRule>
  </conditionalFormatting>
  <conditionalFormatting sqref="F1053">
    <cfRule type="containsText" dxfId="1339" priority="1470" operator="containsText" text="TOTAL">
      <formula>NOT(ISERROR(SEARCH("TOTAL",F1053)))</formula>
    </cfRule>
  </conditionalFormatting>
  <conditionalFormatting sqref="B1053:E1053">
    <cfRule type="containsText" dxfId="1338" priority="1471" operator="containsText" text="m2">
      <formula>NOT(ISERROR(SEARCH("m2",B1053)))</formula>
    </cfRule>
  </conditionalFormatting>
  <conditionalFormatting sqref="C1052:E1052">
    <cfRule type="containsText" dxfId="1337" priority="1473" operator="containsText" text="m2">
      <formula>NOT(ISERROR(SEARCH("m2",C1052)))</formula>
    </cfRule>
  </conditionalFormatting>
  <conditionalFormatting sqref="B1051:E1051 B1050 D1050:E1050">
    <cfRule type="containsText" dxfId="1336" priority="1476" operator="containsText" text="m2">
      <formula>NOT(ISERROR(SEARCH("m2",B1050)))</formula>
    </cfRule>
  </conditionalFormatting>
  <conditionalFormatting sqref="F1051">
    <cfRule type="containsText" dxfId="1335" priority="1475" operator="containsText" text="TOTAL">
      <formula>NOT(ISERROR(SEARCH("TOTAL",F1051)))</formula>
    </cfRule>
  </conditionalFormatting>
  <conditionalFormatting sqref="F1052">
    <cfRule type="containsText" dxfId="1334" priority="1474" operator="containsText" text="TOTAL">
      <formula>NOT(ISERROR(SEARCH("TOTAL",F1052)))</formula>
    </cfRule>
  </conditionalFormatting>
  <conditionalFormatting sqref="B1052">
    <cfRule type="containsText" dxfId="1333" priority="1472" operator="containsText" text="m2">
      <formula>NOT(ISERROR(SEARCH("m2",B1052)))</formula>
    </cfRule>
  </conditionalFormatting>
  <conditionalFormatting sqref="B1055:E1055">
    <cfRule type="containsText" dxfId="1332" priority="1469" operator="containsText" text="m2">
      <formula>NOT(ISERROR(SEARCH("m2",B1055)))</formula>
    </cfRule>
  </conditionalFormatting>
  <conditionalFormatting sqref="F1055">
    <cfRule type="containsText" dxfId="1331" priority="1468" operator="containsText" text="TOTAL">
      <formula>NOT(ISERROR(SEARCH("TOTAL",F1055)))</formula>
    </cfRule>
  </conditionalFormatting>
  <conditionalFormatting sqref="B1056 D1056:E1056">
    <cfRule type="containsText" dxfId="1330" priority="1463" operator="containsText" text="m2">
      <formula>NOT(ISERROR(SEARCH("m2",B1056)))</formula>
    </cfRule>
  </conditionalFormatting>
  <conditionalFormatting sqref="B1054:E1054">
    <cfRule type="containsText" dxfId="1329" priority="1467" operator="containsText" text="m2">
      <formula>NOT(ISERROR(SEARCH("m2",B1054)))</formula>
    </cfRule>
  </conditionalFormatting>
  <conditionalFormatting sqref="F1054">
    <cfRule type="containsText" dxfId="1328" priority="1466" operator="containsText" text="TOTAL">
      <formula>NOT(ISERROR(SEARCH("TOTAL",F1054)))</formula>
    </cfRule>
  </conditionalFormatting>
  <conditionalFormatting sqref="B1057:E1059">
    <cfRule type="containsText" dxfId="1327" priority="1465" operator="containsText" text="m2">
      <formula>NOT(ISERROR(SEARCH("m2",B1057)))</formula>
    </cfRule>
  </conditionalFormatting>
  <conditionalFormatting sqref="F1057:F1059">
    <cfRule type="containsText" dxfId="1326" priority="1464" operator="containsText" text="TOTAL">
      <formula>NOT(ISERROR(SEARCH("TOTAL",F1057)))</formula>
    </cfRule>
  </conditionalFormatting>
  <conditionalFormatting sqref="B1061:E1062">
    <cfRule type="containsText" dxfId="1325" priority="1462" operator="containsText" text="m2">
      <formula>NOT(ISERROR(SEARCH("m2",B1061)))</formula>
    </cfRule>
  </conditionalFormatting>
  <conditionalFormatting sqref="F1061:F1062">
    <cfRule type="containsText" dxfId="1324" priority="1461" operator="containsText" text="TOTAL">
      <formula>NOT(ISERROR(SEARCH("TOTAL",F1061)))</formula>
    </cfRule>
  </conditionalFormatting>
  <conditionalFormatting sqref="B1060 D1060:E1060">
    <cfRule type="containsText" dxfId="1323" priority="1460" operator="containsText" text="m2">
      <formula>NOT(ISERROR(SEARCH("m2",B1060)))</formula>
    </cfRule>
  </conditionalFormatting>
  <conditionalFormatting sqref="B147">
    <cfRule type="containsText" dxfId="1322" priority="1451" operator="containsText" text="m2">
      <formula>NOT(ISERROR(SEARCH("m2",B147)))</formula>
    </cfRule>
  </conditionalFormatting>
  <conditionalFormatting sqref="B138">
    <cfRule type="containsText" dxfId="1321" priority="1459" operator="containsText" text="m2">
      <formula>NOT(ISERROR(SEARCH("m2",B138)))</formula>
    </cfRule>
  </conditionalFormatting>
  <conditionalFormatting sqref="B139">
    <cfRule type="containsText" dxfId="1320" priority="1458" operator="containsText" text="m2">
      <formula>NOT(ISERROR(SEARCH("m2",B139)))</formula>
    </cfRule>
  </conditionalFormatting>
  <conditionalFormatting sqref="B140">
    <cfRule type="containsText" dxfId="1319" priority="1457" operator="containsText" text="m2">
      <formula>NOT(ISERROR(SEARCH("m2",B140)))</formula>
    </cfRule>
  </conditionalFormatting>
  <conditionalFormatting sqref="B141">
    <cfRule type="containsText" dxfId="1318" priority="1456" operator="containsText" text="m2">
      <formula>NOT(ISERROR(SEARCH("m2",B141)))</formula>
    </cfRule>
  </conditionalFormatting>
  <conditionalFormatting sqref="B142">
    <cfRule type="containsText" dxfId="1317" priority="1455" operator="containsText" text="m2">
      <formula>NOT(ISERROR(SEARCH("m2",B142)))</formula>
    </cfRule>
  </conditionalFormatting>
  <conditionalFormatting sqref="B143">
    <cfRule type="containsText" dxfId="1316" priority="1454" operator="containsText" text="m2">
      <formula>NOT(ISERROR(SEARCH("m2",B143)))</formula>
    </cfRule>
  </conditionalFormatting>
  <conditionalFormatting sqref="B144:B145">
    <cfRule type="containsText" dxfId="1315" priority="1453" operator="containsText" text="m2">
      <formula>NOT(ISERROR(SEARCH("m2",B144)))</formula>
    </cfRule>
  </conditionalFormatting>
  <conditionalFormatting sqref="B146">
    <cfRule type="containsText" dxfId="1314" priority="1452" operator="containsText" text="m2">
      <formula>NOT(ISERROR(SEARCH("m2",B146)))</formula>
    </cfRule>
  </conditionalFormatting>
  <conditionalFormatting sqref="B148">
    <cfRule type="containsText" dxfId="1313" priority="1450" operator="containsText" text="m2">
      <formula>NOT(ISERROR(SEARCH("m2",B148)))</formula>
    </cfRule>
  </conditionalFormatting>
  <conditionalFormatting sqref="B184">
    <cfRule type="containsText" dxfId="1312" priority="1448" operator="containsText" text="m2">
      <formula>NOT(ISERROR(SEARCH("m2",B184)))</formula>
    </cfRule>
  </conditionalFormatting>
  <conditionalFormatting sqref="B189">
    <cfRule type="containsText" dxfId="1311" priority="1446" operator="containsText" text="m2">
      <formula>NOT(ISERROR(SEARCH("m2",B189)))</formula>
    </cfRule>
  </conditionalFormatting>
  <conditionalFormatting sqref="B221">
    <cfRule type="containsText" dxfId="1310" priority="1431" operator="containsText" text="m2">
      <formula>NOT(ISERROR(SEARCH("m2",B221)))</formula>
    </cfRule>
  </conditionalFormatting>
  <conditionalFormatting sqref="B188">
    <cfRule type="containsText" dxfId="1309" priority="1447" operator="containsText" text="m2">
      <formula>NOT(ISERROR(SEARCH("m2",B188)))</formula>
    </cfRule>
  </conditionalFormatting>
  <conditionalFormatting sqref="B211">
    <cfRule type="containsText" dxfId="1308" priority="1429" operator="containsText" text="m2">
      <formula>NOT(ISERROR(SEARCH("m2",B211)))</formula>
    </cfRule>
  </conditionalFormatting>
  <conditionalFormatting sqref="B292">
    <cfRule type="containsText" dxfId="1307" priority="1421" operator="containsText" text="m2">
      <formula>NOT(ISERROR(SEARCH("m2",B292)))</formula>
    </cfRule>
  </conditionalFormatting>
  <conditionalFormatting sqref="B332">
    <cfRule type="containsText" dxfId="1306" priority="1408" operator="containsText" text="m2">
      <formula>NOT(ISERROR(SEARCH("m2",B332)))</formula>
    </cfRule>
  </conditionalFormatting>
  <conditionalFormatting sqref="B408">
    <cfRule type="containsText" dxfId="1305" priority="1400" operator="containsText" text="m2">
      <formula>NOT(ISERROR(SEARCH("m2",B408)))</formula>
    </cfRule>
  </conditionalFormatting>
  <conditionalFormatting sqref="B223">
    <cfRule type="containsText" dxfId="1304" priority="1445" operator="containsText" text="m2">
      <formula>NOT(ISERROR(SEARCH("m2",B223)))</formula>
    </cfRule>
  </conditionalFormatting>
  <conditionalFormatting sqref="B206">
    <cfRule type="containsText" dxfId="1303" priority="1444" operator="containsText" text="m2">
      <formula>NOT(ISERROR(SEARCH("m2",B206)))</formula>
    </cfRule>
  </conditionalFormatting>
  <conditionalFormatting sqref="B207">
    <cfRule type="containsText" dxfId="1302" priority="1443" operator="containsText" text="m2">
      <formula>NOT(ISERROR(SEARCH("m2",B207)))</formula>
    </cfRule>
  </conditionalFormatting>
  <conditionalFormatting sqref="B208">
    <cfRule type="containsText" dxfId="1301" priority="1442" operator="containsText" text="m2">
      <formula>NOT(ISERROR(SEARCH("m2",B208)))</formula>
    </cfRule>
  </conditionalFormatting>
  <conditionalFormatting sqref="B209">
    <cfRule type="containsText" dxfId="1300" priority="1441" operator="containsText" text="m2">
      <formula>NOT(ISERROR(SEARCH("m2",B209)))</formula>
    </cfRule>
  </conditionalFormatting>
  <conditionalFormatting sqref="B210">
    <cfRule type="containsText" dxfId="1299" priority="1440" operator="containsText" text="m2">
      <formula>NOT(ISERROR(SEARCH("m2",B210)))</formula>
    </cfRule>
  </conditionalFormatting>
  <conditionalFormatting sqref="B212">
    <cfRule type="containsText" dxfId="1298" priority="1439" operator="containsText" text="m2">
      <formula>NOT(ISERROR(SEARCH("m2",B212)))</formula>
    </cfRule>
  </conditionalFormatting>
  <conditionalFormatting sqref="B213">
    <cfRule type="containsText" dxfId="1297" priority="1438" operator="containsText" text="m2">
      <formula>NOT(ISERROR(SEARCH("m2",B213)))</formula>
    </cfRule>
  </conditionalFormatting>
  <conditionalFormatting sqref="B214">
    <cfRule type="containsText" dxfId="1296" priority="1437" operator="containsText" text="m2">
      <formula>NOT(ISERROR(SEARCH("m2",B214)))</formula>
    </cfRule>
  </conditionalFormatting>
  <conditionalFormatting sqref="B215">
    <cfRule type="containsText" dxfId="1295" priority="1436" operator="containsText" text="m2">
      <formula>NOT(ISERROR(SEARCH("m2",B215)))</formula>
    </cfRule>
  </conditionalFormatting>
  <conditionalFormatting sqref="B216:B217">
    <cfRule type="containsText" dxfId="1294" priority="1435" operator="containsText" text="m2">
      <formula>NOT(ISERROR(SEARCH("m2",B216)))</formula>
    </cfRule>
  </conditionalFormatting>
  <conditionalFormatting sqref="B218">
    <cfRule type="containsText" dxfId="1293" priority="1434" operator="containsText" text="m2">
      <formula>NOT(ISERROR(SEARCH("m2",B218)))</formula>
    </cfRule>
  </conditionalFormatting>
  <conditionalFormatting sqref="B219">
    <cfRule type="containsText" dxfId="1292" priority="1433" operator="containsText" text="m2">
      <formula>NOT(ISERROR(SEARCH("m2",B219)))</formula>
    </cfRule>
  </conditionalFormatting>
  <conditionalFormatting sqref="B220">
    <cfRule type="containsText" dxfId="1291" priority="1432" operator="containsText" text="m2">
      <formula>NOT(ISERROR(SEARCH("m2",B220)))</formula>
    </cfRule>
  </conditionalFormatting>
  <conditionalFormatting sqref="B293">
    <cfRule type="containsText" dxfId="1290" priority="1423" operator="containsText" text="m2">
      <formula>NOT(ISERROR(SEARCH("m2",B293)))</formula>
    </cfRule>
  </conditionalFormatting>
  <conditionalFormatting sqref="B222">
    <cfRule type="containsText" dxfId="1289" priority="1430" operator="containsText" text="m2">
      <formula>NOT(ISERROR(SEARCH("m2",B222)))</formula>
    </cfRule>
  </conditionalFormatting>
  <conditionalFormatting sqref="B294">
    <cfRule type="containsText" dxfId="1288" priority="1428" operator="containsText" text="m2">
      <formula>NOT(ISERROR(SEARCH("m2",B294)))</formula>
    </cfRule>
  </conditionalFormatting>
  <conditionalFormatting sqref="B286:B288">
    <cfRule type="containsText" dxfId="1287" priority="1427" operator="containsText" text="m2">
      <formula>NOT(ISERROR(SEARCH("m2",B286)))</formula>
    </cfRule>
  </conditionalFormatting>
  <conditionalFormatting sqref="B289">
    <cfRule type="containsText" dxfId="1286" priority="1426" operator="containsText" text="m2">
      <formula>NOT(ISERROR(SEARCH("m2",B289)))</formula>
    </cfRule>
  </conditionalFormatting>
  <conditionalFormatting sqref="B290">
    <cfRule type="containsText" dxfId="1285" priority="1425" operator="containsText" text="m2">
      <formula>NOT(ISERROR(SEARCH("m2",B290)))</formula>
    </cfRule>
  </conditionalFormatting>
  <conditionalFormatting sqref="B291">
    <cfRule type="containsText" dxfId="1284" priority="1424" operator="containsText" text="m2">
      <formula>NOT(ISERROR(SEARCH("m2",B291)))</formula>
    </cfRule>
  </conditionalFormatting>
  <conditionalFormatting sqref="B331">
    <cfRule type="containsText" dxfId="1283" priority="1410" operator="containsText" text="m2">
      <formula>NOT(ISERROR(SEARCH("m2",B331)))</formula>
    </cfRule>
  </conditionalFormatting>
  <conditionalFormatting sqref="B326">
    <cfRule type="containsText" dxfId="1282" priority="1409" operator="containsText" text="m2">
      <formula>NOT(ISERROR(SEARCH("m2",B326)))</formula>
    </cfRule>
  </conditionalFormatting>
  <conditionalFormatting sqref="B325">
    <cfRule type="containsText" dxfId="1281" priority="1414" operator="containsText" text="m2">
      <formula>NOT(ISERROR(SEARCH("m2",B325)))</formula>
    </cfRule>
  </conditionalFormatting>
  <conditionalFormatting sqref="B405">
    <cfRule type="containsText" dxfId="1280" priority="1402" operator="containsText" text="m2">
      <formula>NOT(ISERROR(SEARCH("m2",B405)))</formula>
    </cfRule>
  </conditionalFormatting>
  <conditionalFormatting sqref="B321">
    <cfRule type="containsText" dxfId="1279" priority="1418" operator="containsText" text="m2">
      <formula>NOT(ISERROR(SEARCH("m2",B321)))</formula>
    </cfRule>
  </conditionalFormatting>
  <conditionalFormatting sqref="B319">
    <cfRule type="containsText" dxfId="1278" priority="1420" operator="containsText" text="m2">
      <formula>NOT(ISERROR(SEARCH("m2",B319)))</formula>
    </cfRule>
  </conditionalFormatting>
  <conditionalFormatting sqref="B320">
    <cfRule type="containsText" dxfId="1277" priority="1419" operator="containsText" text="m2">
      <formula>NOT(ISERROR(SEARCH("m2",B320)))</formula>
    </cfRule>
  </conditionalFormatting>
  <conditionalFormatting sqref="B324">
    <cfRule type="containsText" dxfId="1276" priority="1415" operator="containsText" text="m2">
      <formula>NOT(ISERROR(SEARCH("m2",B324)))</formula>
    </cfRule>
  </conditionalFormatting>
  <conditionalFormatting sqref="B322">
    <cfRule type="containsText" dxfId="1275" priority="1417" operator="containsText" text="m2">
      <formula>NOT(ISERROR(SEARCH("m2",B322)))</formula>
    </cfRule>
  </conditionalFormatting>
  <conditionalFormatting sqref="B323">
    <cfRule type="containsText" dxfId="1274" priority="1416" operator="containsText" text="m2">
      <formula>NOT(ISERROR(SEARCH("m2",B323)))</formula>
    </cfRule>
  </conditionalFormatting>
  <conditionalFormatting sqref="B330">
    <cfRule type="containsText" dxfId="1273" priority="1411" operator="containsText" text="m2">
      <formula>NOT(ISERROR(SEARCH("m2",B330)))</formula>
    </cfRule>
  </conditionalFormatting>
  <conditionalFormatting sqref="B329">
    <cfRule type="containsText" dxfId="1272" priority="1412" operator="containsText" text="m2">
      <formula>NOT(ISERROR(SEARCH("m2",B329)))</formula>
    </cfRule>
  </conditionalFormatting>
  <conditionalFormatting sqref="B327:B328">
    <cfRule type="containsText" dxfId="1271" priority="1413" operator="containsText" text="m2">
      <formula>NOT(ISERROR(SEARCH("m2",B327)))</formula>
    </cfRule>
  </conditionalFormatting>
  <conditionalFormatting sqref="B406">
    <cfRule type="containsText" dxfId="1270" priority="1401" operator="containsText" text="m2">
      <formula>NOT(ISERROR(SEARCH("m2",B406)))</formula>
    </cfRule>
  </conditionalFormatting>
  <conditionalFormatting sqref="B407 C401:D408">
    <cfRule type="containsText" dxfId="1269" priority="1407" operator="containsText" text="m2">
      <formula>NOT(ISERROR(SEARCH("m2",B401)))</formula>
    </cfRule>
  </conditionalFormatting>
  <conditionalFormatting sqref="B401">
    <cfRule type="containsText" dxfId="1268" priority="1406" operator="containsText" text="m2">
      <formula>NOT(ISERROR(SEARCH("m2",B401)))</formula>
    </cfRule>
  </conditionalFormatting>
  <conditionalFormatting sqref="B402">
    <cfRule type="containsText" dxfId="1267" priority="1405" operator="containsText" text="m2">
      <formula>NOT(ISERROR(SEARCH("m2",B402)))</formula>
    </cfRule>
  </conditionalFormatting>
  <conditionalFormatting sqref="B403">
    <cfRule type="containsText" dxfId="1266" priority="1404" operator="containsText" text="m2">
      <formula>NOT(ISERROR(SEARCH("m2",B403)))</formula>
    </cfRule>
  </conditionalFormatting>
  <conditionalFormatting sqref="B404">
    <cfRule type="containsText" dxfId="1265" priority="1403" operator="containsText" text="m2">
      <formula>NOT(ISERROR(SEARCH("m2",B404)))</formula>
    </cfRule>
  </conditionalFormatting>
  <conditionalFormatting sqref="B457">
    <cfRule type="containsText" dxfId="1264" priority="1398" operator="containsText" text="m2">
      <formula>NOT(ISERROR(SEARCH("m2",B457)))</formula>
    </cfRule>
  </conditionalFormatting>
  <conditionalFormatting sqref="B466">
    <cfRule type="containsText" dxfId="1263" priority="1394" operator="containsText" text="m2">
      <formula>NOT(ISERROR(SEARCH("m2",B466)))</formula>
    </cfRule>
  </conditionalFormatting>
  <conditionalFormatting sqref="D464:D465">
    <cfRule type="containsText" dxfId="1262" priority="1396" operator="containsText" text="m2">
      <formula>NOT(ISERROR(SEARCH("m2",D464)))</formula>
    </cfRule>
  </conditionalFormatting>
  <conditionalFormatting sqref="B465">
    <cfRule type="containsText" dxfId="1261" priority="1397" operator="containsText" text="m2">
      <formula>NOT(ISERROR(SEARCH("m2",B465)))</formula>
    </cfRule>
  </conditionalFormatting>
  <conditionalFormatting sqref="B464">
    <cfRule type="containsText" dxfId="1260" priority="1395" operator="containsText" text="m2">
      <formula>NOT(ISERROR(SEARCH("m2",B464)))</formula>
    </cfRule>
  </conditionalFormatting>
  <conditionalFormatting sqref="B451">
    <cfRule type="containsText" dxfId="1259" priority="1391" operator="containsText" text="m2">
      <formula>NOT(ISERROR(SEARCH("m2",B451)))</formula>
    </cfRule>
  </conditionalFormatting>
  <conditionalFormatting sqref="F451">
    <cfRule type="containsText" dxfId="1258" priority="1390" operator="containsText" text="TOTAL">
      <formula>NOT(ISERROR(SEARCH("TOTAL",F451)))</formula>
    </cfRule>
  </conditionalFormatting>
  <conditionalFormatting sqref="B488:B491">
    <cfRule type="containsText" dxfId="1257" priority="1389" operator="containsText" text="m2">
      <formula>NOT(ISERROR(SEARCH("m2",B488)))</formula>
    </cfRule>
  </conditionalFormatting>
  <conditionalFormatting sqref="D488">
    <cfRule type="containsText" dxfId="1256" priority="1388" operator="containsText" text="m2">
      <formula>NOT(ISERROR(SEARCH("m2",D488)))</formula>
    </cfRule>
  </conditionalFormatting>
  <conditionalFormatting sqref="B578">
    <cfRule type="containsText" dxfId="1255" priority="1380" operator="containsText" text="m2">
      <formula>NOT(ISERROR(SEARCH("m2",B578)))</formula>
    </cfRule>
  </conditionalFormatting>
  <conditionalFormatting sqref="F574:F581 F583:F590">
    <cfRule type="containsText" dxfId="1254" priority="1386" operator="containsText" text="TOTAL">
      <formula>NOT(ISERROR(SEARCH("TOTAL",F574)))</formula>
    </cfRule>
  </conditionalFormatting>
  <conditionalFormatting sqref="B580:B581">
    <cfRule type="containsText" dxfId="1253" priority="1385" operator="containsText" text="m2">
      <formula>NOT(ISERROR(SEARCH("m2",B580)))</formula>
    </cfRule>
  </conditionalFormatting>
  <conditionalFormatting sqref="B574">
    <cfRule type="containsText" dxfId="1252" priority="1384" operator="containsText" text="m2">
      <formula>NOT(ISERROR(SEARCH("m2",B574)))</formula>
    </cfRule>
  </conditionalFormatting>
  <conditionalFormatting sqref="B575">
    <cfRule type="containsText" dxfId="1251" priority="1383" operator="containsText" text="m2">
      <formula>NOT(ISERROR(SEARCH("m2",B575)))</formula>
    </cfRule>
  </conditionalFormatting>
  <conditionalFormatting sqref="B576">
    <cfRule type="containsText" dxfId="1250" priority="1382" operator="containsText" text="m2">
      <formula>NOT(ISERROR(SEARCH("m2",B576)))</formula>
    </cfRule>
  </conditionalFormatting>
  <conditionalFormatting sqref="B577">
    <cfRule type="containsText" dxfId="1249" priority="1381" operator="containsText" text="m2">
      <formula>NOT(ISERROR(SEARCH("m2",B577)))</formula>
    </cfRule>
  </conditionalFormatting>
  <conditionalFormatting sqref="B585">
    <cfRule type="containsText" dxfId="1248" priority="1376" operator="containsText" text="m2">
      <formula>NOT(ISERROR(SEARCH("m2",B585)))</formula>
    </cfRule>
  </conditionalFormatting>
  <conditionalFormatting sqref="B579">
    <cfRule type="containsText" dxfId="1247" priority="1379" operator="containsText" text="m2">
      <formula>NOT(ISERROR(SEARCH("m2",B579)))</formula>
    </cfRule>
  </conditionalFormatting>
  <conditionalFormatting sqref="B583">
    <cfRule type="containsText" dxfId="1246" priority="1378" operator="containsText" text="m2">
      <formula>NOT(ISERROR(SEARCH("m2",B583)))</formula>
    </cfRule>
  </conditionalFormatting>
  <conditionalFormatting sqref="B584">
    <cfRule type="containsText" dxfId="1245" priority="1377" operator="containsText" text="m2">
      <formula>NOT(ISERROR(SEARCH("m2",B584)))</formula>
    </cfRule>
  </conditionalFormatting>
  <conditionalFormatting sqref="B586">
    <cfRule type="containsText" dxfId="1244" priority="1375" operator="containsText" text="m2">
      <formula>NOT(ISERROR(SEARCH("m2",B586)))</formula>
    </cfRule>
  </conditionalFormatting>
  <conditionalFormatting sqref="B587">
    <cfRule type="containsText" dxfId="1243" priority="1374" operator="containsText" text="m2">
      <formula>NOT(ISERROR(SEARCH("m2",B587)))</formula>
    </cfRule>
  </conditionalFormatting>
  <conditionalFormatting sqref="B588">
    <cfRule type="containsText" dxfId="1242" priority="1373" operator="containsText" text="m2">
      <formula>NOT(ISERROR(SEARCH("m2",B588)))</formula>
    </cfRule>
  </conditionalFormatting>
  <conditionalFormatting sqref="B589:B590">
    <cfRule type="containsText" dxfId="1241" priority="1372" operator="containsText" text="m2">
      <formula>NOT(ISERROR(SEARCH("m2",B589)))</formula>
    </cfRule>
  </conditionalFormatting>
  <conditionalFormatting sqref="B573">
    <cfRule type="containsText" dxfId="1240" priority="1371" operator="containsText" text="m2">
      <formula>NOT(ISERROR(SEARCH("m2",B573)))</formula>
    </cfRule>
  </conditionalFormatting>
  <conditionalFormatting sqref="F573">
    <cfRule type="containsText" dxfId="1239" priority="1370" operator="containsText" text="TOTAL">
      <formula>NOT(ISERROR(SEARCH("TOTAL",F573)))</formula>
    </cfRule>
  </conditionalFormatting>
  <conditionalFormatting sqref="F652">
    <cfRule type="containsText" dxfId="1238" priority="1362" operator="containsText" text="TOTAL">
      <formula>NOT(ISERROR(SEARCH("TOTAL",F652)))</formula>
    </cfRule>
  </conditionalFormatting>
  <conditionalFormatting sqref="B651:B653">
    <cfRule type="containsText" dxfId="1237" priority="1363" operator="containsText" text="m2">
      <formula>NOT(ISERROR(SEARCH("m2",B651)))</formula>
    </cfRule>
  </conditionalFormatting>
  <conditionalFormatting sqref="B663">
    <cfRule type="containsText" dxfId="1236" priority="1367" operator="containsText" text="m2">
      <formula>NOT(ISERROR(SEARCH("m2",B663)))</formula>
    </cfRule>
  </conditionalFormatting>
  <conditionalFormatting sqref="B654">
    <cfRule type="containsText" dxfId="1235" priority="1366" operator="containsText" text="m2">
      <formula>NOT(ISERROR(SEARCH("m2",B654)))</formula>
    </cfRule>
  </conditionalFormatting>
  <conditionalFormatting sqref="B648">
    <cfRule type="containsText" dxfId="1234" priority="1365" operator="containsText" text="m2">
      <formula>NOT(ISERROR(SEARCH("m2",B648)))</formula>
    </cfRule>
  </conditionalFormatting>
  <conditionalFormatting sqref="B687">
    <cfRule type="containsText" dxfId="1233" priority="1349" operator="containsText" text="m2">
      <formula>NOT(ISERROR(SEARCH("m2",B687)))</formula>
    </cfRule>
  </conditionalFormatting>
  <conditionalFormatting sqref="F651 F653">
    <cfRule type="containsText" dxfId="1232" priority="1364" operator="containsText" text="TOTAL">
      <formula>NOT(ISERROR(SEARCH("TOTAL",F651)))</formula>
    </cfRule>
  </conditionalFormatting>
  <conditionalFormatting sqref="B649:B650">
    <cfRule type="containsText" dxfId="1231" priority="1361" operator="containsText" text="m2">
      <formula>NOT(ISERROR(SEARCH("m2",B649)))</formula>
    </cfRule>
  </conditionalFormatting>
  <conditionalFormatting sqref="F649">
    <cfRule type="containsText" dxfId="1230" priority="1360" operator="containsText" text="TOTAL">
      <formula>NOT(ISERROR(SEARCH("TOTAL",F649)))</formula>
    </cfRule>
  </conditionalFormatting>
  <conditionalFormatting sqref="F650">
    <cfRule type="containsText" dxfId="1229" priority="1359" operator="containsText" text="TOTAL">
      <formula>NOT(ISERROR(SEARCH("TOTAL",F650)))</formula>
    </cfRule>
  </conditionalFormatting>
  <conditionalFormatting sqref="F681">
    <cfRule type="containsText" dxfId="1228" priority="1357" operator="containsText" text="TOTAL">
      <formula>NOT(ISERROR(SEARCH("TOTAL",F681)))</formula>
    </cfRule>
  </conditionalFormatting>
  <conditionalFormatting sqref="B681">
    <cfRule type="containsText" dxfId="1227" priority="1356" operator="containsText" text="m2">
      <formula>NOT(ISERROR(SEARCH("m2",B681)))</formula>
    </cfRule>
  </conditionalFormatting>
  <conditionalFormatting sqref="B682">
    <cfRule type="containsText" dxfId="1226" priority="1355" operator="containsText" text="m2">
      <formula>NOT(ISERROR(SEARCH("m2",B682)))</formula>
    </cfRule>
  </conditionalFormatting>
  <conditionalFormatting sqref="B683">
    <cfRule type="containsText" dxfId="1225" priority="1354" operator="containsText" text="m2">
      <formula>NOT(ISERROR(SEARCH("m2",B683)))</formula>
    </cfRule>
  </conditionalFormatting>
  <conditionalFormatting sqref="B684">
    <cfRule type="containsText" dxfId="1224" priority="1353" operator="containsText" text="m2">
      <formula>NOT(ISERROR(SEARCH("m2",B684)))</formula>
    </cfRule>
  </conditionalFormatting>
  <conditionalFormatting sqref="B685">
    <cfRule type="containsText" dxfId="1223" priority="1352" operator="containsText" text="m2">
      <formula>NOT(ISERROR(SEARCH("m2",B685)))</formula>
    </cfRule>
  </conditionalFormatting>
  <conditionalFormatting sqref="B686">
    <cfRule type="containsText" dxfId="1222" priority="1351" operator="containsText" text="m2">
      <formula>NOT(ISERROR(SEARCH("m2",B686)))</formula>
    </cfRule>
  </conditionalFormatting>
  <conditionalFormatting sqref="B841">
    <cfRule type="containsText" dxfId="1221" priority="1337" operator="containsText" text="m2">
      <formula>NOT(ISERROR(SEARCH("m2",B841)))</formula>
    </cfRule>
  </conditionalFormatting>
  <conditionalFormatting sqref="B688">
    <cfRule type="containsText" dxfId="1220" priority="1348" operator="containsText" text="m2">
      <formula>NOT(ISERROR(SEARCH("m2",B688)))</formula>
    </cfRule>
  </conditionalFormatting>
  <conditionalFormatting sqref="B689">
    <cfRule type="containsText" dxfId="1219" priority="1347" operator="containsText" text="m2">
      <formula>NOT(ISERROR(SEARCH("m2",B689)))</formula>
    </cfRule>
  </conditionalFormatting>
  <conditionalFormatting sqref="B690">
    <cfRule type="containsText" dxfId="1218" priority="1346" operator="containsText" text="m2">
      <formula>NOT(ISERROR(SEARCH("m2",B690)))</formula>
    </cfRule>
  </conditionalFormatting>
  <conditionalFormatting sqref="B691">
    <cfRule type="containsText" dxfId="1217" priority="1345" operator="containsText" text="m2">
      <formula>NOT(ISERROR(SEARCH("m2",B691)))</formula>
    </cfRule>
  </conditionalFormatting>
  <conditionalFormatting sqref="B831">
    <cfRule type="containsText" dxfId="1216" priority="1343" operator="containsText" text="m2">
      <formula>NOT(ISERROR(SEARCH("m2",B831)))</formula>
    </cfRule>
  </conditionalFormatting>
  <conditionalFormatting sqref="B836:B838">
    <cfRule type="containsText" dxfId="1215" priority="1344" operator="containsText" text="m2">
      <formula>NOT(ISERROR(SEARCH("m2",B836)))</formula>
    </cfRule>
  </conditionalFormatting>
  <conditionalFormatting sqref="B835">
    <cfRule type="containsText" dxfId="1214" priority="1339" operator="containsText" text="m2">
      <formula>NOT(ISERROR(SEARCH("m2",B835)))</formula>
    </cfRule>
  </conditionalFormatting>
  <conditionalFormatting sqref="B832">
    <cfRule type="containsText" dxfId="1213" priority="1342" operator="containsText" text="m2">
      <formula>NOT(ISERROR(SEARCH("m2",B832)))</formula>
    </cfRule>
  </conditionalFormatting>
  <conditionalFormatting sqref="B833">
    <cfRule type="containsText" dxfId="1212" priority="1341" operator="containsText" text="m2">
      <formula>NOT(ISERROR(SEARCH("m2",B833)))</formula>
    </cfRule>
  </conditionalFormatting>
  <conditionalFormatting sqref="B834">
    <cfRule type="containsText" dxfId="1211" priority="1340" operator="containsText" text="m2">
      <formula>NOT(ISERROR(SEARCH("m2",B834)))</formula>
    </cfRule>
  </conditionalFormatting>
  <conditionalFormatting sqref="B842">
    <cfRule type="containsText" dxfId="1210" priority="1336" operator="containsText" text="m2">
      <formula>NOT(ISERROR(SEARCH("m2",B842)))</formula>
    </cfRule>
  </conditionalFormatting>
  <conditionalFormatting sqref="B840">
    <cfRule type="containsText" dxfId="1209" priority="1338" operator="containsText" text="m2">
      <formula>NOT(ISERROR(SEARCH("m2",B840)))</formula>
    </cfRule>
  </conditionalFormatting>
  <conditionalFormatting sqref="B843">
    <cfRule type="containsText" dxfId="1208" priority="1335" operator="containsText" text="m2">
      <formula>NOT(ISERROR(SEARCH("m2",B843)))</formula>
    </cfRule>
  </conditionalFormatting>
  <conditionalFormatting sqref="B839">
    <cfRule type="containsText" dxfId="1207" priority="1334" operator="containsText" text="m2">
      <formula>NOT(ISERROR(SEARCH("m2",B839)))</formula>
    </cfRule>
  </conditionalFormatting>
  <conditionalFormatting sqref="B830">
    <cfRule type="containsText" dxfId="1206" priority="1333" operator="containsText" text="m2">
      <formula>NOT(ISERROR(SEARCH("m2",B830)))</formula>
    </cfRule>
  </conditionalFormatting>
  <conditionalFormatting sqref="F844">
    <cfRule type="containsText" dxfId="1205" priority="1331" operator="containsText" text="TOTAL">
      <formula>NOT(ISERROR(SEARCH("TOTAL",F844)))</formula>
    </cfRule>
  </conditionalFormatting>
  <conditionalFormatting sqref="B844">
    <cfRule type="containsText" dxfId="1204" priority="1332" operator="containsText" text="m2">
      <formula>NOT(ISERROR(SEARCH("m2",B844)))</formula>
    </cfRule>
  </conditionalFormatting>
  <conditionalFormatting sqref="B1247">
    <cfRule type="containsText" dxfId="1203" priority="1330" operator="containsText" text="m2">
      <formula>NOT(ISERROR(SEARCH("m2",B1247)))</formula>
    </cfRule>
  </conditionalFormatting>
  <conditionalFormatting sqref="C1248:E1248">
    <cfRule type="containsText" dxfId="1202" priority="1329" operator="containsText" text="m2">
      <formula>NOT(ISERROR(SEARCH("m2",C1248)))</formula>
    </cfRule>
  </conditionalFormatting>
  <conditionalFormatting sqref="F1248">
    <cfRule type="containsText" dxfId="1201" priority="1328" operator="containsText" text="TOTAL">
      <formula>NOT(ISERROR(SEARCH("TOTAL",F1248)))</formula>
    </cfRule>
  </conditionalFormatting>
  <conditionalFormatting sqref="B1256:E1256 B1250:E1250">
    <cfRule type="containsText" dxfId="1200" priority="1327" operator="containsText" text="m2">
      <formula>NOT(ISERROR(SEARCH("m2",B1250)))</formula>
    </cfRule>
  </conditionalFormatting>
  <conditionalFormatting sqref="B1249 D1249:E1249">
    <cfRule type="containsText" dxfId="1199" priority="1325" operator="containsText" text="m2">
      <formula>NOT(ISERROR(SEARCH("m2",B1249)))</formula>
    </cfRule>
  </conditionalFormatting>
  <conditionalFormatting sqref="F1250">
    <cfRule type="containsText" dxfId="1198" priority="1326" operator="containsText" text="TOTAL">
      <formula>NOT(ISERROR(SEARCH("TOTAL",F1250)))</formula>
    </cfRule>
  </conditionalFormatting>
  <conditionalFormatting sqref="F1253">
    <cfRule type="containsText" dxfId="1197" priority="1323" operator="containsText" text="TOTAL">
      <formula>NOT(ISERROR(SEARCH("TOTAL",F1253)))</formula>
    </cfRule>
  </conditionalFormatting>
  <conditionalFormatting sqref="B1253:C1253 E1253">
    <cfRule type="containsText" dxfId="1196" priority="1324" operator="containsText" text="m2">
      <formula>NOT(ISERROR(SEARCH("m2",B1253)))</formula>
    </cfRule>
  </conditionalFormatting>
  <conditionalFormatting sqref="F1252">
    <cfRule type="containsText" dxfId="1195" priority="1322" operator="containsText" text="TOTAL">
      <formula>NOT(ISERROR(SEARCH("TOTAL",F1252)))</formula>
    </cfRule>
  </conditionalFormatting>
  <conditionalFormatting sqref="B1252:E1252 D1253">
    <cfRule type="containsText" dxfId="1194" priority="1321" operator="containsText" text="m2">
      <formula>NOT(ISERROR(SEARCH("m2",B1252)))</formula>
    </cfRule>
  </conditionalFormatting>
  <conditionalFormatting sqref="F1264 F1267:F1268">
    <cfRule type="containsText" dxfId="1193" priority="1307" operator="containsText" text="TOTAL">
      <formula>NOT(ISERROR(SEARCH("TOTAL",F1264)))</formula>
    </cfRule>
  </conditionalFormatting>
  <conditionalFormatting sqref="B1254">
    <cfRule type="containsText" dxfId="1192" priority="1318" operator="containsText" text="m2">
      <formula>NOT(ISERROR(SEARCH("m2",B1254)))</formula>
    </cfRule>
  </conditionalFormatting>
  <conditionalFormatting sqref="C1254:E1254">
    <cfRule type="containsText" dxfId="1191" priority="1319" operator="containsText" text="m2">
      <formula>NOT(ISERROR(SEARCH("m2",C1254)))</formula>
    </cfRule>
  </conditionalFormatting>
  <conditionalFormatting sqref="F1254">
    <cfRule type="containsText" dxfId="1190" priority="1320" operator="containsText" text="TOTAL">
      <formula>NOT(ISERROR(SEARCH("TOTAL",F1254)))</formula>
    </cfRule>
  </conditionalFormatting>
  <conditionalFormatting sqref="B1255:C1255 E1255">
    <cfRule type="containsText" dxfId="1189" priority="1317" operator="containsText" text="m2">
      <formula>NOT(ISERROR(SEARCH("m2",B1255)))</formula>
    </cfRule>
  </conditionalFormatting>
  <conditionalFormatting sqref="D1255">
    <cfRule type="containsText" dxfId="1188" priority="1315" operator="containsText" text="m2">
      <formula>NOT(ISERROR(SEARCH("m2",D1255)))</formula>
    </cfRule>
  </conditionalFormatting>
  <conditionalFormatting sqref="F1265">
    <cfRule type="containsText" dxfId="1187" priority="1305" operator="containsText" text="TOTAL">
      <formula>NOT(ISERROR(SEARCH("TOTAL",F1265)))</formula>
    </cfRule>
  </conditionalFormatting>
  <conditionalFormatting sqref="B1264:E1264 B1267:E1268">
    <cfRule type="containsText" dxfId="1186" priority="1308" operator="containsText" text="m2">
      <formula>NOT(ISERROR(SEARCH("m2",B1264)))</formula>
    </cfRule>
  </conditionalFormatting>
  <conditionalFormatting sqref="F1255">
    <cfRule type="containsText" dxfId="1185" priority="1316" operator="containsText" text="TOTAL">
      <formula>NOT(ISERROR(SEARCH("TOTAL",F1255)))</formula>
    </cfRule>
  </conditionalFormatting>
  <conditionalFormatting sqref="B1258:E1258 B1261:E1262">
    <cfRule type="containsText" dxfId="1184" priority="1313" operator="containsText" text="m2">
      <formula>NOT(ISERROR(SEARCH("m2",B1258)))</formula>
    </cfRule>
  </conditionalFormatting>
  <conditionalFormatting sqref="F1258 F1261:F1262">
    <cfRule type="containsText" dxfId="1183" priority="1312" operator="containsText" text="TOTAL">
      <formula>NOT(ISERROR(SEARCH("TOTAL",F1258)))</formula>
    </cfRule>
  </conditionalFormatting>
  <conditionalFormatting sqref="B1257 D1257:E1257">
    <cfRule type="containsText" dxfId="1182" priority="1311" operator="containsText" text="m2">
      <formula>NOT(ISERROR(SEARCH("m2",B1257)))</formula>
    </cfRule>
  </conditionalFormatting>
  <conditionalFormatting sqref="F1256">
    <cfRule type="containsText" dxfId="1181" priority="1314" operator="containsText" text="TOTAL">
      <formula>NOT(ISERROR(SEARCH("TOTAL",F1256)))</formula>
    </cfRule>
  </conditionalFormatting>
  <conditionalFormatting sqref="B1265:E1265">
    <cfRule type="containsText" dxfId="1180" priority="1304" operator="containsText" text="m2">
      <formula>NOT(ISERROR(SEARCH("m2",B1265)))</formula>
    </cfRule>
  </conditionalFormatting>
  <conditionalFormatting sqref="B1260:E1260">
    <cfRule type="containsText" dxfId="1179" priority="1309" operator="containsText" text="m2">
      <formula>NOT(ISERROR(SEARCH("m2",B1260)))</formula>
    </cfRule>
  </conditionalFormatting>
  <conditionalFormatting sqref="B1282:E1282 B1284:E1285">
    <cfRule type="containsText" dxfId="1178" priority="1293" operator="containsText" text="m2">
      <formula>NOT(ISERROR(SEARCH("m2",B1282)))</formula>
    </cfRule>
  </conditionalFormatting>
  <conditionalFormatting sqref="F1260">
    <cfRule type="containsText" dxfId="1177" priority="1310" operator="containsText" text="TOTAL">
      <formula>NOT(ISERROR(SEARCH("TOTAL",F1260)))</formula>
    </cfRule>
  </conditionalFormatting>
  <conditionalFormatting sqref="B1270:E1270 B1273:E1274">
    <cfRule type="containsText" dxfId="1176" priority="1303" operator="containsText" text="m2">
      <formula>NOT(ISERROR(SEARCH("m2",B1270)))</formula>
    </cfRule>
  </conditionalFormatting>
  <conditionalFormatting sqref="B1269 D1269:E1269">
    <cfRule type="containsText" dxfId="1175" priority="1301" operator="containsText" text="m2">
      <formula>NOT(ISERROR(SEARCH("m2",B1269)))</formula>
    </cfRule>
  </conditionalFormatting>
  <conditionalFormatting sqref="F1271">
    <cfRule type="containsText" dxfId="1174" priority="1300" operator="containsText" text="TOTAL">
      <formula>NOT(ISERROR(SEARCH("TOTAL",F1271)))</formula>
    </cfRule>
  </conditionalFormatting>
  <conditionalFormatting sqref="B1263 D1263:E1263">
    <cfRule type="containsText" dxfId="1173" priority="1306" operator="containsText" text="m2">
      <formula>NOT(ISERROR(SEARCH("m2",B1263)))</formula>
    </cfRule>
  </conditionalFormatting>
  <conditionalFormatting sqref="B1271:E1271">
    <cfRule type="containsText" dxfId="1172" priority="1299" operator="containsText" text="m2">
      <formula>NOT(ISERROR(SEARCH("m2",B1271)))</formula>
    </cfRule>
  </conditionalFormatting>
  <conditionalFormatting sqref="F1270 F1273:F1274">
    <cfRule type="containsText" dxfId="1171" priority="1302" operator="containsText" text="TOTAL">
      <formula>NOT(ISERROR(SEARCH("TOTAL",F1270)))</formula>
    </cfRule>
  </conditionalFormatting>
  <conditionalFormatting sqref="F1282 F1284:F1285">
    <cfRule type="containsText" dxfId="1170" priority="1292" operator="containsText" text="TOTAL">
      <formula>NOT(ISERROR(SEARCH("TOTAL",F1282)))</formula>
    </cfRule>
  </conditionalFormatting>
  <conditionalFormatting sqref="B1281 D1281:E1281">
    <cfRule type="containsText" dxfId="1169" priority="1291" operator="containsText" text="m2">
      <formula>NOT(ISERROR(SEARCH("m2",B1281)))</formula>
    </cfRule>
  </conditionalFormatting>
  <conditionalFormatting sqref="B1276:E1276 B1279:E1280">
    <cfRule type="containsText" dxfId="1168" priority="1298" operator="containsText" text="m2">
      <formula>NOT(ISERROR(SEARCH("m2",B1276)))</formula>
    </cfRule>
  </conditionalFormatting>
  <conditionalFormatting sqref="F1276 F1279:F1280">
    <cfRule type="containsText" dxfId="1167" priority="1297" operator="containsText" text="TOTAL">
      <formula>NOT(ISERROR(SEARCH("TOTAL",F1276)))</formula>
    </cfRule>
  </conditionalFormatting>
  <conditionalFormatting sqref="B1275 D1275:E1275">
    <cfRule type="containsText" dxfId="1166" priority="1296" operator="containsText" text="m2">
      <formula>NOT(ISERROR(SEARCH("m2",B1275)))</formula>
    </cfRule>
  </conditionalFormatting>
  <conditionalFormatting sqref="B1277:E1277">
    <cfRule type="containsText" dxfId="1165" priority="1294" operator="containsText" text="m2">
      <formula>NOT(ISERROR(SEARCH("m2",B1277)))</formula>
    </cfRule>
  </conditionalFormatting>
  <conditionalFormatting sqref="F1277">
    <cfRule type="containsText" dxfId="1164" priority="1295" operator="containsText" text="TOTAL">
      <formula>NOT(ISERROR(SEARCH("TOTAL",F1277)))</formula>
    </cfRule>
  </conditionalFormatting>
  <conditionalFormatting sqref="B1291:E1291">
    <cfRule type="containsText" dxfId="1163" priority="1285" operator="containsText" text="m2">
      <formula>NOT(ISERROR(SEARCH("m2",B1291)))</formula>
    </cfRule>
  </conditionalFormatting>
  <conditionalFormatting sqref="F1291">
    <cfRule type="containsText" dxfId="1162" priority="1284" operator="containsText" text="TOTAL">
      <formula>NOT(ISERROR(SEARCH("TOTAL",F1291)))</formula>
    </cfRule>
  </conditionalFormatting>
  <conditionalFormatting sqref="B1292 D1292:E1292">
    <cfRule type="containsText" dxfId="1161" priority="1281" operator="containsText" text="m2">
      <formula>NOT(ISERROR(SEARCH("m2",B1292)))</formula>
    </cfRule>
  </conditionalFormatting>
  <conditionalFormatting sqref="B1287:E1287 B1290:E1290">
    <cfRule type="containsText" dxfId="1160" priority="1290" operator="containsText" text="m2">
      <formula>NOT(ISERROR(SEARCH("m2",B1287)))</formula>
    </cfRule>
  </conditionalFormatting>
  <conditionalFormatting sqref="F1287 F1290">
    <cfRule type="containsText" dxfId="1159" priority="1289" operator="containsText" text="TOTAL">
      <formula>NOT(ISERROR(SEARCH("TOTAL",F1287)))</formula>
    </cfRule>
  </conditionalFormatting>
  <conditionalFormatting sqref="B1286 D1286:E1286">
    <cfRule type="containsText" dxfId="1158" priority="1288" operator="containsText" text="m2">
      <formula>NOT(ISERROR(SEARCH("m2",B1286)))</formula>
    </cfRule>
  </conditionalFormatting>
  <conditionalFormatting sqref="B1288:E1288">
    <cfRule type="containsText" dxfId="1157" priority="1286" operator="containsText" text="m2">
      <formula>NOT(ISERROR(SEARCH("m2",B1288)))</formula>
    </cfRule>
  </conditionalFormatting>
  <conditionalFormatting sqref="F1288">
    <cfRule type="containsText" dxfId="1156" priority="1287" operator="containsText" text="TOTAL">
      <formula>NOT(ISERROR(SEARCH("TOTAL",F1288)))</formula>
    </cfRule>
  </conditionalFormatting>
  <conditionalFormatting sqref="B1293:E1293 B1296:E1296">
    <cfRule type="containsText" dxfId="1155" priority="1283" operator="containsText" text="m2">
      <formula>NOT(ISERROR(SEARCH("m2",B1293)))</formula>
    </cfRule>
  </conditionalFormatting>
  <conditionalFormatting sqref="F1294">
    <cfRule type="containsText" dxfId="1154" priority="1280" operator="containsText" text="TOTAL">
      <formula>NOT(ISERROR(SEARCH("TOTAL",F1294)))</formula>
    </cfRule>
  </conditionalFormatting>
  <conditionalFormatting sqref="B1294:E1294">
    <cfRule type="containsText" dxfId="1153" priority="1279" operator="containsText" text="m2">
      <formula>NOT(ISERROR(SEARCH("m2",B1294)))</formula>
    </cfRule>
  </conditionalFormatting>
  <conditionalFormatting sqref="F1293 F1296">
    <cfRule type="containsText" dxfId="1152" priority="1282" operator="containsText" text="TOTAL">
      <formula>NOT(ISERROR(SEARCH("TOTAL",F1293)))</formula>
    </cfRule>
  </conditionalFormatting>
  <conditionalFormatting sqref="B1297:E1297">
    <cfRule type="containsText" dxfId="1151" priority="1278" operator="containsText" text="m2">
      <formula>NOT(ISERROR(SEARCH("m2",B1297)))</formula>
    </cfRule>
  </conditionalFormatting>
  <conditionalFormatting sqref="F1297">
    <cfRule type="containsText" dxfId="1150" priority="1277" operator="containsText" text="TOTAL">
      <formula>NOT(ISERROR(SEARCH("TOTAL",F1297)))</formula>
    </cfRule>
  </conditionalFormatting>
  <conditionalFormatting sqref="B1299:E1299 B1302:E1302">
    <cfRule type="containsText" dxfId="1149" priority="1276" operator="containsText" text="m2">
      <formula>NOT(ISERROR(SEARCH("m2",B1299)))</formula>
    </cfRule>
  </conditionalFormatting>
  <conditionalFormatting sqref="F1299 F1302">
    <cfRule type="containsText" dxfId="1148" priority="1275" operator="containsText" text="TOTAL">
      <formula>NOT(ISERROR(SEARCH("TOTAL",F1299)))</formula>
    </cfRule>
  </conditionalFormatting>
  <conditionalFormatting sqref="B1298 D1298:E1298">
    <cfRule type="containsText" dxfId="1147" priority="1274" operator="containsText" text="m2">
      <formula>NOT(ISERROR(SEARCH("m2",B1298)))</formula>
    </cfRule>
  </conditionalFormatting>
  <conditionalFormatting sqref="B1300:E1300">
    <cfRule type="containsText" dxfId="1146" priority="1272" operator="containsText" text="m2">
      <formula>NOT(ISERROR(SEARCH("m2",B1300)))</formula>
    </cfRule>
  </conditionalFormatting>
  <conditionalFormatting sqref="F1300">
    <cfRule type="containsText" dxfId="1145" priority="1273" operator="containsText" text="TOTAL">
      <formula>NOT(ISERROR(SEARCH("TOTAL",F1300)))</formula>
    </cfRule>
  </conditionalFormatting>
  <conditionalFormatting sqref="B1304:E1304">
    <cfRule type="containsText" dxfId="1144" priority="1271" operator="containsText" text="m2">
      <formula>NOT(ISERROR(SEARCH("m2",B1304)))</formula>
    </cfRule>
  </conditionalFormatting>
  <conditionalFormatting sqref="F1304">
    <cfRule type="containsText" dxfId="1143" priority="1270" operator="containsText" text="TOTAL">
      <formula>NOT(ISERROR(SEARCH("TOTAL",F1304)))</formula>
    </cfRule>
  </conditionalFormatting>
  <conditionalFormatting sqref="B1303:E1303">
    <cfRule type="containsText" dxfId="1142" priority="1269" operator="containsText" text="m2">
      <formula>NOT(ISERROR(SEARCH("m2",B1303)))</formula>
    </cfRule>
  </conditionalFormatting>
  <conditionalFormatting sqref="F1303">
    <cfRule type="containsText" dxfId="1141" priority="1268" operator="containsText" text="TOTAL">
      <formula>NOT(ISERROR(SEARCH("TOTAL",F1303)))</formula>
    </cfRule>
  </conditionalFormatting>
  <conditionalFormatting sqref="B1306:E1306">
    <cfRule type="containsText" dxfId="1140" priority="1267" operator="containsText" text="m2">
      <formula>NOT(ISERROR(SEARCH("m2",B1306)))</formula>
    </cfRule>
  </conditionalFormatting>
  <conditionalFormatting sqref="F1306">
    <cfRule type="containsText" dxfId="1139" priority="1266" operator="containsText" text="TOTAL">
      <formula>NOT(ISERROR(SEARCH("TOTAL",F1306)))</formula>
    </cfRule>
  </conditionalFormatting>
  <conditionalFormatting sqref="B1305 D1305:E1305">
    <cfRule type="containsText" dxfId="1138" priority="1265" operator="containsText" text="m2">
      <formula>NOT(ISERROR(SEARCH("m2",B1305)))</formula>
    </cfRule>
  </conditionalFormatting>
  <conditionalFormatting sqref="B1348:E1348">
    <cfRule type="containsText" dxfId="1137" priority="1208" operator="containsText" text="m2">
      <formula>NOT(ISERROR(SEARCH("m2",B1348)))</formula>
    </cfRule>
  </conditionalFormatting>
  <conditionalFormatting sqref="B1309:E1309">
    <cfRule type="containsText" dxfId="1136" priority="1264" operator="containsText" text="m2">
      <formula>NOT(ISERROR(SEARCH("m2",B1309)))</formula>
    </cfRule>
  </conditionalFormatting>
  <conditionalFormatting sqref="F1309">
    <cfRule type="containsText" dxfId="1135" priority="1263" operator="containsText" text="TOTAL">
      <formula>NOT(ISERROR(SEARCH("TOTAL",F1309)))</formula>
    </cfRule>
  </conditionalFormatting>
  <conditionalFormatting sqref="B1308:E1308">
    <cfRule type="containsText" dxfId="1134" priority="1262" operator="containsText" text="m2">
      <formula>NOT(ISERROR(SEARCH("m2",B1308)))</formula>
    </cfRule>
  </conditionalFormatting>
  <conditionalFormatting sqref="F1308">
    <cfRule type="containsText" dxfId="1133" priority="1261" operator="containsText" text="TOTAL">
      <formula>NOT(ISERROR(SEARCH("TOTAL",F1308)))</formula>
    </cfRule>
  </conditionalFormatting>
  <conditionalFormatting sqref="C1311:E1311">
    <cfRule type="containsText" dxfId="1132" priority="1260" operator="containsText" text="m2">
      <formula>NOT(ISERROR(SEARCH("m2",C1311)))</formula>
    </cfRule>
  </conditionalFormatting>
  <conditionalFormatting sqref="F1311">
    <cfRule type="containsText" dxfId="1131" priority="1259" operator="containsText" text="TOTAL">
      <formula>NOT(ISERROR(SEARCH("TOTAL",F1311)))</formula>
    </cfRule>
  </conditionalFormatting>
  <conditionalFormatting sqref="D1310:E1310">
    <cfRule type="containsText" dxfId="1130" priority="1258" operator="containsText" text="m2">
      <formula>NOT(ISERROR(SEARCH("m2",D1310)))</formula>
    </cfRule>
  </conditionalFormatting>
  <conditionalFormatting sqref="B1314:E1314">
    <cfRule type="containsText" dxfId="1129" priority="1257" operator="containsText" text="m2">
      <formula>NOT(ISERROR(SEARCH("m2",B1314)))</formula>
    </cfRule>
  </conditionalFormatting>
  <conditionalFormatting sqref="F1314">
    <cfRule type="containsText" dxfId="1128" priority="1256" operator="containsText" text="TOTAL">
      <formula>NOT(ISERROR(SEARCH("TOTAL",F1314)))</formula>
    </cfRule>
  </conditionalFormatting>
  <conditionalFormatting sqref="B1313:E1313">
    <cfRule type="containsText" dxfId="1127" priority="1255" operator="containsText" text="m2">
      <formula>NOT(ISERROR(SEARCH("m2",B1313)))</formula>
    </cfRule>
  </conditionalFormatting>
  <conditionalFormatting sqref="F1313">
    <cfRule type="containsText" dxfId="1126" priority="1254" operator="containsText" text="TOTAL">
      <formula>NOT(ISERROR(SEARCH("TOTAL",F1313)))</formula>
    </cfRule>
  </conditionalFormatting>
  <conditionalFormatting sqref="B1316:E1316 B1319:E1319">
    <cfRule type="containsText" dxfId="1125" priority="1253" operator="containsText" text="m2">
      <formula>NOT(ISERROR(SEARCH("m2",B1316)))</formula>
    </cfRule>
  </conditionalFormatting>
  <conditionalFormatting sqref="F1316 F1319">
    <cfRule type="containsText" dxfId="1124" priority="1252" operator="containsText" text="TOTAL">
      <formula>NOT(ISERROR(SEARCH("TOTAL",F1316)))</formula>
    </cfRule>
  </conditionalFormatting>
  <conditionalFormatting sqref="B1315 D1315:E1315">
    <cfRule type="containsText" dxfId="1123" priority="1251" operator="containsText" text="m2">
      <formula>NOT(ISERROR(SEARCH("m2",B1315)))</formula>
    </cfRule>
  </conditionalFormatting>
  <conditionalFormatting sqref="B1317:E1317">
    <cfRule type="containsText" dxfId="1122" priority="1249" operator="containsText" text="m2">
      <formula>NOT(ISERROR(SEARCH("m2",B1317)))</formula>
    </cfRule>
  </conditionalFormatting>
  <conditionalFormatting sqref="F1317">
    <cfRule type="containsText" dxfId="1121" priority="1250" operator="containsText" text="TOTAL">
      <formula>NOT(ISERROR(SEARCH("TOTAL",F1317)))</formula>
    </cfRule>
  </conditionalFormatting>
  <conditionalFormatting sqref="B1321:E1321">
    <cfRule type="containsText" dxfId="1120" priority="1248" operator="containsText" text="m2">
      <formula>NOT(ISERROR(SEARCH("m2",B1321)))</formula>
    </cfRule>
  </conditionalFormatting>
  <conditionalFormatting sqref="F1321">
    <cfRule type="containsText" dxfId="1119" priority="1247" operator="containsText" text="TOTAL">
      <formula>NOT(ISERROR(SEARCH("TOTAL",F1321)))</formula>
    </cfRule>
  </conditionalFormatting>
  <conditionalFormatting sqref="B1320:E1320">
    <cfRule type="containsText" dxfId="1118" priority="1246" operator="containsText" text="m2">
      <formula>NOT(ISERROR(SEARCH("m2",B1320)))</formula>
    </cfRule>
  </conditionalFormatting>
  <conditionalFormatting sqref="F1320">
    <cfRule type="containsText" dxfId="1117" priority="1245" operator="containsText" text="TOTAL">
      <formula>NOT(ISERROR(SEARCH("TOTAL",F1320)))</formula>
    </cfRule>
  </conditionalFormatting>
  <conditionalFormatting sqref="C1323:E1323">
    <cfRule type="containsText" dxfId="1116" priority="1244" operator="containsText" text="m2">
      <formula>NOT(ISERROR(SEARCH("m2",C1323)))</formula>
    </cfRule>
  </conditionalFormatting>
  <conditionalFormatting sqref="F1323">
    <cfRule type="containsText" dxfId="1115" priority="1243" operator="containsText" text="TOTAL">
      <formula>NOT(ISERROR(SEARCH("TOTAL",F1323)))</formula>
    </cfRule>
  </conditionalFormatting>
  <conditionalFormatting sqref="D1322:E1322">
    <cfRule type="containsText" dxfId="1114" priority="1242" operator="containsText" text="m2">
      <formula>NOT(ISERROR(SEARCH("m2",D1322)))</formula>
    </cfRule>
  </conditionalFormatting>
  <conditionalFormatting sqref="B1326:E1326">
    <cfRule type="containsText" dxfId="1113" priority="1241" operator="containsText" text="m2">
      <formula>NOT(ISERROR(SEARCH("m2",B1326)))</formula>
    </cfRule>
  </conditionalFormatting>
  <conditionalFormatting sqref="F1326">
    <cfRule type="containsText" dxfId="1112" priority="1240" operator="containsText" text="TOTAL">
      <formula>NOT(ISERROR(SEARCH("TOTAL",F1326)))</formula>
    </cfRule>
  </conditionalFormatting>
  <conditionalFormatting sqref="B1325:E1325">
    <cfRule type="containsText" dxfId="1111" priority="1239" operator="containsText" text="m2">
      <formula>NOT(ISERROR(SEARCH("m2",B1325)))</formula>
    </cfRule>
  </conditionalFormatting>
  <conditionalFormatting sqref="F1325">
    <cfRule type="containsText" dxfId="1110" priority="1238" operator="containsText" text="TOTAL">
      <formula>NOT(ISERROR(SEARCH("TOTAL",F1325)))</formula>
    </cfRule>
  </conditionalFormatting>
  <conditionalFormatting sqref="C1328:E1328">
    <cfRule type="containsText" dxfId="1109" priority="1237" operator="containsText" text="m2">
      <formula>NOT(ISERROR(SEARCH("m2",C1328)))</formula>
    </cfRule>
  </conditionalFormatting>
  <conditionalFormatting sqref="F1328">
    <cfRule type="containsText" dxfId="1108" priority="1236" operator="containsText" text="TOTAL">
      <formula>NOT(ISERROR(SEARCH("TOTAL",F1328)))</formula>
    </cfRule>
  </conditionalFormatting>
  <conditionalFormatting sqref="D1327:E1327">
    <cfRule type="containsText" dxfId="1107" priority="1235" operator="containsText" text="m2">
      <formula>NOT(ISERROR(SEARCH("m2",D1327)))</formula>
    </cfRule>
  </conditionalFormatting>
  <conditionalFormatting sqref="B1331:E1331">
    <cfRule type="containsText" dxfId="1106" priority="1234" operator="containsText" text="m2">
      <formula>NOT(ISERROR(SEARCH("m2",B1331)))</formula>
    </cfRule>
  </conditionalFormatting>
  <conditionalFormatting sqref="F1331">
    <cfRule type="containsText" dxfId="1105" priority="1233" operator="containsText" text="TOTAL">
      <formula>NOT(ISERROR(SEARCH("TOTAL",F1331)))</formula>
    </cfRule>
  </conditionalFormatting>
  <conditionalFormatting sqref="B1330:E1330">
    <cfRule type="containsText" dxfId="1104" priority="1232" operator="containsText" text="m2">
      <formula>NOT(ISERROR(SEARCH("m2",B1330)))</formula>
    </cfRule>
  </conditionalFormatting>
  <conditionalFormatting sqref="F1330">
    <cfRule type="containsText" dxfId="1103" priority="1231" operator="containsText" text="TOTAL">
      <formula>NOT(ISERROR(SEARCH("TOTAL",F1330)))</formula>
    </cfRule>
  </conditionalFormatting>
  <conditionalFormatting sqref="B1333:E1333 B1336:E1336">
    <cfRule type="containsText" dxfId="1102" priority="1230" operator="containsText" text="m2">
      <formula>NOT(ISERROR(SEARCH("m2",B1333)))</formula>
    </cfRule>
  </conditionalFormatting>
  <conditionalFormatting sqref="F1333 F1336">
    <cfRule type="containsText" dxfId="1101" priority="1229" operator="containsText" text="TOTAL">
      <formula>NOT(ISERROR(SEARCH("TOTAL",F1333)))</formula>
    </cfRule>
  </conditionalFormatting>
  <conditionalFormatting sqref="B1332 D1332:E1332">
    <cfRule type="containsText" dxfId="1100" priority="1228" operator="containsText" text="m2">
      <formula>NOT(ISERROR(SEARCH("m2",B1332)))</formula>
    </cfRule>
  </conditionalFormatting>
  <conditionalFormatting sqref="B1334:E1334">
    <cfRule type="containsText" dxfId="1099" priority="1226" operator="containsText" text="m2">
      <formula>NOT(ISERROR(SEARCH("m2",B1334)))</formula>
    </cfRule>
  </conditionalFormatting>
  <conditionalFormatting sqref="F1334">
    <cfRule type="containsText" dxfId="1098" priority="1227" operator="containsText" text="TOTAL">
      <formula>NOT(ISERROR(SEARCH("TOTAL",F1334)))</formula>
    </cfRule>
  </conditionalFormatting>
  <conditionalFormatting sqref="B1338:E1338">
    <cfRule type="containsText" dxfId="1097" priority="1225" operator="containsText" text="m2">
      <formula>NOT(ISERROR(SEARCH("m2",B1338)))</formula>
    </cfRule>
  </conditionalFormatting>
  <conditionalFormatting sqref="F1338">
    <cfRule type="containsText" dxfId="1096" priority="1224" operator="containsText" text="TOTAL">
      <formula>NOT(ISERROR(SEARCH("TOTAL",F1338)))</formula>
    </cfRule>
  </conditionalFormatting>
  <conditionalFormatting sqref="B1337:E1337">
    <cfRule type="containsText" dxfId="1095" priority="1223" operator="containsText" text="m2">
      <formula>NOT(ISERROR(SEARCH("m2",B1337)))</formula>
    </cfRule>
  </conditionalFormatting>
  <conditionalFormatting sqref="F1337">
    <cfRule type="containsText" dxfId="1094" priority="1222" operator="containsText" text="TOTAL">
      <formula>NOT(ISERROR(SEARCH("TOTAL",F1337)))</formula>
    </cfRule>
  </conditionalFormatting>
  <conditionalFormatting sqref="B1311">
    <cfRule type="containsText" dxfId="1093" priority="1221" operator="containsText" text="m2">
      <formula>NOT(ISERROR(SEARCH("m2",B1311)))</formula>
    </cfRule>
  </conditionalFormatting>
  <conditionalFormatting sqref="B1323">
    <cfRule type="containsText" dxfId="1092" priority="1220" operator="containsText" text="m2">
      <formula>NOT(ISERROR(SEARCH("m2",B1323)))</formula>
    </cfRule>
  </conditionalFormatting>
  <conditionalFormatting sqref="B1328">
    <cfRule type="containsText" dxfId="1091" priority="1219" operator="containsText" text="m2">
      <formula>NOT(ISERROR(SEARCH("m2",B1328)))</formula>
    </cfRule>
  </conditionalFormatting>
  <conditionalFormatting sqref="B1340:E1340">
    <cfRule type="containsText" dxfId="1090" priority="1218" operator="containsText" text="m2">
      <formula>NOT(ISERROR(SEARCH("m2",B1340)))</formula>
    </cfRule>
  </conditionalFormatting>
  <conditionalFormatting sqref="F1340">
    <cfRule type="containsText" dxfId="1089" priority="1217" operator="containsText" text="TOTAL">
      <formula>NOT(ISERROR(SEARCH("TOTAL",F1340)))</formula>
    </cfRule>
  </conditionalFormatting>
  <conditionalFormatting sqref="B1339 D1339:E1339">
    <cfRule type="containsText" dxfId="1088" priority="1216" operator="containsText" text="m2">
      <formula>NOT(ISERROR(SEARCH("m2",B1339)))</formula>
    </cfRule>
  </conditionalFormatting>
  <conditionalFormatting sqref="B1343:E1343">
    <cfRule type="containsText" dxfId="1087" priority="1215" operator="containsText" text="m2">
      <formula>NOT(ISERROR(SEARCH("m2",B1343)))</formula>
    </cfRule>
  </conditionalFormatting>
  <conditionalFormatting sqref="F1343">
    <cfRule type="containsText" dxfId="1086" priority="1214" operator="containsText" text="TOTAL">
      <formula>NOT(ISERROR(SEARCH("TOTAL",F1343)))</formula>
    </cfRule>
  </conditionalFormatting>
  <conditionalFormatting sqref="B1342:E1342">
    <cfRule type="containsText" dxfId="1085" priority="1213" operator="containsText" text="m2">
      <formula>NOT(ISERROR(SEARCH("m2",B1342)))</formula>
    </cfRule>
  </conditionalFormatting>
  <conditionalFormatting sqref="F1342">
    <cfRule type="containsText" dxfId="1084" priority="1212" operator="containsText" text="TOTAL">
      <formula>NOT(ISERROR(SEARCH("TOTAL",F1342)))</formula>
    </cfRule>
  </conditionalFormatting>
  <conditionalFormatting sqref="C1345:E1345">
    <cfRule type="containsText" dxfId="1083" priority="1211" operator="containsText" text="m2">
      <formula>NOT(ISERROR(SEARCH("m2",C1345)))</formula>
    </cfRule>
  </conditionalFormatting>
  <conditionalFormatting sqref="F1345">
    <cfRule type="containsText" dxfId="1082" priority="1210" operator="containsText" text="TOTAL">
      <formula>NOT(ISERROR(SEARCH("TOTAL",F1345)))</formula>
    </cfRule>
  </conditionalFormatting>
  <conditionalFormatting sqref="B1344 D1344:E1344">
    <cfRule type="containsText" dxfId="1081" priority="1209" operator="containsText" text="m2">
      <formula>NOT(ISERROR(SEARCH("m2",B1344)))</formula>
    </cfRule>
  </conditionalFormatting>
  <conditionalFormatting sqref="F1348">
    <cfRule type="containsText" dxfId="1080" priority="1207" operator="containsText" text="TOTAL">
      <formula>NOT(ISERROR(SEARCH("TOTAL",F1348)))</formula>
    </cfRule>
  </conditionalFormatting>
  <conditionalFormatting sqref="B1347:E1347">
    <cfRule type="containsText" dxfId="1079" priority="1206" operator="containsText" text="m2">
      <formula>NOT(ISERROR(SEARCH("m2",B1347)))</formula>
    </cfRule>
  </conditionalFormatting>
  <conditionalFormatting sqref="F1347">
    <cfRule type="containsText" dxfId="1078" priority="1205" operator="containsText" text="TOTAL">
      <formula>NOT(ISERROR(SEARCH("TOTAL",F1347)))</formula>
    </cfRule>
  </conditionalFormatting>
  <conditionalFormatting sqref="B1345">
    <cfRule type="containsText" dxfId="1077" priority="1204" operator="containsText" text="m2">
      <formula>NOT(ISERROR(SEARCH("m2",B1345)))</formula>
    </cfRule>
  </conditionalFormatting>
  <conditionalFormatting sqref="B1310">
    <cfRule type="containsText" dxfId="1076" priority="1203" operator="containsText" text="m2">
      <formula>NOT(ISERROR(SEARCH("m2",B1310)))</formula>
    </cfRule>
  </conditionalFormatting>
  <conditionalFormatting sqref="B1322">
    <cfRule type="containsText" dxfId="1075" priority="1202" operator="containsText" text="m2">
      <formula>NOT(ISERROR(SEARCH("m2",B1322)))</formula>
    </cfRule>
  </conditionalFormatting>
  <conditionalFormatting sqref="B1327">
    <cfRule type="containsText" dxfId="1074" priority="1201" operator="containsText" text="m2">
      <formula>NOT(ISERROR(SEARCH("m2",B1327)))</formula>
    </cfRule>
  </conditionalFormatting>
  <conditionalFormatting sqref="B1248">
    <cfRule type="containsText" dxfId="1073" priority="1193" operator="containsText" text="m2">
      <formula>NOT(ISERROR(SEARCH("m2",B1248)))</formula>
    </cfRule>
  </conditionalFormatting>
  <conditionalFormatting sqref="F1251">
    <cfRule type="containsText" dxfId="1072" priority="1192" operator="containsText" text="TOTAL">
      <formula>NOT(ISERROR(SEARCH("TOTAL",F1251)))</formula>
    </cfRule>
  </conditionalFormatting>
  <conditionalFormatting sqref="B1251:E1251">
    <cfRule type="containsText" dxfId="1071" priority="1191" operator="containsText" text="m2">
      <formula>NOT(ISERROR(SEARCH("m2",B1251)))</formula>
    </cfRule>
  </conditionalFormatting>
  <conditionalFormatting sqref="F1259">
    <cfRule type="containsText" dxfId="1070" priority="1190" operator="containsText" text="TOTAL">
      <formula>NOT(ISERROR(SEARCH("TOTAL",F1259)))</formula>
    </cfRule>
  </conditionalFormatting>
  <conditionalFormatting sqref="B1259:E1259">
    <cfRule type="containsText" dxfId="1069" priority="1189" operator="containsText" text="m2">
      <formula>NOT(ISERROR(SEARCH("m2",B1259)))</formula>
    </cfRule>
  </conditionalFormatting>
  <conditionalFormatting sqref="F1266">
    <cfRule type="containsText" dxfId="1068" priority="1188" operator="containsText" text="TOTAL">
      <formula>NOT(ISERROR(SEARCH("TOTAL",F1266)))</formula>
    </cfRule>
  </conditionalFormatting>
  <conditionalFormatting sqref="B1266:E1266">
    <cfRule type="containsText" dxfId="1067" priority="1187" operator="containsText" text="m2">
      <formula>NOT(ISERROR(SEARCH("m2",B1266)))</formula>
    </cfRule>
  </conditionalFormatting>
  <conditionalFormatting sqref="F1272">
    <cfRule type="containsText" dxfId="1066" priority="1186" operator="containsText" text="TOTAL">
      <formula>NOT(ISERROR(SEARCH("TOTAL",F1272)))</formula>
    </cfRule>
  </conditionalFormatting>
  <conditionalFormatting sqref="B1272:E1272">
    <cfRule type="containsText" dxfId="1065" priority="1185" operator="containsText" text="m2">
      <formula>NOT(ISERROR(SEARCH("m2",B1272)))</formula>
    </cfRule>
  </conditionalFormatting>
  <conditionalFormatting sqref="F1278">
    <cfRule type="containsText" dxfId="1064" priority="1184" operator="containsText" text="TOTAL">
      <formula>NOT(ISERROR(SEARCH("TOTAL",F1278)))</formula>
    </cfRule>
  </conditionalFormatting>
  <conditionalFormatting sqref="B1278:E1278">
    <cfRule type="containsText" dxfId="1063" priority="1183" operator="containsText" text="m2">
      <formula>NOT(ISERROR(SEARCH("m2",B1278)))</formula>
    </cfRule>
  </conditionalFormatting>
  <conditionalFormatting sqref="F1283">
    <cfRule type="containsText" dxfId="1062" priority="1182" operator="containsText" text="TOTAL">
      <formula>NOT(ISERROR(SEARCH("TOTAL",F1283)))</formula>
    </cfRule>
  </conditionalFormatting>
  <conditionalFormatting sqref="B1283:E1283">
    <cfRule type="containsText" dxfId="1061" priority="1181" operator="containsText" text="m2">
      <formula>NOT(ISERROR(SEARCH("m2",B1283)))</formula>
    </cfRule>
  </conditionalFormatting>
  <conditionalFormatting sqref="F1289">
    <cfRule type="containsText" dxfId="1060" priority="1180" operator="containsText" text="TOTAL">
      <formula>NOT(ISERROR(SEARCH("TOTAL",F1289)))</formula>
    </cfRule>
  </conditionalFormatting>
  <conditionalFormatting sqref="B1289:E1289">
    <cfRule type="containsText" dxfId="1059" priority="1179" operator="containsText" text="m2">
      <formula>NOT(ISERROR(SEARCH("m2",B1289)))</formula>
    </cfRule>
  </conditionalFormatting>
  <conditionalFormatting sqref="F1295">
    <cfRule type="containsText" dxfId="1058" priority="1178" operator="containsText" text="TOTAL">
      <formula>NOT(ISERROR(SEARCH("TOTAL",F1295)))</formula>
    </cfRule>
  </conditionalFormatting>
  <conditionalFormatting sqref="B1295:E1295">
    <cfRule type="containsText" dxfId="1057" priority="1177" operator="containsText" text="m2">
      <formula>NOT(ISERROR(SEARCH("m2",B1295)))</formula>
    </cfRule>
  </conditionalFormatting>
  <conditionalFormatting sqref="F1301">
    <cfRule type="containsText" dxfId="1056" priority="1176" operator="containsText" text="TOTAL">
      <formula>NOT(ISERROR(SEARCH("TOTAL",F1301)))</formula>
    </cfRule>
  </conditionalFormatting>
  <conditionalFormatting sqref="B1301:E1301">
    <cfRule type="containsText" dxfId="1055" priority="1175" operator="containsText" text="m2">
      <formula>NOT(ISERROR(SEARCH("m2",B1301)))</formula>
    </cfRule>
  </conditionalFormatting>
  <conditionalFormatting sqref="F1307">
    <cfRule type="containsText" dxfId="1054" priority="1174" operator="containsText" text="TOTAL">
      <formula>NOT(ISERROR(SEARCH("TOTAL",F1307)))</formula>
    </cfRule>
  </conditionalFormatting>
  <conditionalFormatting sqref="B1307:E1307">
    <cfRule type="containsText" dxfId="1053" priority="1173" operator="containsText" text="m2">
      <formula>NOT(ISERROR(SEARCH("m2",B1307)))</formula>
    </cfRule>
  </conditionalFormatting>
  <conditionalFormatting sqref="F1312">
    <cfRule type="containsText" dxfId="1052" priority="1172" operator="containsText" text="TOTAL">
      <formula>NOT(ISERROR(SEARCH("TOTAL",F1312)))</formula>
    </cfRule>
  </conditionalFormatting>
  <conditionalFormatting sqref="B1312:E1312">
    <cfRule type="containsText" dxfId="1051" priority="1171" operator="containsText" text="m2">
      <formula>NOT(ISERROR(SEARCH("m2",B1312)))</formula>
    </cfRule>
  </conditionalFormatting>
  <conditionalFormatting sqref="F1318">
    <cfRule type="containsText" dxfId="1050" priority="1170" operator="containsText" text="TOTAL">
      <formula>NOT(ISERROR(SEARCH("TOTAL",F1318)))</formula>
    </cfRule>
  </conditionalFormatting>
  <conditionalFormatting sqref="B1318:E1318">
    <cfRule type="containsText" dxfId="1049" priority="1169" operator="containsText" text="m2">
      <formula>NOT(ISERROR(SEARCH("m2",B1318)))</formula>
    </cfRule>
  </conditionalFormatting>
  <conditionalFormatting sqref="F1324">
    <cfRule type="containsText" dxfId="1048" priority="1168" operator="containsText" text="TOTAL">
      <formula>NOT(ISERROR(SEARCH("TOTAL",F1324)))</formula>
    </cfRule>
  </conditionalFormatting>
  <conditionalFormatting sqref="B1324:E1324">
    <cfRule type="containsText" dxfId="1047" priority="1167" operator="containsText" text="m2">
      <formula>NOT(ISERROR(SEARCH("m2",B1324)))</formula>
    </cfRule>
  </conditionalFormatting>
  <conditionalFormatting sqref="F1329">
    <cfRule type="containsText" dxfId="1046" priority="1166" operator="containsText" text="TOTAL">
      <formula>NOT(ISERROR(SEARCH("TOTAL",F1329)))</formula>
    </cfRule>
  </conditionalFormatting>
  <conditionalFormatting sqref="B1329:E1329">
    <cfRule type="containsText" dxfId="1045" priority="1165" operator="containsText" text="m2">
      <formula>NOT(ISERROR(SEARCH("m2",B1329)))</formula>
    </cfRule>
  </conditionalFormatting>
  <conditionalFormatting sqref="F1335">
    <cfRule type="containsText" dxfId="1044" priority="1164" operator="containsText" text="TOTAL">
      <formula>NOT(ISERROR(SEARCH("TOTAL",F1335)))</formula>
    </cfRule>
  </conditionalFormatting>
  <conditionalFormatting sqref="B1335:E1335">
    <cfRule type="containsText" dxfId="1043" priority="1163" operator="containsText" text="m2">
      <formula>NOT(ISERROR(SEARCH("m2",B1335)))</formula>
    </cfRule>
  </conditionalFormatting>
  <conditionalFormatting sqref="F1341">
    <cfRule type="containsText" dxfId="1042" priority="1162" operator="containsText" text="TOTAL">
      <formula>NOT(ISERROR(SEARCH("TOTAL",F1341)))</formula>
    </cfRule>
  </conditionalFormatting>
  <conditionalFormatting sqref="B1341:E1341">
    <cfRule type="containsText" dxfId="1041" priority="1161" operator="containsText" text="m2">
      <formula>NOT(ISERROR(SEARCH("m2",B1341)))</formula>
    </cfRule>
  </conditionalFormatting>
  <conditionalFormatting sqref="F1346">
    <cfRule type="containsText" dxfId="1040" priority="1160" operator="containsText" text="TOTAL">
      <formula>NOT(ISERROR(SEARCH("TOTAL",F1346)))</formula>
    </cfRule>
  </conditionalFormatting>
  <conditionalFormatting sqref="B1346:E1346">
    <cfRule type="containsText" dxfId="1039" priority="1159" operator="containsText" text="m2">
      <formula>NOT(ISERROR(SEARCH("m2",B1346)))</formula>
    </cfRule>
  </conditionalFormatting>
  <conditionalFormatting sqref="B1349 D1349:E1349">
    <cfRule type="containsText" dxfId="1038" priority="1155" operator="containsText" text="m2">
      <formula>NOT(ISERROR(SEARCH("m2",B1349)))</formula>
    </cfRule>
  </conditionalFormatting>
  <conditionalFormatting sqref="F1350 F1352:F1353">
    <cfRule type="containsText" dxfId="1037" priority="1156" operator="containsText" text="TOTAL">
      <formula>NOT(ISERROR(SEARCH("TOTAL",F1350)))</formula>
    </cfRule>
  </conditionalFormatting>
  <conditionalFormatting sqref="B1350:E1350 B1352:E1353">
    <cfRule type="containsText" dxfId="1036" priority="1157" operator="containsText" text="m2">
      <formula>NOT(ISERROR(SEARCH("m2",B1350)))</formula>
    </cfRule>
  </conditionalFormatting>
  <conditionalFormatting sqref="F1351">
    <cfRule type="containsText" dxfId="1035" priority="1154" operator="containsText" text="TOTAL">
      <formula>NOT(ISERROR(SEARCH("TOTAL",F1351)))</formula>
    </cfRule>
  </conditionalFormatting>
  <conditionalFormatting sqref="B1351:E1351">
    <cfRule type="containsText" dxfId="1034" priority="1153" operator="containsText" text="m2">
      <formula>NOT(ISERROR(SEARCH("m2",B1351)))</formula>
    </cfRule>
  </conditionalFormatting>
  <conditionalFormatting sqref="B1490">
    <cfRule type="containsText" dxfId="1033" priority="941" operator="containsText" text="m2">
      <formula>NOT(ISERROR(SEARCH("m2",B1490)))</formula>
    </cfRule>
  </conditionalFormatting>
  <conditionalFormatting sqref="B1365">
    <cfRule type="containsText" dxfId="1032" priority="1151" operator="containsText" text="m2">
      <formula>NOT(ISERROR(SEARCH("m2",B1365)))</formula>
    </cfRule>
  </conditionalFormatting>
  <conditionalFormatting sqref="F1366:F1368">
    <cfRule type="containsText" dxfId="1031" priority="1150" operator="containsText" text="TOTAL">
      <formula>NOT(ISERROR(SEARCH("TOTAL",F1366)))</formula>
    </cfRule>
  </conditionalFormatting>
  <conditionalFormatting sqref="B1367:E1368 C1365:E1365 C1366 E1366">
    <cfRule type="containsText" dxfId="1030" priority="1149" operator="containsText" text="m2">
      <formula>NOT(ISERROR(SEARCH("m2",B1365)))</formula>
    </cfRule>
  </conditionalFormatting>
  <conditionalFormatting sqref="B1366">
    <cfRule type="containsText" dxfId="1029" priority="1148" operator="containsText" text="m2">
      <formula>NOT(ISERROR(SEARCH("m2",B1366)))</formula>
    </cfRule>
  </conditionalFormatting>
  <conditionalFormatting sqref="D1366">
    <cfRule type="containsText" dxfId="1028" priority="1147" operator="containsText" text="m2">
      <formula>NOT(ISERROR(SEARCH("m2",D1366)))</formula>
    </cfRule>
  </conditionalFormatting>
  <conditionalFormatting sqref="B1369:E1369">
    <cfRule type="containsText" dxfId="1027" priority="1146" operator="containsText" text="m2">
      <formula>NOT(ISERROR(SEARCH("m2",B1369)))</formula>
    </cfRule>
  </conditionalFormatting>
  <conditionalFormatting sqref="F1369:F1370">
    <cfRule type="containsText" dxfId="1026" priority="1145" operator="containsText" text="TOTAL">
      <formula>NOT(ISERROR(SEARCH("TOTAL",F1369)))</formula>
    </cfRule>
  </conditionalFormatting>
  <conditionalFormatting sqref="B1370:E1370">
    <cfRule type="containsText" dxfId="1025" priority="1144" operator="containsText" text="m2">
      <formula>NOT(ISERROR(SEARCH("m2",B1370)))</formula>
    </cfRule>
  </conditionalFormatting>
  <conditionalFormatting sqref="B1371:E1371">
    <cfRule type="containsText" dxfId="1024" priority="1143" operator="containsText" text="m2">
      <formula>NOT(ISERROR(SEARCH("m2",B1371)))</formula>
    </cfRule>
  </conditionalFormatting>
  <conditionalFormatting sqref="F1371">
    <cfRule type="containsText" dxfId="1023" priority="1142" operator="containsText" text="TOTAL">
      <formula>NOT(ISERROR(SEARCH("TOTAL",F1371)))</formula>
    </cfRule>
  </conditionalFormatting>
  <conditionalFormatting sqref="B1373 B1374:E1375 D1373:E1373">
    <cfRule type="containsText" dxfId="1022" priority="1140" operator="containsText" text="m2">
      <formula>NOT(ISERROR(SEARCH("m2",B1373)))</formula>
    </cfRule>
  </conditionalFormatting>
  <conditionalFormatting sqref="F1374:F1375">
    <cfRule type="containsText" dxfId="1021" priority="1141" operator="containsText" text="TOTAL">
      <formula>NOT(ISERROR(SEARCH("TOTAL",F1374)))</formula>
    </cfRule>
  </conditionalFormatting>
  <conditionalFormatting sqref="B1377:E1377">
    <cfRule type="containsText" dxfId="1020" priority="1139" operator="containsText" text="m2">
      <formula>NOT(ISERROR(SEARCH("m2",B1377)))</formula>
    </cfRule>
  </conditionalFormatting>
  <conditionalFormatting sqref="B1380:E1380 B1379 D1379:E1379">
    <cfRule type="containsText" dxfId="1019" priority="1137" operator="containsText" text="m2">
      <formula>NOT(ISERROR(SEARCH("m2",B1379)))</formula>
    </cfRule>
  </conditionalFormatting>
  <conditionalFormatting sqref="B1414 B1416 B1423">
    <cfRule type="containsText" dxfId="1018" priority="1053" operator="containsText" text="m2">
      <formula>NOT(ISERROR(SEARCH("m2",B1414)))</formula>
    </cfRule>
  </conditionalFormatting>
  <conditionalFormatting sqref="F1377">
    <cfRule type="containsText" dxfId="1017" priority="1138" operator="containsText" text="TOTAL">
      <formula>NOT(ISERROR(SEARCH("TOTAL",F1377)))</formula>
    </cfRule>
  </conditionalFormatting>
  <conditionalFormatting sqref="C1384:E1384">
    <cfRule type="containsText" dxfId="1016" priority="1134" operator="containsText" text="m2">
      <formula>NOT(ISERROR(SEARCH("m2",C1384)))</formula>
    </cfRule>
  </conditionalFormatting>
  <conditionalFormatting sqref="F1384">
    <cfRule type="containsText" dxfId="1015" priority="1135" operator="containsText" text="TOTAL">
      <formula>NOT(ISERROR(SEARCH("TOTAL",F1384)))</formula>
    </cfRule>
  </conditionalFormatting>
  <conditionalFormatting sqref="B1385:E1385">
    <cfRule type="containsText" dxfId="1014" priority="1132" operator="containsText" text="m2">
      <formula>NOT(ISERROR(SEARCH("m2",B1385)))</formula>
    </cfRule>
  </conditionalFormatting>
  <conditionalFormatting sqref="F1381">
    <cfRule type="containsText" dxfId="1013" priority="1130" operator="containsText" text="TOTAL">
      <formula>NOT(ISERROR(SEARCH("TOTAL",F1381)))</formula>
    </cfRule>
  </conditionalFormatting>
  <conditionalFormatting sqref="B1412:E1412">
    <cfRule type="containsText" dxfId="1012" priority="1051" operator="containsText" text="m2">
      <formula>NOT(ISERROR(SEARCH("m2",B1412)))</formula>
    </cfRule>
  </conditionalFormatting>
  <conditionalFormatting sqref="F1408">
    <cfRule type="containsText" dxfId="1011" priority="1117" operator="containsText" text="TOTAL">
      <formula>NOT(ISERROR(SEARCH("TOTAL",F1408)))</formula>
    </cfRule>
  </conditionalFormatting>
  <conditionalFormatting sqref="C1414:E1414">
    <cfRule type="containsText" dxfId="1010" priority="1054" operator="containsText" text="m2">
      <formula>NOT(ISERROR(SEARCH("m2",C1414)))</formula>
    </cfRule>
  </conditionalFormatting>
  <conditionalFormatting sqref="F1380">
    <cfRule type="containsText" dxfId="1009" priority="1136" operator="containsText" text="TOTAL">
      <formula>NOT(ISERROR(SEARCH("TOTAL",F1380)))</formula>
    </cfRule>
  </conditionalFormatting>
  <conditionalFormatting sqref="F1385">
    <cfRule type="containsText" dxfId="1008" priority="1131" operator="containsText" text="TOTAL">
      <formula>NOT(ISERROR(SEARCH("TOTAL",F1385)))</formula>
    </cfRule>
  </conditionalFormatting>
  <conditionalFormatting sqref="B1394:E1394">
    <cfRule type="containsText" dxfId="1007" priority="1120" operator="containsText" text="m2">
      <formula>NOT(ISERROR(SEARCH("m2",B1394)))</formula>
    </cfRule>
  </conditionalFormatting>
  <conditionalFormatting sqref="B1384">
    <cfRule type="containsText" dxfId="1006" priority="1133" operator="containsText" text="m2">
      <formula>NOT(ISERROR(SEARCH("m2",B1384)))</formula>
    </cfRule>
  </conditionalFormatting>
  <conditionalFormatting sqref="C1402:E1402">
    <cfRule type="containsText" dxfId="1005" priority="1107" operator="containsText" text="m2">
      <formula>NOT(ISERROR(SEARCH("m2",C1402)))</formula>
    </cfRule>
  </conditionalFormatting>
  <conditionalFormatting sqref="B1422:E1422">
    <cfRule type="containsText" dxfId="1004" priority="1047" operator="containsText" text="m2">
      <formula>NOT(ISERROR(SEARCH("m2",B1422)))</formula>
    </cfRule>
  </conditionalFormatting>
  <conditionalFormatting sqref="F1422">
    <cfRule type="containsText" dxfId="1003" priority="1046" operator="containsText" text="TOTAL">
      <formula>NOT(ISERROR(SEARCH("TOTAL",F1422)))</formula>
    </cfRule>
  </conditionalFormatting>
  <conditionalFormatting sqref="F1400">
    <cfRule type="containsText" dxfId="1002" priority="1103" operator="containsText" text="TOTAL">
      <formula>NOT(ISERROR(SEARCH("TOTAL",F1400)))</formula>
    </cfRule>
  </conditionalFormatting>
  <conditionalFormatting sqref="B1381:E1381">
    <cfRule type="containsText" dxfId="1001" priority="1129" operator="containsText" text="m2">
      <formula>NOT(ISERROR(SEARCH("m2",B1381)))</formula>
    </cfRule>
  </conditionalFormatting>
  <conditionalFormatting sqref="F1394">
    <cfRule type="containsText" dxfId="1000" priority="1121" operator="containsText" text="TOTAL">
      <formula>NOT(ISERROR(SEARCH("TOTAL",F1394)))</formula>
    </cfRule>
  </conditionalFormatting>
  <conditionalFormatting sqref="B1393:E1393 B1392 D1392:E1392">
    <cfRule type="containsText" dxfId="999" priority="1128" operator="containsText" text="m2">
      <formula>NOT(ISERROR(SEARCH("m2",B1392)))</formula>
    </cfRule>
  </conditionalFormatting>
  <conditionalFormatting sqref="F1393">
    <cfRule type="containsText" dxfId="998" priority="1127" operator="containsText" text="TOTAL">
      <formula>NOT(ISERROR(SEARCH("TOTAL",F1393)))</formula>
    </cfRule>
  </conditionalFormatting>
  <conditionalFormatting sqref="F1396">
    <cfRule type="containsText" dxfId="997" priority="1126" operator="containsText" text="TOTAL">
      <formula>NOT(ISERROR(SEARCH("TOTAL",F1396)))</formula>
    </cfRule>
  </conditionalFormatting>
  <conditionalFormatting sqref="C1396:E1396">
    <cfRule type="containsText" dxfId="996" priority="1125" operator="containsText" text="m2">
      <formula>NOT(ISERROR(SEARCH("m2",C1396)))</formula>
    </cfRule>
  </conditionalFormatting>
  <conditionalFormatting sqref="B1396">
    <cfRule type="containsText" dxfId="995" priority="1124" operator="containsText" text="m2">
      <formula>NOT(ISERROR(SEARCH("m2",B1396)))</formula>
    </cfRule>
  </conditionalFormatting>
  <conditionalFormatting sqref="B1397:E1397">
    <cfRule type="containsText" dxfId="994" priority="1123" operator="containsText" text="m2">
      <formula>NOT(ISERROR(SEARCH("m2",B1397)))</formula>
    </cfRule>
  </conditionalFormatting>
  <conditionalFormatting sqref="F1397">
    <cfRule type="containsText" dxfId="993" priority="1122" operator="containsText" text="TOTAL">
      <formula>NOT(ISERROR(SEARCH("TOTAL",F1397)))</formula>
    </cfRule>
  </conditionalFormatting>
  <conditionalFormatting sqref="F1406">
    <cfRule type="containsText" dxfId="992" priority="1112" operator="containsText" text="TOTAL">
      <formula>NOT(ISERROR(SEARCH("TOTAL",F1406)))</formula>
    </cfRule>
  </conditionalFormatting>
  <conditionalFormatting sqref="B1405:E1405 B1404 D1404:E1404">
    <cfRule type="containsText" dxfId="991" priority="1119" operator="containsText" text="m2">
      <formula>NOT(ISERROR(SEARCH("m2",B1404)))</formula>
    </cfRule>
  </conditionalFormatting>
  <conditionalFormatting sqref="F1405">
    <cfRule type="containsText" dxfId="990" priority="1118" operator="containsText" text="TOTAL">
      <formula>NOT(ISERROR(SEARCH("TOTAL",F1405)))</formula>
    </cfRule>
  </conditionalFormatting>
  <conditionalFormatting sqref="C1408:E1408">
    <cfRule type="containsText" dxfId="989" priority="1116" operator="containsText" text="m2">
      <formula>NOT(ISERROR(SEARCH("m2",C1408)))</formula>
    </cfRule>
  </conditionalFormatting>
  <conditionalFormatting sqref="B1408">
    <cfRule type="containsText" dxfId="988" priority="1115" operator="containsText" text="m2">
      <formula>NOT(ISERROR(SEARCH("m2",B1408)))</formula>
    </cfRule>
  </conditionalFormatting>
  <conditionalFormatting sqref="B1409:E1409">
    <cfRule type="containsText" dxfId="987" priority="1114" operator="containsText" text="m2">
      <formula>NOT(ISERROR(SEARCH("m2",B1409)))</formula>
    </cfRule>
  </conditionalFormatting>
  <conditionalFormatting sqref="F1409">
    <cfRule type="containsText" dxfId="986" priority="1113" operator="containsText" text="TOTAL">
      <formula>NOT(ISERROR(SEARCH("TOTAL",F1409)))</formula>
    </cfRule>
  </conditionalFormatting>
  <conditionalFormatting sqref="B1406:E1406">
    <cfRule type="containsText" dxfId="985" priority="1111" operator="containsText" text="m2">
      <formula>NOT(ISERROR(SEARCH("m2",B1406)))</formula>
    </cfRule>
  </conditionalFormatting>
  <conditionalFormatting sqref="F1382">
    <cfRule type="containsText" dxfId="984" priority="1101" operator="containsText" text="TOTAL">
      <formula>NOT(ISERROR(SEARCH("TOTAL",F1382)))</formula>
    </cfRule>
  </conditionalFormatting>
  <conditionalFormatting sqref="F1378">
    <cfRule type="containsText" dxfId="983" priority="1098" operator="containsText" text="TOTAL">
      <formula>NOT(ISERROR(SEARCH("TOTAL",F1378)))</formula>
    </cfRule>
  </conditionalFormatting>
  <conditionalFormatting sqref="B1403:E1403">
    <cfRule type="containsText" dxfId="982" priority="1105" operator="containsText" text="m2">
      <formula>NOT(ISERROR(SEARCH("m2",B1403)))</formula>
    </cfRule>
  </conditionalFormatting>
  <conditionalFormatting sqref="B1386 B1387:E1388 D1386:E1386">
    <cfRule type="containsText" dxfId="981" priority="1096" operator="containsText" text="m2">
      <formula>NOT(ISERROR(SEARCH("m2",B1386)))</formula>
    </cfRule>
  </conditionalFormatting>
  <conditionalFormatting sqref="B1390:E1390">
    <cfRule type="containsText" dxfId="980" priority="1095" operator="containsText" text="m2">
      <formula>NOT(ISERROR(SEARCH("m2",B1390)))</formula>
    </cfRule>
  </conditionalFormatting>
  <conditionalFormatting sqref="F1390">
    <cfRule type="containsText" dxfId="979" priority="1094" operator="containsText" text="TOTAL">
      <formula>NOT(ISERROR(SEARCH("TOTAL",F1390)))</formula>
    </cfRule>
  </conditionalFormatting>
  <conditionalFormatting sqref="B1382:E1382">
    <cfRule type="containsText" dxfId="978" priority="1100" operator="containsText" text="m2">
      <formula>NOT(ISERROR(SEARCH("m2",B1382)))</formula>
    </cfRule>
  </conditionalFormatting>
  <conditionalFormatting sqref="B1399:E1399 B1398 D1398:E1398">
    <cfRule type="containsText" dxfId="977" priority="1110" operator="containsText" text="m2">
      <formula>NOT(ISERROR(SEARCH("m2",B1398)))</formula>
    </cfRule>
  </conditionalFormatting>
  <conditionalFormatting sqref="F1399">
    <cfRule type="containsText" dxfId="976" priority="1109" operator="containsText" text="TOTAL">
      <formula>NOT(ISERROR(SEARCH("TOTAL",F1399)))</formula>
    </cfRule>
  </conditionalFormatting>
  <conditionalFormatting sqref="F1402">
    <cfRule type="containsText" dxfId="975" priority="1108" operator="containsText" text="TOTAL">
      <formula>NOT(ISERROR(SEARCH("TOTAL",F1402)))</formula>
    </cfRule>
  </conditionalFormatting>
  <conditionalFormatting sqref="B1402">
    <cfRule type="containsText" dxfId="974" priority="1106" operator="containsText" text="m2">
      <formula>NOT(ISERROR(SEARCH("m2",B1402)))</formula>
    </cfRule>
  </conditionalFormatting>
  <conditionalFormatting sqref="F1403">
    <cfRule type="containsText" dxfId="973" priority="1104" operator="containsText" text="TOTAL">
      <formula>NOT(ISERROR(SEARCH("TOTAL",F1403)))</formula>
    </cfRule>
  </conditionalFormatting>
  <conditionalFormatting sqref="B1400:E1400">
    <cfRule type="containsText" dxfId="972" priority="1102" operator="containsText" text="m2">
      <formula>NOT(ISERROR(SEARCH("m2",B1400)))</formula>
    </cfRule>
  </conditionalFormatting>
  <conditionalFormatting sqref="B1378:E1378">
    <cfRule type="containsText" dxfId="971" priority="1099" operator="containsText" text="m2">
      <formula>NOT(ISERROR(SEARCH("m2",B1378)))</formula>
    </cfRule>
  </conditionalFormatting>
  <conditionalFormatting sqref="F1387:F1388">
    <cfRule type="containsText" dxfId="970" priority="1097" operator="containsText" text="TOTAL">
      <formula>NOT(ISERROR(SEARCH("TOTAL",F1387)))</formula>
    </cfRule>
  </conditionalFormatting>
  <conditionalFormatting sqref="B1391:E1391">
    <cfRule type="containsText" dxfId="969" priority="1093" operator="containsText" text="m2">
      <formula>NOT(ISERROR(SEARCH("m2",B1391)))</formula>
    </cfRule>
  </conditionalFormatting>
  <conditionalFormatting sqref="F1391">
    <cfRule type="containsText" dxfId="968" priority="1092" operator="containsText" text="TOTAL">
      <formula>NOT(ISERROR(SEARCH("TOTAL",F1391)))</formula>
    </cfRule>
  </conditionalFormatting>
  <conditionalFormatting sqref="F1372">
    <cfRule type="containsText" dxfId="967" priority="1090" operator="containsText" text="TOTAL">
      <formula>NOT(ISERROR(SEARCH("TOTAL",F1372)))</formula>
    </cfRule>
  </conditionalFormatting>
  <conditionalFormatting sqref="B1372:E1372">
    <cfRule type="containsText" dxfId="966" priority="1091" operator="containsText" text="m2">
      <formula>NOT(ISERROR(SEARCH("m2",B1372)))</formula>
    </cfRule>
  </conditionalFormatting>
  <conditionalFormatting sqref="F1376">
    <cfRule type="containsText" dxfId="965" priority="1089" operator="containsText" text="TOTAL">
      <formula>NOT(ISERROR(SEARCH("TOTAL",F1376)))</formula>
    </cfRule>
  </conditionalFormatting>
  <conditionalFormatting sqref="B1376:E1376">
    <cfRule type="containsText" dxfId="964" priority="1088" operator="containsText" text="m2">
      <formula>NOT(ISERROR(SEARCH("m2",B1376)))</formula>
    </cfRule>
  </conditionalFormatting>
  <conditionalFormatting sqref="F1383">
    <cfRule type="containsText" dxfId="963" priority="1087" operator="containsText" text="TOTAL">
      <formula>NOT(ISERROR(SEARCH("TOTAL",F1383)))</formula>
    </cfRule>
  </conditionalFormatting>
  <conditionalFormatting sqref="B1383:E1383">
    <cfRule type="containsText" dxfId="962" priority="1086" operator="containsText" text="m2">
      <formula>NOT(ISERROR(SEARCH("m2",B1383)))</formula>
    </cfRule>
  </conditionalFormatting>
  <conditionalFormatting sqref="F1389">
    <cfRule type="containsText" dxfId="961" priority="1085" operator="containsText" text="TOTAL">
      <formula>NOT(ISERROR(SEARCH("TOTAL",F1389)))</formula>
    </cfRule>
  </conditionalFormatting>
  <conditionalFormatting sqref="B1389:E1389">
    <cfRule type="containsText" dxfId="960" priority="1084" operator="containsText" text="m2">
      <formula>NOT(ISERROR(SEARCH("m2",B1389)))</formula>
    </cfRule>
  </conditionalFormatting>
  <conditionalFormatting sqref="F1395">
    <cfRule type="containsText" dxfId="959" priority="1083" operator="containsText" text="TOTAL">
      <formula>NOT(ISERROR(SEARCH("TOTAL",F1395)))</formula>
    </cfRule>
  </conditionalFormatting>
  <conditionalFormatting sqref="B1395:E1395">
    <cfRule type="containsText" dxfId="958" priority="1082" operator="containsText" text="m2">
      <formula>NOT(ISERROR(SEARCH("m2",B1395)))</formula>
    </cfRule>
  </conditionalFormatting>
  <conditionalFormatting sqref="F1401">
    <cfRule type="containsText" dxfId="957" priority="1081" operator="containsText" text="TOTAL">
      <formula>NOT(ISERROR(SEARCH("TOTAL",F1401)))</formula>
    </cfRule>
  </conditionalFormatting>
  <conditionalFormatting sqref="B1401:E1401">
    <cfRule type="containsText" dxfId="956" priority="1080" operator="containsText" text="m2">
      <formula>NOT(ISERROR(SEARCH("m2",B1401)))</formula>
    </cfRule>
  </conditionalFormatting>
  <conditionalFormatting sqref="F1407">
    <cfRule type="containsText" dxfId="955" priority="1079" operator="containsText" text="TOTAL">
      <formula>NOT(ISERROR(SEARCH("TOTAL",F1407)))</formula>
    </cfRule>
  </conditionalFormatting>
  <conditionalFormatting sqref="B1407:E1407">
    <cfRule type="containsText" dxfId="954" priority="1078" operator="containsText" text="m2">
      <formula>NOT(ISERROR(SEARCH("m2",B1407)))</formula>
    </cfRule>
  </conditionalFormatting>
  <conditionalFormatting sqref="B1415:E1415">
    <cfRule type="containsText" dxfId="953" priority="1077" operator="containsText" text="m2">
      <formula>NOT(ISERROR(SEARCH("m2",B1415)))</formula>
    </cfRule>
  </conditionalFormatting>
  <conditionalFormatting sqref="F1415">
    <cfRule type="containsText" dxfId="952" priority="1076" operator="containsText" text="TOTAL">
      <formula>NOT(ISERROR(SEARCH("TOTAL",F1415)))</formula>
    </cfRule>
  </conditionalFormatting>
  <conditionalFormatting sqref="B1434:E1434 B1433 D1433:E1433">
    <cfRule type="containsText" dxfId="951" priority="1075" operator="containsText" text="m2">
      <formula>NOT(ISERROR(SEARCH("m2",B1433)))</formula>
    </cfRule>
  </conditionalFormatting>
  <conditionalFormatting sqref="F1434">
    <cfRule type="containsText" dxfId="950" priority="1074" operator="containsText" text="TOTAL">
      <formula>NOT(ISERROR(SEARCH("TOTAL",F1434)))</formula>
    </cfRule>
  </conditionalFormatting>
  <conditionalFormatting sqref="F1436">
    <cfRule type="containsText" dxfId="949" priority="1073" operator="containsText" text="TOTAL">
      <formula>NOT(ISERROR(SEARCH("TOTAL",F1436)))</formula>
    </cfRule>
  </conditionalFormatting>
  <conditionalFormatting sqref="C1436:E1436">
    <cfRule type="containsText" dxfId="948" priority="1072" operator="containsText" text="m2">
      <formula>NOT(ISERROR(SEARCH("m2",C1436)))</formula>
    </cfRule>
  </conditionalFormatting>
  <conditionalFormatting sqref="B1436">
    <cfRule type="containsText" dxfId="947" priority="1071" operator="containsText" text="m2">
      <formula>NOT(ISERROR(SEARCH("m2",B1436)))</formula>
    </cfRule>
  </conditionalFormatting>
  <conditionalFormatting sqref="B1437:E1437">
    <cfRule type="containsText" dxfId="946" priority="1070" operator="containsText" text="m2">
      <formula>NOT(ISERROR(SEARCH("m2",B1437)))</formula>
    </cfRule>
  </conditionalFormatting>
  <conditionalFormatting sqref="F1437">
    <cfRule type="containsText" dxfId="945" priority="1069" operator="containsText" text="TOTAL">
      <formula>NOT(ISERROR(SEARCH("TOTAL",F1437)))</formula>
    </cfRule>
  </conditionalFormatting>
  <conditionalFormatting sqref="B1460:E1460">
    <cfRule type="containsText" dxfId="944" priority="1060" operator="containsText" text="m2">
      <formula>NOT(ISERROR(SEARCH("m2",B1460)))</formula>
    </cfRule>
  </conditionalFormatting>
  <conditionalFormatting sqref="F1460">
    <cfRule type="containsText" dxfId="943" priority="1061" operator="containsText" text="TOTAL">
      <formula>NOT(ISERROR(SEARCH("TOTAL",F1460)))</formula>
    </cfRule>
  </conditionalFormatting>
  <conditionalFormatting sqref="C1462:E1462">
    <cfRule type="containsText" dxfId="942" priority="1065" operator="containsText" text="m2">
      <formula>NOT(ISERROR(SEARCH("m2",C1462)))</formula>
    </cfRule>
  </conditionalFormatting>
  <conditionalFormatting sqref="B1459:E1459 B1458 D1458:E1458">
    <cfRule type="containsText" dxfId="941" priority="1068" operator="containsText" text="m2">
      <formula>NOT(ISERROR(SEARCH("m2",B1458)))</formula>
    </cfRule>
  </conditionalFormatting>
  <conditionalFormatting sqref="F1459">
    <cfRule type="containsText" dxfId="940" priority="1067" operator="containsText" text="TOTAL">
      <formula>NOT(ISERROR(SEARCH("TOTAL",F1459)))</formula>
    </cfRule>
  </conditionalFormatting>
  <conditionalFormatting sqref="F1462">
    <cfRule type="containsText" dxfId="939" priority="1066" operator="containsText" text="TOTAL">
      <formula>NOT(ISERROR(SEARCH("TOTAL",F1462)))</formula>
    </cfRule>
  </conditionalFormatting>
  <conditionalFormatting sqref="B1462">
    <cfRule type="containsText" dxfId="938" priority="1064" operator="containsText" text="m2">
      <formula>NOT(ISERROR(SEARCH("m2",B1462)))</formula>
    </cfRule>
  </conditionalFormatting>
  <conditionalFormatting sqref="B1463:E1463">
    <cfRule type="containsText" dxfId="937" priority="1063" operator="containsText" text="m2">
      <formula>NOT(ISERROR(SEARCH("m2",B1463)))</formula>
    </cfRule>
  </conditionalFormatting>
  <conditionalFormatting sqref="F1463">
    <cfRule type="containsText" dxfId="936" priority="1062" operator="containsText" text="TOTAL">
      <formula>NOT(ISERROR(SEARCH("TOTAL",F1463)))</formula>
    </cfRule>
  </conditionalFormatting>
  <conditionalFormatting sqref="B1418:E1418">
    <cfRule type="containsText" dxfId="935" priority="1041" operator="containsText" text="m2">
      <formula>NOT(ISERROR(SEARCH("m2",B1418)))</formula>
    </cfRule>
  </conditionalFormatting>
  <conditionalFormatting sqref="B1410">
    <cfRule type="containsText" dxfId="934" priority="1059" operator="containsText" text="m2">
      <formula>NOT(ISERROR(SEARCH("m2",B1410)))</formula>
    </cfRule>
  </conditionalFormatting>
  <conditionalFormatting sqref="B1411:E1411">
    <cfRule type="containsText" dxfId="933" priority="1058" operator="containsText" text="m2">
      <formula>NOT(ISERROR(SEARCH("m2",B1411)))</formula>
    </cfRule>
  </conditionalFormatting>
  <conditionalFormatting sqref="F1411">
    <cfRule type="containsText" dxfId="932" priority="1057" operator="containsText" text="TOTAL">
      <formula>NOT(ISERROR(SEARCH("TOTAL",F1411)))</formula>
    </cfRule>
  </conditionalFormatting>
  <conditionalFormatting sqref="D1410:E1410">
    <cfRule type="containsText" dxfId="931" priority="1056" operator="containsText" text="m2">
      <formula>NOT(ISERROR(SEARCH("m2",D1410)))</formula>
    </cfRule>
  </conditionalFormatting>
  <conditionalFormatting sqref="F1412">
    <cfRule type="containsText" dxfId="930" priority="1052" operator="containsText" text="TOTAL">
      <formula>NOT(ISERROR(SEARCH("TOTAL",F1412)))</formula>
    </cfRule>
  </conditionalFormatting>
  <conditionalFormatting sqref="F1414">
    <cfRule type="containsText" dxfId="929" priority="1055" operator="containsText" text="TOTAL">
      <formula>NOT(ISERROR(SEARCH("TOTAL",F1414)))</formula>
    </cfRule>
  </conditionalFormatting>
  <conditionalFormatting sqref="B1417:E1417">
    <cfRule type="containsText" dxfId="928" priority="1050" operator="containsText" text="m2">
      <formula>NOT(ISERROR(SEARCH("m2",B1417)))</formula>
    </cfRule>
  </conditionalFormatting>
  <conditionalFormatting sqref="D1416:E1416">
    <cfRule type="containsText" dxfId="927" priority="1048" operator="containsText" text="m2">
      <formula>NOT(ISERROR(SEARCH("m2",D1416)))</formula>
    </cfRule>
  </conditionalFormatting>
  <conditionalFormatting sqref="F1417">
    <cfRule type="containsText" dxfId="926" priority="1049" operator="containsText" text="TOTAL">
      <formula>NOT(ISERROR(SEARCH("TOTAL",F1417)))</formula>
    </cfRule>
  </conditionalFormatting>
  <conditionalFormatting sqref="C1420:E1420">
    <cfRule type="containsText" dxfId="925" priority="1044" operator="containsText" text="m2">
      <formula>NOT(ISERROR(SEARCH("m2",C1420)))</formula>
    </cfRule>
  </conditionalFormatting>
  <conditionalFormatting sqref="B1420">
    <cfRule type="containsText" dxfId="924" priority="1043" operator="containsText" text="m2">
      <formula>NOT(ISERROR(SEARCH("m2",B1420)))</formula>
    </cfRule>
  </conditionalFormatting>
  <conditionalFormatting sqref="F1421">
    <cfRule type="containsText" dxfId="923" priority="1040" operator="containsText" text="TOTAL">
      <formula>NOT(ISERROR(SEARCH("TOTAL",F1421)))</formula>
    </cfRule>
  </conditionalFormatting>
  <conditionalFormatting sqref="C1421:E1421">
    <cfRule type="containsText" dxfId="922" priority="1039" operator="containsText" text="m2">
      <formula>NOT(ISERROR(SEARCH("m2",C1421)))</formula>
    </cfRule>
  </conditionalFormatting>
  <conditionalFormatting sqref="F1418">
    <cfRule type="containsText" dxfId="921" priority="1042" operator="containsText" text="TOTAL">
      <formula>NOT(ISERROR(SEARCH("TOTAL",F1418)))</formula>
    </cfRule>
  </conditionalFormatting>
  <conditionalFormatting sqref="F1420">
    <cfRule type="containsText" dxfId="920" priority="1045" operator="containsText" text="TOTAL">
      <formula>NOT(ISERROR(SEARCH("TOTAL",F1420)))</formula>
    </cfRule>
  </conditionalFormatting>
  <conditionalFormatting sqref="B1421">
    <cfRule type="containsText" dxfId="919" priority="1038" operator="containsText" text="m2">
      <formula>NOT(ISERROR(SEARCH("m2",B1421)))</formula>
    </cfRule>
  </conditionalFormatting>
  <conditionalFormatting sqref="D1423:E1423">
    <cfRule type="containsText" dxfId="918" priority="1037" operator="containsText" text="m2">
      <formula>NOT(ISERROR(SEARCH("m2",D1423)))</formula>
    </cfRule>
  </conditionalFormatting>
  <conditionalFormatting sqref="B1424:E1424">
    <cfRule type="containsText" dxfId="917" priority="1036" operator="containsText" text="m2">
      <formula>NOT(ISERROR(SEARCH("m2",B1424)))</formula>
    </cfRule>
  </conditionalFormatting>
  <conditionalFormatting sqref="F1424">
    <cfRule type="containsText" dxfId="916" priority="1035" operator="containsText" text="TOTAL">
      <formula>NOT(ISERROR(SEARCH("TOTAL",F1424)))</formula>
    </cfRule>
  </conditionalFormatting>
  <conditionalFormatting sqref="B1427:E1427">
    <cfRule type="containsText" dxfId="915" priority="1034" operator="containsText" text="m2">
      <formula>NOT(ISERROR(SEARCH("m2",B1427)))</formula>
    </cfRule>
  </conditionalFormatting>
  <conditionalFormatting sqref="F1427">
    <cfRule type="containsText" dxfId="914" priority="1033" operator="containsText" text="TOTAL">
      <formula>NOT(ISERROR(SEARCH("TOTAL",F1427)))</formula>
    </cfRule>
  </conditionalFormatting>
  <conditionalFormatting sqref="B1426">
    <cfRule type="containsText" dxfId="913" priority="1030" operator="containsText" text="m2">
      <formula>NOT(ISERROR(SEARCH("m2",B1426)))</formula>
    </cfRule>
  </conditionalFormatting>
  <conditionalFormatting sqref="F1426">
    <cfRule type="containsText" dxfId="912" priority="1032" operator="containsText" text="TOTAL">
      <formula>NOT(ISERROR(SEARCH("TOTAL",F1426)))</formula>
    </cfRule>
  </conditionalFormatting>
  <conditionalFormatting sqref="C1426:E1426">
    <cfRule type="containsText" dxfId="911" priority="1031" operator="containsText" text="m2">
      <formula>NOT(ISERROR(SEARCH("m2",C1426)))</formula>
    </cfRule>
  </conditionalFormatting>
  <conditionalFormatting sqref="B1428">
    <cfRule type="containsText" dxfId="910" priority="1029" operator="containsText" text="m2">
      <formula>NOT(ISERROR(SEARCH("m2",B1428)))</formula>
    </cfRule>
  </conditionalFormatting>
  <conditionalFormatting sqref="D1428:E1428">
    <cfRule type="containsText" dxfId="909" priority="1028" operator="containsText" text="m2">
      <formula>NOT(ISERROR(SEARCH("m2",D1428)))</formula>
    </cfRule>
  </conditionalFormatting>
  <conditionalFormatting sqref="C1429:E1429">
    <cfRule type="containsText" dxfId="908" priority="1027" operator="containsText" text="m2">
      <formula>NOT(ISERROR(SEARCH("m2",C1429)))</formula>
    </cfRule>
  </conditionalFormatting>
  <conditionalFormatting sqref="F1429">
    <cfRule type="containsText" dxfId="907" priority="1026" operator="containsText" text="TOTAL">
      <formula>NOT(ISERROR(SEARCH("TOTAL",F1429)))</formula>
    </cfRule>
  </conditionalFormatting>
  <conditionalFormatting sqref="B1432:E1432">
    <cfRule type="containsText" dxfId="906" priority="1025" operator="containsText" text="m2">
      <formula>NOT(ISERROR(SEARCH("m2",B1432)))</formula>
    </cfRule>
  </conditionalFormatting>
  <conditionalFormatting sqref="F1432">
    <cfRule type="containsText" dxfId="905" priority="1024" operator="containsText" text="TOTAL">
      <formula>NOT(ISERROR(SEARCH("TOTAL",F1432)))</formula>
    </cfRule>
  </conditionalFormatting>
  <conditionalFormatting sqref="B1431">
    <cfRule type="containsText" dxfId="904" priority="1021" operator="containsText" text="m2">
      <formula>NOT(ISERROR(SEARCH("m2",B1431)))</formula>
    </cfRule>
  </conditionalFormatting>
  <conditionalFormatting sqref="F1431">
    <cfRule type="containsText" dxfId="903" priority="1023" operator="containsText" text="TOTAL">
      <formula>NOT(ISERROR(SEARCH("TOTAL",F1431)))</formula>
    </cfRule>
  </conditionalFormatting>
  <conditionalFormatting sqref="C1431:E1431">
    <cfRule type="containsText" dxfId="902" priority="1022" operator="containsText" text="m2">
      <formula>NOT(ISERROR(SEARCH("m2",C1431)))</formula>
    </cfRule>
  </conditionalFormatting>
  <conditionalFormatting sqref="B1429">
    <cfRule type="containsText" dxfId="901" priority="1020" operator="containsText" text="m2">
      <formula>NOT(ISERROR(SEARCH("m2",B1429)))</formula>
    </cfRule>
  </conditionalFormatting>
  <conditionalFormatting sqref="B1439:E1439 B1438 D1438:E1438">
    <cfRule type="containsText" dxfId="900" priority="1019" operator="containsText" text="m2">
      <formula>NOT(ISERROR(SEARCH("m2",B1438)))</formula>
    </cfRule>
  </conditionalFormatting>
  <conditionalFormatting sqref="F1439">
    <cfRule type="containsText" dxfId="899" priority="1018" operator="containsText" text="TOTAL">
      <formula>NOT(ISERROR(SEARCH("TOTAL",F1439)))</formula>
    </cfRule>
  </conditionalFormatting>
  <conditionalFormatting sqref="F1443">
    <cfRule type="containsText" dxfId="898" priority="1017" operator="containsText" text="TOTAL">
      <formula>NOT(ISERROR(SEARCH("TOTAL",F1443)))</formula>
    </cfRule>
  </conditionalFormatting>
  <conditionalFormatting sqref="C1443:E1443">
    <cfRule type="containsText" dxfId="897" priority="1016" operator="containsText" text="m2">
      <formula>NOT(ISERROR(SEARCH("m2",C1443)))</formula>
    </cfRule>
  </conditionalFormatting>
  <conditionalFormatting sqref="B1443">
    <cfRule type="containsText" dxfId="896" priority="1015" operator="containsText" text="m2">
      <formula>NOT(ISERROR(SEARCH("m2",B1443)))</formula>
    </cfRule>
  </conditionalFormatting>
  <conditionalFormatting sqref="B1448 D1448:E1448">
    <cfRule type="containsText" dxfId="895" priority="1002" operator="containsText" text="m2">
      <formula>NOT(ISERROR(SEARCH("m2",B1448)))</formula>
    </cfRule>
  </conditionalFormatting>
  <conditionalFormatting sqref="F1440">
    <cfRule type="containsText" dxfId="894" priority="1014" operator="containsText" text="TOTAL">
      <formula>NOT(ISERROR(SEARCH("TOTAL",F1440)))</formula>
    </cfRule>
  </conditionalFormatting>
  <conditionalFormatting sqref="B1440:E1440">
    <cfRule type="containsText" dxfId="893" priority="1013" operator="containsText" text="m2">
      <formula>NOT(ISERROR(SEARCH("m2",B1440)))</formula>
    </cfRule>
  </conditionalFormatting>
  <conditionalFormatting sqref="B1445">
    <cfRule type="containsText" dxfId="892" priority="1010" operator="containsText" text="m2">
      <formula>NOT(ISERROR(SEARCH("m2",B1445)))</formula>
    </cfRule>
  </conditionalFormatting>
  <conditionalFormatting sqref="F1445">
    <cfRule type="containsText" dxfId="891" priority="1012" operator="containsText" text="TOTAL">
      <formula>NOT(ISERROR(SEARCH("TOTAL",F1445)))</formula>
    </cfRule>
  </conditionalFormatting>
  <conditionalFormatting sqref="C1445:E1445">
    <cfRule type="containsText" dxfId="890" priority="1011" operator="containsText" text="m2">
      <formula>NOT(ISERROR(SEARCH("m2",C1445)))</formula>
    </cfRule>
  </conditionalFormatting>
  <conditionalFormatting sqref="B1446">
    <cfRule type="containsText" dxfId="889" priority="1007" operator="containsText" text="m2">
      <formula>NOT(ISERROR(SEARCH("m2",B1446)))</formula>
    </cfRule>
  </conditionalFormatting>
  <conditionalFormatting sqref="F1446">
    <cfRule type="containsText" dxfId="888" priority="1009" operator="containsText" text="TOTAL">
      <formula>NOT(ISERROR(SEARCH("TOTAL",F1446)))</formula>
    </cfRule>
  </conditionalFormatting>
  <conditionalFormatting sqref="C1446:E1446">
    <cfRule type="containsText" dxfId="887" priority="1008" operator="containsText" text="m2">
      <formula>NOT(ISERROR(SEARCH("m2",C1446)))</formula>
    </cfRule>
  </conditionalFormatting>
  <conditionalFormatting sqref="B1447:E1447">
    <cfRule type="containsText" dxfId="886" priority="1006" operator="containsText" text="m2">
      <formula>NOT(ISERROR(SEARCH("m2",B1447)))</formula>
    </cfRule>
  </conditionalFormatting>
  <conditionalFormatting sqref="F1447">
    <cfRule type="containsText" dxfId="885" priority="1005" operator="containsText" text="TOTAL">
      <formula>NOT(ISERROR(SEARCH("TOTAL",F1447)))</formula>
    </cfRule>
  </conditionalFormatting>
  <conditionalFormatting sqref="B1449:E1449 B1451:E1452">
    <cfRule type="containsText" dxfId="884" priority="1004" operator="containsText" text="m2">
      <formula>NOT(ISERROR(SEARCH("m2",B1449)))</formula>
    </cfRule>
  </conditionalFormatting>
  <conditionalFormatting sqref="F1449 F1451:F1452">
    <cfRule type="containsText" dxfId="883" priority="1003" operator="containsText" text="TOTAL">
      <formula>NOT(ISERROR(SEARCH("TOTAL",F1449)))</formula>
    </cfRule>
  </conditionalFormatting>
  <conditionalFormatting sqref="B1454:E1454 B1456:E1457">
    <cfRule type="containsText" dxfId="882" priority="1001" operator="containsText" text="m2">
      <formula>NOT(ISERROR(SEARCH("m2",B1454)))</formula>
    </cfRule>
  </conditionalFormatting>
  <conditionalFormatting sqref="F1454 F1456:F1457">
    <cfRule type="containsText" dxfId="881" priority="1000" operator="containsText" text="TOTAL">
      <formula>NOT(ISERROR(SEARCH("TOTAL",F1454)))</formula>
    </cfRule>
  </conditionalFormatting>
  <conditionalFormatting sqref="B1453 D1453:E1453">
    <cfRule type="containsText" dxfId="880" priority="999" operator="containsText" text="m2">
      <formula>NOT(ISERROR(SEARCH("m2",B1453)))</formula>
    </cfRule>
  </conditionalFormatting>
  <conditionalFormatting sqref="F1413">
    <cfRule type="containsText" dxfId="879" priority="998" operator="containsText" text="TOTAL">
      <formula>NOT(ISERROR(SEARCH("TOTAL",F1413)))</formula>
    </cfRule>
  </conditionalFormatting>
  <conditionalFormatting sqref="B1413:E1413">
    <cfRule type="containsText" dxfId="878" priority="997" operator="containsText" text="m2">
      <formula>NOT(ISERROR(SEARCH("m2",B1413)))</formula>
    </cfRule>
  </conditionalFormatting>
  <conditionalFormatting sqref="F1419">
    <cfRule type="containsText" dxfId="877" priority="996" operator="containsText" text="TOTAL">
      <formula>NOT(ISERROR(SEARCH("TOTAL",F1419)))</formula>
    </cfRule>
  </conditionalFormatting>
  <conditionalFormatting sqref="B1419:E1419">
    <cfRule type="containsText" dxfId="876" priority="995" operator="containsText" text="m2">
      <formula>NOT(ISERROR(SEARCH("m2",B1419)))</formula>
    </cfRule>
  </conditionalFormatting>
  <conditionalFormatting sqref="F1425">
    <cfRule type="containsText" dxfId="875" priority="994" operator="containsText" text="TOTAL">
      <formula>NOT(ISERROR(SEARCH("TOTAL",F1425)))</formula>
    </cfRule>
  </conditionalFormatting>
  <conditionalFormatting sqref="B1425:E1425">
    <cfRule type="containsText" dxfId="874" priority="993" operator="containsText" text="m2">
      <formula>NOT(ISERROR(SEARCH("m2",B1425)))</formula>
    </cfRule>
  </conditionalFormatting>
  <conditionalFormatting sqref="F1430">
    <cfRule type="containsText" dxfId="873" priority="992" operator="containsText" text="TOTAL">
      <formula>NOT(ISERROR(SEARCH("TOTAL",F1430)))</formula>
    </cfRule>
  </conditionalFormatting>
  <conditionalFormatting sqref="B1430:E1430">
    <cfRule type="containsText" dxfId="872" priority="991" operator="containsText" text="m2">
      <formula>NOT(ISERROR(SEARCH("m2",B1430)))</formula>
    </cfRule>
  </conditionalFormatting>
  <conditionalFormatting sqref="F1435">
    <cfRule type="containsText" dxfId="871" priority="990" operator="containsText" text="TOTAL">
      <formula>NOT(ISERROR(SEARCH("TOTAL",F1435)))</formula>
    </cfRule>
  </conditionalFormatting>
  <conditionalFormatting sqref="B1435:E1435">
    <cfRule type="containsText" dxfId="870" priority="989" operator="containsText" text="m2">
      <formula>NOT(ISERROR(SEARCH("m2",B1435)))</formula>
    </cfRule>
  </conditionalFormatting>
  <conditionalFormatting sqref="F1441">
    <cfRule type="containsText" dxfId="869" priority="988" operator="containsText" text="TOTAL">
      <formula>NOT(ISERROR(SEARCH("TOTAL",F1441)))</formula>
    </cfRule>
  </conditionalFormatting>
  <conditionalFormatting sqref="B1441:E1441">
    <cfRule type="containsText" dxfId="868" priority="987" operator="containsText" text="m2">
      <formula>NOT(ISERROR(SEARCH("m2",B1441)))</formula>
    </cfRule>
  </conditionalFormatting>
  <conditionalFormatting sqref="F1450">
    <cfRule type="containsText" dxfId="867" priority="986" operator="containsText" text="TOTAL">
      <formula>NOT(ISERROR(SEARCH("TOTAL",F1450)))</formula>
    </cfRule>
  </conditionalFormatting>
  <conditionalFormatting sqref="B1450:E1450">
    <cfRule type="containsText" dxfId="866" priority="985" operator="containsText" text="m2">
      <formula>NOT(ISERROR(SEARCH("m2",B1450)))</formula>
    </cfRule>
  </conditionalFormatting>
  <conditionalFormatting sqref="F1455">
    <cfRule type="containsText" dxfId="865" priority="984" operator="containsText" text="TOTAL">
      <formula>NOT(ISERROR(SEARCH("TOTAL",F1455)))</formula>
    </cfRule>
  </conditionalFormatting>
  <conditionalFormatting sqref="B1455:E1455">
    <cfRule type="containsText" dxfId="864" priority="983" operator="containsText" text="m2">
      <formula>NOT(ISERROR(SEARCH("m2",B1455)))</formula>
    </cfRule>
  </conditionalFormatting>
  <conditionalFormatting sqref="F1461">
    <cfRule type="containsText" dxfId="863" priority="982" operator="containsText" text="TOTAL">
      <formula>NOT(ISERROR(SEARCH("TOTAL",F1461)))</formula>
    </cfRule>
  </conditionalFormatting>
  <conditionalFormatting sqref="B1461:E1461">
    <cfRule type="containsText" dxfId="862" priority="981" operator="containsText" text="m2">
      <formula>NOT(ISERROR(SEARCH("m2",B1461)))</formula>
    </cfRule>
  </conditionalFormatting>
  <conditionalFormatting sqref="B1485:E1485">
    <cfRule type="containsText" dxfId="861" priority="975" operator="containsText" text="m2">
      <formula>NOT(ISERROR(SEARCH("m2",B1485)))</formula>
    </cfRule>
  </conditionalFormatting>
  <conditionalFormatting sqref="F1485">
    <cfRule type="containsText" dxfId="860" priority="974" operator="containsText" text="TOTAL">
      <formula>NOT(ISERROR(SEARCH("TOTAL",F1485)))</formula>
    </cfRule>
  </conditionalFormatting>
  <conditionalFormatting sqref="B1482:E1482 B1481 D1481:E1481">
    <cfRule type="containsText" dxfId="859" priority="980" operator="containsText" text="m2">
      <formula>NOT(ISERROR(SEARCH("m2",B1481)))</formula>
    </cfRule>
  </conditionalFormatting>
  <conditionalFormatting sqref="B1484">
    <cfRule type="containsText" dxfId="858" priority="976" operator="containsText" text="m2">
      <formula>NOT(ISERROR(SEARCH("m2",B1484)))</formula>
    </cfRule>
  </conditionalFormatting>
  <conditionalFormatting sqref="F1484">
    <cfRule type="containsText" dxfId="857" priority="978" operator="containsText" text="TOTAL">
      <formula>NOT(ISERROR(SEARCH("TOTAL",F1484)))</formula>
    </cfRule>
  </conditionalFormatting>
  <conditionalFormatting sqref="F1482">
    <cfRule type="containsText" dxfId="856" priority="979" operator="containsText" text="TOTAL">
      <formula>NOT(ISERROR(SEARCH("TOTAL",F1482)))</formula>
    </cfRule>
  </conditionalFormatting>
  <conditionalFormatting sqref="C1484:E1484">
    <cfRule type="containsText" dxfId="855" priority="977" operator="containsText" text="m2">
      <formula>NOT(ISERROR(SEARCH("m2",C1484)))</formula>
    </cfRule>
  </conditionalFormatting>
  <conditionalFormatting sqref="B1486:E1486">
    <cfRule type="containsText" dxfId="854" priority="973" operator="containsText" text="m2">
      <formula>NOT(ISERROR(SEARCH("m2",B1486)))</formula>
    </cfRule>
  </conditionalFormatting>
  <conditionalFormatting sqref="F1486">
    <cfRule type="containsText" dxfId="853" priority="972" operator="containsText" text="TOTAL">
      <formula>NOT(ISERROR(SEARCH("TOTAL",F1486)))</formula>
    </cfRule>
  </conditionalFormatting>
  <conditionalFormatting sqref="F1468">
    <cfRule type="containsText" dxfId="852" priority="965" operator="containsText" text="TOTAL">
      <formula>NOT(ISERROR(SEARCH("TOTAL",F1468)))</formula>
    </cfRule>
  </conditionalFormatting>
  <conditionalFormatting sqref="B1468:E1468">
    <cfRule type="containsText" dxfId="851" priority="966" operator="containsText" text="m2">
      <formula>NOT(ISERROR(SEARCH("m2",B1468)))</formula>
    </cfRule>
  </conditionalFormatting>
  <conditionalFormatting sqref="C1467:E1467">
    <cfRule type="containsText" dxfId="850" priority="968" operator="containsText" text="m2">
      <formula>NOT(ISERROR(SEARCH("m2",C1467)))</formula>
    </cfRule>
  </conditionalFormatting>
  <conditionalFormatting sqref="B1465:E1465 B1464 D1464:E1464">
    <cfRule type="containsText" dxfId="849" priority="971" operator="containsText" text="m2">
      <formula>NOT(ISERROR(SEARCH("m2",B1464)))</formula>
    </cfRule>
  </conditionalFormatting>
  <conditionalFormatting sqref="F1465">
    <cfRule type="containsText" dxfId="848" priority="970" operator="containsText" text="TOTAL">
      <formula>NOT(ISERROR(SEARCH("TOTAL",F1465)))</formula>
    </cfRule>
  </conditionalFormatting>
  <conditionalFormatting sqref="F1467">
    <cfRule type="containsText" dxfId="847" priority="969" operator="containsText" text="TOTAL">
      <formula>NOT(ISERROR(SEARCH("TOTAL",F1467)))</formula>
    </cfRule>
  </conditionalFormatting>
  <conditionalFormatting sqref="B1467">
    <cfRule type="containsText" dxfId="846" priority="967" operator="containsText" text="m2">
      <formula>NOT(ISERROR(SEARCH("m2",B1467)))</formula>
    </cfRule>
  </conditionalFormatting>
  <conditionalFormatting sqref="B1470:E1470">
    <cfRule type="containsText" dxfId="845" priority="964" operator="containsText" text="m2">
      <formula>NOT(ISERROR(SEARCH("m2",B1470)))</formula>
    </cfRule>
  </conditionalFormatting>
  <conditionalFormatting sqref="F1470">
    <cfRule type="containsText" dxfId="844" priority="963" operator="containsText" text="TOTAL">
      <formula>NOT(ISERROR(SEARCH("TOTAL",F1470)))</formula>
    </cfRule>
  </conditionalFormatting>
  <conditionalFormatting sqref="B1471 D1471:E1471">
    <cfRule type="containsText" dxfId="843" priority="958" operator="containsText" text="m2">
      <formula>NOT(ISERROR(SEARCH("m2",B1471)))</formula>
    </cfRule>
  </conditionalFormatting>
  <conditionalFormatting sqref="B1469:E1469">
    <cfRule type="containsText" dxfId="842" priority="962" operator="containsText" text="m2">
      <formula>NOT(ISERROR(SEARCH("m2",B1469)))</formula>
    </cfRule>
  </conditionalFormatting>
  <conditionalFormatting sqref="F1469">
    <cfRule type="containsText" dxfId="841" priority="961" operator="containsText" text="TOTAL">
      <formula>NOT(ISERROR(SEARCH("TOTAL",F1469)))</formula>
    </cfRule>
  </conditionalFormatting>
  <conditionalFormatting sqref="B1472:E1472 B1474:E1475">
    <cfRule type="containsText" dxfId="840" priority="960" operator="containsText" text="m2">
      <formula>NOT(ISERROR(SEARCH("m2",B1472)))</formula>
    </cfRule>
  </conditionalFormatting>
  <conditionalFormatting sqref="F1472 F1474:F1475">
    <cfRule type="containsText" dxfId="839" priority="959" operator="containsText" text="TOTAL">
      <formula>NOT(ISERROR(SEARCH("TOTAL",F1472)))</formula>
    </cfRule>
  </conditionalFormatting>
  <conditionalFormatting sqref="B1477:E1477 B1479:E1480">
    <cfRule type="containsText" dxfId="838" priority="957" operator="containsText" text="m2">
      <formula>NOT(ISERROR(SEARCH("m2",B1477)))</formula>
    </cfRule>
  </conditionalFormatting>
  <conditionalFormatting sqref="F1477 F1479:F1480">
    <cfRule type="containsText" dxfId="837" priority="956" operator="containsText" text="TOTAL">
      <formula>NOT(ISERROR(SEARCH("TOTAL",F1477)))</formula>
    </cfRule>
  </conditionalFormatting>
  <conditionalFormatting sqref="B1476 D1476:E1476">
    <cfRule type="containsText" dxfId="836" priority="955" operator="containsText" text="m2">
      <formula>NOT(ISERROR(SEARCH("m2",B1476)))</formula>
    </cfRule>
  </conditionalFormatting>
  <conditionalFormatting sqref="F1466">
    <cfRule type="containsText" dxfId="835" priority="954" operator="containsText" text="TOTAL">
      <formula>NOT(ISERROR(SEARCH("TOTAL",F1466)))</formula>
    </cfRule>
  </conditionalFormatting>
  <conditionalFormatting sqref="B1466:E1466">
    <cfRule type="containsText" dxfId="834" priority="953" operator="containsText" text="m2">
      <formula>NOT(ISERROR(SEARCH("m2",B1466)))</formula>
    </cfRule>
  </conditionalFormatting>
  <conditionalFormatting sqref="F1473">
    <cfRule type="containsText" dxfId="833" priority="952" operator="containsText" text="TOTAL">
      <formula>NOT(ISERROR(SEARCH("TOTAL",F1473)))</formula>
    </cfRule>
  </conditionalFormatting>
  <conditionalFormatting sqref="B1473:E1473">
    <cfRule type="containsText" dxfId="832" priority="951" operator="containsText" text="m2">
      <formula>NOT(ISERROR(SEARCH("m2",B1473)))</formula>
    </cfRule>
  </conditionalFormatting>
  <conditionalFormatting sqref="F1478">
    <cfRule type="containsText" dxfId="831" priority="950" operator="containsText" text="TOTAL">
      <formula>NOT(ISERROR(SEARCH("TOTAL",F1478)))</formula>
    </cfRule>
  </conditionalFormatting>
  <conditionalFormatting sqref="B1478:E1478">
    <cfRule type="containsText" dxfId="830" priority="949" operator="containsText" text="m2">
      <formula>NOT(ISERROR(SEARCH("m2",B1478)))</formula>
    </cfRule>
  </conditionalFormatting>
  <conditionalFormatting sqref="F1483">
    <cfRule type="containsText" dxfId="829" priority="948" operator="containsText" text="TOTAL">
      <formula>NOT(ISERROR(SEARCH("TOTAL",F1483)))</formula>
    </cfRule>
  </conditionalFormatting>
  <conditionalFormatting sqref="B1483:E1483">
    <cfRule type="containsText" dxfId="828" priority="947" operator="containsText" text="m2">
      <formula>NOT(ISERROR(SEARCH("m2",B1483)))</formula>
    </cfRule>
  </conditionalFormatting>
  <conditionalFormatting sqref="B1444">
    <cfRule type="containsText" dxfId="827" priority="942" operator="containsText" text="m2">
      <formula>NOT(ISERROR(SEARCH("m2",B1444)))</formula>
    </cfRule>
  </conditionalFormatting>
  <conditionalFormatting sqref="F1442">
    <cfRule type="containsText" dxfId="826" priority="946" operator="containsText" text="TOTAL">
      <formula>NOT(ISERROR(SEARCH("TOTAL",F1442)))</formula>
    </cfRule>
  </conditionalFormatting>
  <conditionalFormatting sqref="C1444:E1444">
    <cfRule type="containsText" dxfId="825" priority="943" operator="containsText" text="m2">
      <formula>NOT(ISERROR(SEARCH("m2",C1444)))</formula>
    </cfRule>
  </conditionalFormatting>
  <conditionalFormatting sqref="B1442:E1442">
    <cfRule type="containsText" dxfId="824" priority="945" operator="containsText" text="m2">
      <formula>NOT(ISERROR(SEARCH("m2",B1442)))</formula>
    </cfRule>
  </conditionalFormatting>
  <conditionalFormatting sqref="F1444">
    <cfRule type="containsText" dxfId="823" priority="944" operator="containsText" text="TOTAL">
      <formula>NOT(ISERROR(SEARCH("TOTAL",F1444)))</formula>
    </cfRule>
  </conditionalFormatting>
  <conditionalFormatting sqref="B1755">
    <cfRule type="containsText" dxfId="822" priority="938" operator="containsText" text="m2">
      <formula>NOT(ISERROR(SEARCH("m2",B1755)))</formula>
    </cfRule>
  </conditionalFormatting>
  <conditionalFormatting sqref="B1701">
    <cfRule type="containsText" dxfId="821" priority="940" operator="containsText" text="m2">
      <formula>NOT(ISERROR(SEARCH("m2",B1701)))</formula>
    </cfRule>
  </conditionalFormatting>
  <conditionalFormatting sqref="F1701">
    <cfRule type="containsText" dxfId="820" priority="939" operator="containsText" text="TOTAL">
      <formula>NOT(ISERROR(SEARCH("TOTAL",F1701)))</formula>
    </cfRule>
  </conditionalFormatting>
  <conditionalFormatting sqref="B1703">
    <cfRule type="containsText" dxfId="819" priority="937" operator="containsText" text="m2">
      <formula>NOT(ISERROR(SEARCH("m2",B1703)))</formula>
    </cfRule>
  </conditionalFormatting>
  <conditionalFormatting sqref="B1714">
    <cfRule type="containsText" dxfId="818" priority="914" operator="containsText" text="m2">
      <formula>NOT(ISERROR(SEARCH("m2",B1714)))</formula>
    </cfRule>
  </conditionalFormatting>
  <conditionalFormatting sqref="B1715">
    <cfRule type="containsText" dxfId="817" priority="913" operator="containsText" text="m2">
      <formula>NOT(ISERROR(SEARCH("m2",B1715)))</formula>
    </cfRule>
  </conditionalFormatting>
  <conditionalFormatting sqref="B1726">
    <cfRule type="containsText" dxfId="816" priority="902" operator="containsText" text="m2">
      <formula>NOT(ISERROR(SEARCH("m2",B1726)))</formula>
    </cfRule>
  </conditionalFormatting>
  <conditionalFormatting sqref="D1717:E1717">
    <cfRule type="containsText" dxfId="815" priority="901" operator="containsText" text="m2">
      <formula>NOT(ISERROR(SEARCH("m2",D1717)))</formula>
    </cfRule>
  </conditionalFormatting>
  <conditionalFormatting sqref="F1717">
    <cfRule type="containsText" dxfId="814" priority="900" operator="containsText" text="TOTAL">
      <formula>NOT(ISERROR(SEARCH("TOTAL",F1717)))</formula>
    </cfRule>
  </conditionalFormatting>
  <conditionalFormatting sqref="C1707:E1716 C1717 C1718:E1719 C1721:E1723 C1720 C1724 C1725:E1726">
    <cfRule type="containsText" dxfId="813" priority="921" operator="containsText" text="m2">
      <formula>NOT(ISERROR(SEARCH("m2",C1707)))</formula>
    </cfRule>
  </conditionalFormatting>
  <conditionalFormatting sqref="F1707:F1716 F1718:F1719 F1721">
    <cfRule type="containsText" dxfId="812" priority="920" operator="containsText" text="TOTAL">
      <formula>NOT(ISERROR(SEARCH("TOTAL",F1707)))</formula>
    </cfRule>
  </conditionalFormatting>
  <conditionalFormatting sqref="B1707:B1709">
    <cfRule type="containsText" dxfId="811" priority="919" operator="containsText" text="m2">
      <formula>NOT(ISERROR(SEARCH("m2",B1707)))</formula>
    </cfRule>
  </conditionalFormatting>
  <conditionalFormatting sqref="B1710">
    <cfRule type="containsText" dxfId="810" priority="918" operator="containsText" text="m2">
      <formula>NOT(ISERROR(SEARCH("m2",B1710)))</formula>
    </cfRule>
  </conditionalFormatting>
  <conditionalFormatting sqref="B1711">
    <cfRule type="containsText" dxfId="809" priority="917" operator="containsText" text="m2">
      <formula>NOT(ISERROR(SEARCH("m2",B1711)))</formula>
    </cfRule>
  </conditionalFormatting>
  <conditionalFormatting sqref="B1712">
    <cfRule type="containsText" dxfId="808" priority="916" operator="containsText" text="m2">
      <formula>NOT(ISERROR(SEARCH("m2",B1712)))</formula>
    </cfRule>
  </conditionalFormatting>
  <conditionalFormatting sqref="B1713">
    <cfRule type="containsText" dxfId="807" priority="915" operator="containsText" text="m2">
      <formula>NOT(ISERROR(SEARCH("m2",B1713)))</formula>
    </cfRule>
  </conditionalFormatting>
  <conditionalFormatting sqref="B1716">
    <cfRule type="containsText" dxfId="806" priority="912" operator="containsText" text="m2">
      <formula>NOT(ISERROR(SEARCH("m2",B1716)))</formula>
    </cfRule>
  </conditionalFormatting>
  <conditionalFormatting sqref="B1717">
    <cfRule type="containsText" dxfId="805" priority="911" operator="containsText" text="m2">
      <formula>NOT(ISERROR(SEARCH("m2",B1717)))</formula>
    </cfRule>
  </conditionalFormatting>
  <conditionalFormatting sqref="B1718">
    <cfRule type="containsText" dxfId="804" priority="910" operator="containsText" text="m2">
      <formula>NOT(ISERROR(SEARCH("m2",B1718)))</formula>
    </cfRule>
  </conditionalFormatting>
  <conditionalFormatting sqref="B1719">
    <cfRule type="containsText" dxfId="803" priority="909" operator="containsText" text="m2">
      <formula>NOT(ISERROR(SEARCH("m2",B1719)))</formula>
    </cfRule>
  </conditionalFormatting>
  <conditionalFormatting sqref="B1720">
    <cfRule type="containsText" dxfId="802" priority="908" operator="containsText" text="m2">
      <formula>NOT(ISERROR(SEARCH("m2",B1720)))</formula>
    </cfRule>
  </conditionalFormatting>
  <conditionalFormatting sqref="B1721">
    <cfRule type="containsText" dxfId="801" priority="907" operator="containsText" text="m2">
      <formula>NOT(ISERROR(SEARCH("m2",B1721)))</formula>
    </cfRule>
  </conditionalFormatting>
  <conditionalFormatting sqref="B1722">
    <cfRule type="containsText" dxfId="800" priority="906" operator="containsText" text="m2">
      <formula>NOT(ISERROR(SEARCH("m2",B1722)))</formula>
    </cfRule>
  </conditionalFormatting>
  <conditionalFormatting sqref="B1723">
    <cfRule type="containsText" dxfId="799" priority="905" operator="containsText" text="m2">
      <formula>NOT(ISERROR(SEARCH("m2",B1723)))</formula>
    </cfRule>
  </conditionalFormatting>
  <conditionalFormatting sqref="B1724">
    <cfRule type="containsText" dxfId="798" priority="904" operator="containsText" text="m2">
      <formula>NOT(ISERROR(SEARCH("m2",B1724)))</formula>
    </cfRule>
  </conditionalFormatting>
  <conditionalFormatting sqref="B1725">
    <cfRule type="containsText" dxfId="797" priority="903" operator="containsText" text="m2">
      <formula>NOT(ISERROR(SEARCH("m2",B1725)))</formula>
    </cfRule>
  </conditionalFormatting>
  <conditionalFormatting sqref="D1720:E1720">
    <cfRule type="containsText" dxfId="796" priority="899" operator="containsText" text="m2">
      <formula>NOT(ISERROR(SEARCH("m2",D1720)))</formula>
    </cfRule>
  </conditionalFormatting>
  <conditionalFormatting sqref="F1720">
    <cfRule type="containsText" dxfId="795" priority="898" operator="containsText" text="TOTAL">
      <formula>NOT(ISERROR(SEARCH("TOTAL",F1720)))</formula>
    </cfRule>
  </conditionalFormatting>
  <conditionalFormatting sqref="F1722">
    <cfRule type="containsText" dxfId="794" priority="897" operator="containsText" text="TOTAL">
      <formula>NOT(ISERROR(SEARCH("TOTAL",F1722)))</formula>
    </cfRule>
  </conditionalFormatting>
  <conditionalFormatting sqref="F1723">
    <cfRule type="containsText" dxfId="793" priority="896" operator="containsText" text="TOTAL">
      <formula>NOT(ISERROR(SEARCH("TOTAL",F1723)))</formula>
    </cfRule>
  </conditionalFormatting>
  <conditionalFormatting sqref="D1724:E1724">
    <cfRule type="containsText" dxfId="792" priority="895" operator="containsText" text="m2">
      <formula>NOT(ISERROR(SEARCH("m2",D1724)))</formula>
    </cfRule>
  </conditionalFormatting>
  <conditionalFormatting sqref="F1724:F1726">
    <cfRule type="containsText" dxfId="791" priority="894" operator="containsText" text="TOTAL">
      <formula>NOT(ISERROR(SEARCH("TOTAL",F1724)))</formula>
    </cfRule>
  </conditionalFormatting>
  <conditionalFormatting sqref="F1728">
    <cfRule type="containsText" dxfId="790" priority="892" operator="containsText" text="TOTAL">
      <formula>NOT(ISERROR(SEARCH("TOTAL",F1728)))</formula>
    </cfRule>
  </conditionalFormatting>
  <conditionalFormatting sqref="B1728:E1728">
    <cfRule type="containsText" dxfId="789" priority="893" operator="containsText" text="m2">
      <formula>NOT(ISERROR(SEARCH("m2",B1728)))</formula>
    </cfRule>
  </conditionalFormatting>
  <conditionalFormatting sqref="C1727:E1727">
    <cfRule type="containsText" dxfId="788" priority="891" operator="containsText" text="m2">
      <formula>NOT(ISERROR(SEARCH("m2",C1727)))</formula>
    </cfRule>
  </conditionalFormatting>
  <conditionalFormatting sqref="F1727">
    <cfRule type="containsText" dxfId="787" priority="890" operator="containsText" text="TOTAL">
      <formula>NOT(ISERROR(SEARCH("TOTAL",F1727)))</formula>
    </cfRule>
  </conditionalFormatting>
  <conditionalFormatting sqref="B1727">
    <cfRule type="containsText" dxfId="786" priority="889" operator="containsText" text="m2">
      <formula>NOT(ISERROR(SEARCH("m2",B1727)))</formula>
    </cfRule>
  </conditionalFormatting>
  <conditionalFormatting sqref="C1732:E1753">
    <cfRule type="containsText" dxfId="785" priority="888" operator="containsText" text="m2">
      <formula>NOT(ISERROR(SEARCH("m2",C1732)))</formula>
    </cfRule>
  </conditionalFormatting>
  <conditionalFormatting sqref="F1730:F1753">
    <cfRule type="containsText" dxfId="784" priority="887" operator="containsText" text="TOTAL">
      <formula>NOT(ISERROR(SEARCH("TOTAL",F1730)))</formula>
    </cfRule>
  </conditionalFormatting>
  <conditionalFormatting sqref="B1730:E1731">
    <cfRule type="containsText" dxfId="783" priority="886" operator="containsText" text="m2">
      <formula>NOT(ISERROR(SEARCH("m2",B1730)))</formula>
    </cfRule>
  </conditionalFormatting>
  <conditionalFormatting sqref="B1732">
    <cfRule type="containsText" dxfId="782" priority="885" operator="containsText" text="m2">
      <formula>NOT(ISERROR(SEARCH("m2",B1732)))</formula>
    </cfRule>
  </conditionalFormatting>
  <conditionalFormatting sqref="B1733">
    <cfRule type="containsText" dxfId="781" priority="884" operator="containsText" text="m2">
      <formula>NOT(ISERROR(SEARCH("m2",B1733)))</formula>
    </cfRule>
  </conditionalFormatting>
  <conditionalFormatting sqref="B1734">
    <cfRule type="containsText" dxfId="780" priority="883" operator="containsText" text="m2">
      <formula>NOT(ISERROR(SEARCH("m2",B1734)))</formula>
    </cfRule>
  </conditionalFormatting>
  <conditionalFormatting sqref="B1735">
    <cfRule type="containsText" dxfId="779" priority="882" operator="containsText" text="m2">
      <formula>NOT(ISERROR(SEARCH("m2",B1735)))</formula>
    </cfRule>
  </conditionalFormatting>
  <conditionalFormatting sqref="B1736">
    <cfRule type="containsText" dxfId="778" priority="881" operator="containsText" text="m2">
      <formula>NOT(ISERROR(SEARCH("m2",B1736)))</formula>
    </cfRule>
  </conditionalFormatting>
  <conditionalFormatting sqref="B1737">
    <cfRule type="containsText" dxfId="777" priority="880" operator="containsText" text="m2">
      <formula>NOT(ISERROR(SEARCH("m2",B1737)))</formula>
    </cfRule>
  </conditionalFormatting>
  <conditionalFormatting sqref="B1738">
    <cfRule type="containsText" dxfId="776" priority="879" operator="containsText" text="m2">
      <formula>NOT(ISERROR(SEARCH("m2",B1738)))</formula>
    </cfRule>
  </conditionalFormatting>
  <conditionalFormatting sqref="B1739">
    <cfRule type="containsText" dxfId="775" priority="878" operator="containsText" text="m2">
      <formula>NOT(ISERROR(SEARCH("m2",B1739)))</formula>
    </cfRule>
  </conditionalFormatting>
  <conditionalFormatting sqref="B1740">
    <cfRule type="containsText" dxfId="774" priority="877" operator="containsText" text="m2">
      <formula>NOT(ISERROR(SEARCH("m2",B1740)))</formula>
    </cfRule>
  </conditionalFormatting>
  <conditionalFormatting sqref="B1741:B1743">
    <cfRule type="containsText" dxfId="773" priority="876" operator="containsText" text="m2">
      <formula>NOT(ISERROR(SEARCH("m2",B1741)))</formula>
    </cfRule>
  </conditionalFormatting>
  <conditionalFormatting sqref="B1744">
    <cfRule type="containsText" dxfId="772" priority="875" operator="containsText" text="m2">
      <formula>NOT(ISERROR(SEARCH("m2",B1744)))</formula>
    </cfRule>
  </conditionalFormatting>
  <conditionalFormatting sqref="B1745">
    <cfRule type="containsText" dxfId="771" priority="874" operator="containsText" text="m2">
      <formula>NOT(ISERROR(SEARCH("m2",B1745)))</formula>
    </cfRule>
  </conditionalFormatting>
  <conditionalFormatting sqref="B1746">
    <cfRule type="containsText" dxfId="770" priority="873" operator="containsText" text="m2">
      <formula>NOT(ISERROR(SEARCH("m2",B1746)))</formula>
    </cfRule>
  </conditionalFormatting>
  <conditionalFormatting sqref="B1747">
    <cfRule type="containsText" dxfId="769" priority="872" operator="containsText" text="m2">
      <formula>NOT(ISERROR(SEARCH("m2",B1747)))</formula>
    </cfRule>
  </conditionalFormatting>
  <conditionalFormatting sqref="B1748">
    <cfRule type="containsText" dxfId="768" priority="871" operator="containsText" text="m2">
      <formula>NOT(ISERROR(SEARCH("m2",B1748)))</formula>
    </cfRule>
  </conditionalFormatting>
  <conditionalFormatting sqref="B1749">
    <cfRule type="containsText" dxfId="767" priority="870" operator="containsText" text="m2">
      <formula>NOT(ISERROR(SEARCH("m2",B1749)))</formula>
    </cfRule>
  </conditionalFormatting>
  <conditionalFormatting sqref="B1750">
    <cfRule type="containsText" dxfId="766" priority="869" operator="containsText" text="m2">
      <formula>NOT(ISERROR(SEARCH("m2",B1750)))</formula>
    </cfRule>
  </conditionalFormatting>
  <conditionalFormatting sqref="B1751">
    <cfRule type="containsText" dxfId="765" priority="868" operator="containsText" text="m2">
      <formula>NOT(ISERROR(SEARCH("m2",B1751)))</formula>
    </cfRule>
  </conditionalFormatting>
  <conditionalFormatting sqref="B1752:B1753">
    <cfRule type="containsText" dxfId="764" priority="867" operator="containsText" text="m2">
      <formula>NOT(ISERROR(SEARCH("m2",B1752)))</formula>
    </cfRule>
  </conditionalFormatting>
  <conditionalFormatting sqref="B1801">
    <cfRule type="containsText" dxfId="763" priority="859" operator="containsText" text="m2">
      <formula>NOT(ISERROR(SEARCH("m2",B1801)))</formula>
    </cfRule>
  </conditionalFormatting>
  <conditionalFormatting sqref="F1801">
    <cfRule type="containsText" dxfId="762" priority="858" operator="containsText" text="TOTAL">
      <formula>NOT(ISERROR(SEARCH("TOTAL",F1801)))</formula>
    </cfRule>
  </conditionalFormatting>
  <conditionalFormatting sqref="B1824:B1826">
    <cfRule type="containsText" dxfId="761" priority="784" operator="containsText" text="m2">
      <formula>NOT(ISERROR(SEARCH("m2",B1824)))</formula>
    </cfRule>
  </conditionalFormatting>
  <conditionalFormatting sqref="E1827">
    <cfRule type="containsText" dxfId="760" priority="781" operator="containsText" text="m2">
      <formula>NOT(ISERROR(SEARCH("m2",E1827)))</formula>
    </cfRule>
  </conditionalFormatting>
  <conditionalFormatting sqref="D1827">
    <cfRule type="containsText" dxfId="759" priority="780" operator="containsText" text="m2">
      <formula>NOT(ISERROR(SEARCH("m2",D1827)))</formula>
    </cfRule>
  </conditionalFormatting>
  <conditionalFormatting sqref="B1828:E1828">
    <cfRule type="containsText" dxfId="758" priority="779" operator="containsText" text="m2">
      <formula>NOT(ISERROR(SEARCH("m2",B1828)))</formula>
    </cfRule>
  </conditionalFormatting>
  <conditionalFormatting sqref="B1817">
    <cfRule type="containsText" dxfId="757" priority="775" operator="containsText" text="m2">
      <formula>NOT(ISERROR(SEARCH("m2",B1817)))</formula>
    </cfRule>
  </conditionalFormatting>
  <conditionalFormatting sqref="A1829:E1829">
    <cfRule type="containsText" dxfId="756" priority="777" operator="containsText" text="m2">
      <formula>NOT(ISERROR(SEARCH("m2",A1829)))</formula>
    </cfRule>
  </conditionalFormatting>
  <conditionalFormatting sqref="F1829">
    <cfRule type="containsText" dxfId="755" priority="776" operator="containsText" text="TOTAL">
      <formula>NOT(ISERROR(SEARCH("TOTAL",F1829)))</formula>
    </cfRule>
  </conditionalFormatting>
  <conditionalFormatting sqref="A1802:E1803">
    <cfRule type="containsText" dxfId="754" priority="845" operator="containsText" text="m2">
      <formula>NOT(ISERROR(SEARCH("m2",A1802)))</formula>
    </cfRule>
  </conditionalFormatting>
  <conditionalFormatting sqref="F1802:F1803">
    <cfRule type="containsText" dxfId="753" priority="844" operator="containsText" text="TOTAL">
      <formula>NOT(ISERROR(SEARCH("TOTAL",F1802)))</formula>
    </cfRule>
  </conditionalFormatting>
  <conditionalFormatting sqref="A1872:E1872">
    <cfRule type="containsText" dxfId="752" priority="843" operator="containsText" text="m2">
      <formula>NOT(ISERROR(SEARCH("m2",A1872)))</formula>
    </cfRule>
  </conditionalFormatting>
  <conditionalFormatting sqref="F1872">
    <cfRule type="containsText" dxfId="751" priority="842" operator="containsText" text="TOTAL">
      <formula>NOT(ISERROR(SEARCH("TOTAL",F1872)))</formula>
    </cfRule>
  </conditionalFormatting>
  <conditionalFormatting sqref="A1804:A1805">
    <cfRule type="containsText" dxfId="750" priority="841" operator="containsText" text="m2">
      <formula>NOT(ISERROR(SEARCH("m2",A1804)))</formula>
    </cfRule>
  </conditionalFormatting>
  <conditionalFormatting sqref="B1804:C1805">
    <cfRule type="containsText" dxfId="749" priority="840" operator="containsText" text="m2">
      <formula>NOT(ISERROR(SEARCH("m2",B1804)))</formula>
    </cfRule>
  </conditionalFormatting>
  <conditionalFormatting sqref="D1804:E1804">
    <cfRule type="containsText" dxfId="748" priority="839" operator="containsText" text="m2">
      <formula>NOT(ISERROR(SEARCH("m2",D1804)))</formula>
    </cfRule>
  </conditionalFormatting>
  <conditionalFormatting sqref="F1804">
    <cfRule type="containsText" dxfId="747" priority="838" operator="containsText" text="TOTAL">
      <formula>NOT(ISERROR(SEARCH("TOTAL",F1804)))</formula>
    </cfRule>
  </conditionalFormatting>
  <conditionalFormatting sqref="D1805:E1805">
    <cfRule type="containsText" dxfId="746" priority="837" operator="containsText" text="m2">
      <formula>NOT(ISERROR(SEARCH("m2",D1805)))</formula>
    </cfRule>
  </conditionalFormatting>
  <conditionalFormatting sqref="F1805">
    <cfRule type="containsText" dxfId="745" priority="836" operator="containsText" text="TOTAL">
      <formula>NOT(ISERROR(SEARCH("TOTAL",F1805)))</formula>
    </cfRule>
  </conditionalFormatting>
  <conditionalFormatting sqref="B1806:C1806">
    <cfRule type="containsText" dxfId="744" priority="835" operator="containsText" text="m2">
      <formula>NOT(ISERROR(SEARCH("m2",B1806)))</formula>
    </cfRule>
  </conditionalFormatting>
  <conditionalFormatting sqref="D1806:E1806">
    <cfRule type="containsText" dxfId="743" priority="834" operator="containsText" text="m2">
      <formula>NOT(ISERROR(SEARCH("m2",D1806)))</formula>
    </cfRule>
  </conditionalFormatting>
  <conditionalFormatting sqref="F1806">
    <cfRule type="containsText" dxfId="742" priority="833" operator="containsText" text="TOTAL">
      <formula>NOT(ISERROR(SEARCH("TOTAL",F1806)))</formula>
    </cfRule>
  </conditionalFormatting>
  <conditionalFormatting sqref="B1887:E1887">
    <cfRule type="containsText" dxfId="741" priority="696" operator="containsText" text="m2">
      <formula>NOT(ISERROR(SEARCH("m2",B1887)))</formula>
    </cfRule>
  </conditionalFormatting>
  <conditionalFormatting sqref="F1828">
    <cfRule type="containsText" dxfId="740" priority="778" operator="containsText" text="TOTAL">
      <formula>NOT(ISERROR(SEARCH("TOTAL",F1828)))</formula>
    </cfRule>
  </conditionalFormatting>
  <conditionalFormatting sqref="E1817">
    <cfRule type="containsText" dxfId="739" priority="774" operator="containsText" text="m2">
      <formula>NOT(ISERROR(SEARCH("m2",E1817)))</formula>
    </cfRule>
  </conditionalFormatting>
  <conditionalFormatting sqref="A1807:E1808">
    <cfRule type="containsText" dxfId="738" priority="826" operator="containsText" text="m2">
      <formula>NOT(ISERROR(SEARCH("m2",A1807)))</formula>
    </cfRule>
  </conditionalFormatting>
  <conditionalFormatting sqref="F1807:F1808">
    <cfRule type="containsText" dxfId="737" priority="825" operator="containsText" text="TOTAL">
      <formula>NOT(ISERROR(SEARCH("TOTAL",F1807)))</formula>
    </cfRule>
  </conditionalFormatting>
  <conditionalFormatting sqref="B1809:E1809">
    <cfRule type="containsText" dxfId="736" priority="824" operator="containsText" text="m2">
      <formula>NOT(ISERROR(SEARCH("m2",B1809)))</formula>
    </cfRule>
  </conditionalFormatting>
  <conditionalFormatting sqref="F1809">
    <cfRule type="containsText" dxfId="735" priority="823" operator="containsText" text="TOTAL">
      <formula>NOT(ISERROR(SEARCH("TOTAL",F1809)))</formula>
    </cfRule>
  </conditionalFormatting>
  <conditionalFormatting sqref="A1810:E1810">
    <cfRule type="containsText" dxfId="734" priority="822" operator="containsText" text="m2">
      <formula>NOT(ISERROR(SEARCH("m2",A1810)))</formula>
    </cfRule>
  </conditionalFormatting>
  <conditionalFormatting sqref="F1810">
    <cfRule type="containsText" dxfId="733" priority="821" operator="containsText" text="TOTAL">
      <formula>NOT(ISERROR(SEARCH("TOTAL",F1810)))</formula>
    </cfRule>
  </conditionalFormatting>
  <conditionalFormatting sqref="C1811 B1819">
    <cfRule type="containsText" dxfId="732" priority="820" operator="containsText" text="m2">
      <formula>NOT(ISERROR(SEARCH("m2",B1811)))</formula>
    </cfRule>
  </conditionalFormatting>
  <conditionalFormatting sqref="B1811">
    <cfRule type="containsText" dxfId="731" priority="819" operator="containsText" text="m2">
      <formula>NOT(ISERROR(SEARCH("m2",B1811)))</formula>
    </cfRule>
  </conditionalFormatting>
  <conditionalFormatting sqref="B1813">
    <cfRule type="containsText" dxfId="730" priority="818" operator="containsText" text="m2">
      <formula>NOT(ISERROR(SEARCH("m2",B1813)))</formula>
    </cfRule>
  </conditionalFormatting>
  <conditionalFormatting sqref="B1871">
    <cfRule type="containsText" dxfId="729" priority="730" operator="containsText" text="m2">
      <formula>NOT(ISERROR(SEARCH("m2",B1871)))</formula>
    </cfRule>
  </conditionalFormatting>
  <conditionalFormatting sqref="B1821">
    <cfRule type="containsText" dxfId="728" priority="813" operator="containsText" text="m2">
      <formula>NOT(ISERROR(SEARCH("m2",B1821)))</formula>
    </cfRule>
  </conditionalFormatting>
  <conditionalFormatting sqref="B1814">
    <cfRule type="containsText" dxfId="727" priority="817" operator="containsText" text="m2">
      <formula>NOT(ISERROR(SEARCH("m2",B1814)))</formula>
    </cfRule>
  </conditionalFormatting>
  <conditionalFormatting sqref="B1815">
    <cfRule type="containsText" dxfId="726" priority="816" operator="containsText" text="m2">
      <formula>NOT(ISERROR(SEARCH("m2",B1815)))</formula>
    </cfRule>
  </conditionalFormatting>
  <conditionalFormatting sqref="B1816">
    <cfRule type="containsText" dxfId="725" priority="815" operator="containsText" text="m2">
      <formula>NOT(ISERROR(SEARCH("m2",B1816)))</formula>
    </cfRule>
  </conditionalFormatting>
  <conditionalFormatting sqref="B1818">
    <cfRule type="containsText" dxfId="724" priority="814" operator="containsText" text="m2">
      <formula>NOT(ISERROR(SEARCH("m2",B1818)))</formula>
    </cfRule>
  </conditionalFormatting>
  <conditionalFormatting sqref="B1822">
    <cfRule type="containsText" dxfId="723" priority="811" operator="containsText" text="m2">
      <formula>NOT(ISERROR(SEARCH("m2",B1822)))</formula>
    </cfRule>
  </conditionalFormatting>
  <conditionalFormatting sqref="B1827">
    <cfRule type="containsText" dxfId="722" priority="809" operator="containsText" text="m2">
      <formula>NOT(ISERROR(SEARCH("m2",B1827)))</formula>
    </cfRule>
  </conditionalFormatting>
  <conditionalFormatting sqref="B1823">
    <cfRule type="containsText" dxfId="721" priority="810" operator="containsText" text="m2">
      <formula>NOT(ISERROR(SEARCH("m2",B1823)))</formula>
    </cfRule>
  </conditionalFormatting>
  <conditionalFormatting sqref="F1811">
    <cfRule type="containsText" dxfId="720" priority="807" operator="containsText" text="TOTAL">
      <formula>NOT(ISERROR(SEARCH("TOTAL",F1811)))</formula>
    </cfRule>
  </conditionalFormatting>
  <conditionalFormatting sqref="D1811:E1811">
    <cfRule type="containsText" dxfId="719" priority="808" operator="containsText" text="m2">
      <formula>NOT(ISERROR(SEARCH("m2",D1811)))</formula>
    </cfRule>
  </conditionalFormatting>
  <conditionalFormatting sqref="C1812:E1812">
    <cfRule type="containsText" dxfId="718" priority="806" operator="containsText" text="m2">
      <formula>NOT(ISERROR(SEARCH("m2",C1812)))</formula>
    </cfRule>
  </conditionalFormatting>
  <conditionalFormatting sqref="F1812">
    <cfRule type="containsText" dxfId="717" priority="805" operator="containsText" text="TOTAL">
      <formula>NOT(ISERROR(SEARCH("TOTAL",F1812)))</formula>
    </cfRule>
  </conditionalFormatting>
  <conditionalFormatting sqref="F1813">
    <cfRule type="containsText" dxfId="716" priority="803" operator="containsText" text="TOTAL">
      <formula>NOT(ISERROR(SEARCH("TOTAL",F1813)))</formula>
    </cfRule>
  </conditionalFormatting>
  <conditionalFormatting sqref="D1813:E1813">
    <cfRule type="containsText" dxfId="715" priority="804" operator="containsText" text="m2">
      <formula>NOT(ISERROR(SEARCH("m2",D1813)))</formula>
    </cfRule>
  </conditionalFormatting>
  <conditionalFormatting sqref="F1814">
    <cfRule type="containsText" dxfId="714" priority="801" operator="containsText" text="TOTAL">
      <formula>NOT(ISERROR(SEARCH("TOTAL",F1814)))</formula>
    </cfRule>
  </conditionalFormatting>
  <conditionalFormatting sqref="D1814:E1814">
    <cfRule type="containsText" dxfId="713" priority="802" operator="containsText" text="m2">
      <formula>NOT(ISERROR(SEARCH("m2",D1814)))</formula>
    </cfRule>
  </conditionalFormatting>
  <conditionalFormatting sqref="F1815">
    <cfRule type="containsText" dxfId="712" priority="799" operator="containsText" text="TOTAL">
      <formula>NOT(ISERROR(SEARCH("TOTAL",F1815)))</formula>
    </cfRule>
  </conditionalFormatting>
  <conditionalFormatting sqref="D1815:E1815">
    <cfRule type="containsText" dxfId="711" priority="800" operator="containsText" text="m2">
      <formula>NOT(ISERROR(SEARCH("m2",D1815)))</formula>
    </cfRule>
  </conditionalFormatting>
  <conditionalFormatting sqref="F1816">
    <cfRule type="containsText" dxfId="710" priority="797" operator="containsText" text="TOTAL">
      <formula>NOT(ISERROR(SEARCH("TOTAL",F1816)))</formula>
    </cfRule>
  </conditionalFormatting>
  <conditionalFormatting sqref="D1816:E1816">
    <cfRule type="containsText" dxfId="709" priority="798" operator="containsText" text="m2">
      <formula>NOT(ISERROR(SEARCH("m2",D1816)))</formula>
    </cfRule>
  </conditionalFormatting>
  <conditionalFormatting sqref="F1818:F1819">
    <cfRule type="containsText" dxfId="708" priority="795" operator="containsText" text="TOTAL">
      <formula>NOT(ISERROR(SEARCH("TOTAL",F1818)))</formula>
    </cfRule>
  </conditionalFormatting>
  <conditionalFormatting sqref="D1818:E1819">
    <cfRule type="containsText" dxfId="707" priority="796" operator="containsText" text="m2">
      <formula>NOT(ISERROR(SEARCH("m2",D1818)))</formula>
    </cfRule>
  </conditionalFormatting>
  <conditionalFormatting sqref="B1820">
    <cfRule type="containsText" dxfId="706" priority="794" operator="containsText" text="m2">
      <formula>NOT(ISERROR(SEARCH("m2",B1820)))</formula>
    </cfRule>
  </conditionalFormatting>
  <conditionalFormatting sqref="D1820">
    <cfRule type="containsText" dxfId="705" priority="793" operator="containsText" text="m2">
      <formula>NOT(ISERROR(SEARCH("m2",D1820)))</formula>
    </cfRule>
  </conditionalFormatting>
  <conditionalFormatting sqref="E1820:E1821">
    <cfRule type="containsText" dxfId="704" priority="792" operator="containsText" text="m2">
      <formula>NOT(ISERROR(SEARCH("m2",E1820)))</formula>
    </cfRule>
  </conditionalFormatting>
  <conditionalFormatting sqref="F1820">
    <cfRule type="containsText" dxfId="703" priority="791" operator="containsText" text="TOTAL">
      <formula>NOT(ISERROR(SEARCH("TOTAL",F1820)))</formula>
    </cfRule>
  </conditionalFormatting>
  <conditionalFormatting sqref="D1821">
    <cfRule type="containsText" dxfId="702" priority="790" operator="containsText" text="m2">
      <formula>NOT(ISERROR(SEARCH("m2",D1821)))</formula>
    </cfRule>
  </conditionalFormatting>
  <conditionalFormatting sqref="F1821">
    <cfRule type="containsText" dxfId="701" priority="789" operator="containsText" text="TOTAL">
      <formula>NOT(ISERROR(SEARCH("TOTAL",F1821)))</formula>
    </cfRule>
  </conditionalFormatting>
  <conditionalFormatting sqref="D1822:E1822">
    <cfRule type="containsText" dxfId="700" priority="788" operator="containsText" text="m2">
      <formula>NOT(ISERROR(SEARCH("m2",D1822)))</formula>
    </cfRule>
  </conditionalFormatting>
  <conditionalFormatting sqref="F1822">
    <cfRule type="containsText" dxfId="699" priority="787" operator="containsText" text="TOTAL">
      <formula>NOT(ISERROR(SEARCH("TOTAL",F1822)))</formula>
    </cfRule>
  </conditionalFormatting>
  <conditionalFormatting sqref="D1823:E1823">
    <cfRule type="containsText" dxfId="698" priority="786" operator="containsText" text="m2">
      <formula>NOT(ISERROR(SEARCH("m2",D1823)))</formula>
    </cfRule>
  </conditionalFormatting>
  <conditionalFormatting sqref="F1823">
    <cfRule type="containsText" dxfId="697" priority="785" operator="containsText" text="TOTAL">
      <formula>NOT(ISERROR(SEARCH("TOTAL",F1823)))</formula>
    </cfRule>
  </conditionalFormatting>
  <conditionalFormatting sqref="D1824:E1826">
    <cfRule type="containsText" dxfId="696" priority="783" operator="containsText" text="m2">
      <formula>NOT(ISERROR(SEARCH("m2",D1824)))</formula>
    </cfRule>
  </conditionalFormatting>
  <conditionalFormatting sqref="F1824:F1827">
    <cfRule type="containsText" dxfId="695" priority="782" operator="containsText" text="TOTAL">
      <formula>NOT(ISERROR(SEARCH("TOTAL",F1824)))</formula>
    </cfRule>
  </conditionalFormatting>
  <conditionalFormatting sqref="B1893:E1893">
    <cfRule type="containsText" dxfId="694" priority="694" operator="containsText" text="m2">
      <formula>NOT(ISERROR(SEARCH("m2",B1893)))</formula>
    </cfRule>
  </conditionalFormatting>
  <conditionalFormatting sqref="F1893">
    <cfRule type="containsText" dxfId="693" priority="693" operator="containsText" text="TOTAL">
      <formula>NOT(ISERROR(SEARCH("TOTAL",F1893)))</formula>
    </cfRule>
  </conditionalFormatting>
  <conditionalFormatting sqref="A1894:E1894">
    <cfRule type="containsText" dxfId="692" priority="692" operator="containsText" text="m2">
      <formula>NOT(ISERROR(SEARCH("m2",A1894)))</formula>
    </cfRule>
  </conditionalFormatting>
  <conditionalFormatting sqref="F1817">
    <cfRule type="containsText" dxfId="691" priority="773" operator="containsText" text="TOTAL">
      <formula>NOT(ISERROR(SEARCH("TOTAL",F1817)))</formula>
    </cfRule>
  </conditionalFormatting>
  <conditionalFormatting sqref="F1894">
    <cfRule type="containsText" dxfId="690" priority="691" operator="containsText" text="TOTAL">
      <formula>NOT(ISERROR(SEARCH("TOTAL",F1894)))</formula>
    </cfRule>
  </conditionalFormatting>
  <conditionalFormatting sqref="B1843:C1844 B1830:E1830 B1832:C1841 A1830:A1848">
    <cfRule type="containsText" dxfId="689" priority="772" operator="containsText" text="m2">
      <formula>NOT(ISERROR(SEARCH("m2",A1830)))</formula>
    </cfRule>
  </conditionalFormatting>
  <conditionalFormatting sqref="D1843:E1843">
    <cfRule type="containsText" dxfId="688" priority="771" operator="containsText" text="m2">
      <formula>NOT(ISERROR(SEARCH("m2",D1843)))</formula>
    </cfRule>
  </conditionalFormatting>
  <conditionalFormatting sqref="F1843">
    <cfRule type="containsText" dxfId="687" priority="770" operator="containsText" text="TOTAL">
      <formula>NOT(ISERROR(SEARCH("TOTAL",F1843)))</formula>
    </cfRule>
  </conditionalFormatting>
  <conditionalFormatting sqref="D1844:E1844">
    <cfRule type="containsText" dxfId="686" priority="769" operator="containsText" text="m2">
      <formula>NOT(ISERROR(SEARCH("m2",D1844)))</formula>
    </cfRule>
  </conditionalFormatting>
  <conditionalFormatting sqref="F1844">
    <cfRule type="containsText" dxfId="685" priority="768" operator="containsText" text="TOTAL">
      <formula>NOT(ISERROR(SEARCH("TOTAL",F1844)))</formula>
    </cfRule>
  </conditionalFormatting>
  <conditionalFormatting sqref="B1842:C1842">
    <cfRule type="containsText" dxfId="684" priority="767" operator="containsText" text="m2">
      <formula>NOT(ISERROR(SEARCH("m2",B1842)))</formula>
    </cfRule>
  </conditionalFormatting>
  <conditionalFormatting sqref="D1842:E1842">
    <cfRule type="containsText" dxfId="683" priority="766" operator="containsText" text="m2">
      <formula>NOT(ISERROR(SEARCH("m2",D1842)))</formula>
    </cfRule>
  </conditionalFormatting>
  <conditionalFormatting sqref="F1842">
    <cfRule type="containsText" dxfId="682" priority="765" operator="containsText" text="TOTAL">
      <formula>NOT(ISERROR(SEARCH("TOTAL",F1842)))</formula>
    </cfRule>
  </conditionalFormatting>
  <conditionalFormatting sqref="B1845:C1845">
    <cfRule type="containsText" dxfId="681" priority="764" operator="containsText" text="m2">
      <formula>NOT(ISERROR(SEARCH("m2",B1845)))</formula>
    </cfRule>
  </conditionalFormatting>
  <conditionalFormatting sqref="D1845:E1845">
    <cfRule type="containsText" dxfId="680" priority="763" operator="containsText" text="m2">
      <formula>NOT(ISERROR(SEARCH("m2",D1845)))</formula>
    </cfRule>
  </conditionalFormatting>
  <conditionalFormatting sqref="F1845">
    <cfRule type="containsText" dxfId="679" priority="762" operator="containsText" text="TOTAL">
      <formula>NOT(ISERROR(SEARCH("TOTAL",F1845)))</formula>
    </cfRule>
  </conditionalFormatting>
  <conditionalFormatting sqref="B1846:C1848">
    <cfRule type="containsText" dxfId="678" priority="761" operator="containsText" text="m2">
      <formula>NOT(ISERROR(SEARCH("m2",B1846)))</formula>
    </cfRule>
  </conditionalFormatting>
  <conditionalFormatting sqref="D1846:E1848">
    <cfRule type="containsText" dxfId="677" priority="760" operator="containsText" text="m2">
      <formula>NOT(ISERROR(SEARCH("m2",D1846)))</formula>
    </cfRule>
  </conditionalFormatting>
  <conditionalFormatting sqref="F1846:F1848">
    <cfRule type="containsText" dxfId="676" priority="759" operator="containsText" text="TOTAL">
      <formula>NOT(ISERROR(SEARCH("TOTAL",F1846)))</formula>
    </cfRule>
  </conditionalFormatting>
  <conditionalFormatting sqref="C1831:E1831 D1832">
    <cfRule type="containsText" dxfId="675" priority="758" operator="containsText" text="m2">
      <formula>NOT(ISERROR(SEARCH("m2",C1831)))</formula>
    </cfRule>
  </conditionalFormatting>
  <conditionalFormatting sqref="F1831:F1832">
    <cfRule type="containsText" dxfId="674" priority="757" operator="containsText" text="TOTAL">
      <formula>NOT(ISERROR(SEARCH("TOTAL",F1831)))</formula>
    </cfRule>
  </conditionalFormatting>
  <conditionalFormatting sqref="B1831">
    <cfRule type="containsText" dxfId="673" priority="756" operator="containsText" text="m2">
      <formula>NOT(ISERROR(SEARCH("m2",B1831)))</formula>
    </cfRule>
  </conditionalFormatting>
  <conditionalFormatting sqref="E1832">
    <cfRule type="containsText" dxfId="672" priority="755" operator="containsText" text="m2">
      <formula>NOT(ISERROR(SEARCH("m2",E1832)))</formula>
    </cfRule>
  </conditionalFormatting>
  <conditionalFormatting sqref="F1833:F1837 F1839:F1841">
    <cfRule type="containsText" dxfId="671" priority="753" operator="containsText" text="TOTAL">
      <formula>NOT(ISERROR(SEARCH("TOTAL",F1833)))</formula>
    </cfRule>
  </conditionalFormatting>
  <conditionalFormatting sqref="D1833:E1836">
    <cfRule type="containsText" dxfId="670" priority="754" operator="containsText" text="m2">
      <formula>NOT(ISERROR(SEARCH("m2",D1833)))</formula>
    </cfRule>
  </conditionalFormatting>
  <conditionalFormatting sqref="F1838">
    <cfRule type="containsText" dxfId="669" priority="750" operator="containsText" text="TOTAL">
      <formula>NOT(ISERROR(SEARCH("TOTAL",F1838)))</formula>
    </cfRule>
  </conditionalFormatting>
  <conditionalFormatting sqref="D1837:E1837">
    <cfRule type="containsText" dxfId="668" priority="752" operator="containsText" text="m2">
      <formula>NOT(ISERROR(SEARCH("m2",D1837)))</formula>
    </cfRule>
  </conditionalFormatting>
  <conditionalFormatting sqref="D1838:E1841">
    <cfRule type="containsText" dxfId="667" priority="751" operator="containsText" text="m2">
      <formula>NOT(ISERROR(SEARCH("m2",D1838)))</formula>
    </cfRule>
  </conditionalFormatting>
  <conditionalFormatting sqref="C1851:E1863 C1865:E1866 C1864 A1850:A1865 A1867">
    <cfRule type="containsText" dxfId="666" priority="749" operator="containsText" text="m2">
      <formula>NOT(ISERROR(SEARCH("m2",A1850)))</formula>
    </cfRule>
  </conditionalFormatting>
  <conditionalFormatting sqref="F1851:F1863 F1865:F1866">
    <cfRule type="containsText" dxfId="665" priority="748" operator="containsText" text="TOTAL">
      <formula>NOT(ISERROR(SEARCH("TOTAL",F1851)))</formula>
    </cfRule>
  </conditionalFormatting>
  <conditionalFormatting sqref="F1850">
    <cfRule type="containsText" dxfId="664" priority="746" operator="containsText" text="TOTAL">
      <formula>NOT(ISERROR(SEARCH("TOTAL",F1850)))</formula>
    </cfRule>
  </conditionalFormatting>
  <conditionalFormatting sqref="C1850:E1850 C1867">
    <cfRule type="containsText" dxfId="663" priority="747" operator="containsText" text="m2">
      <formula>NOT(ISERROR(SEARCH("m2",C1850)))</formula>
    </cfRule>
  </conditionalFormatting>
  <conditionalFormatting sqref="B1862:B1863">
    <cfRule type="containsText" dxfId="662" priority="744" operator="containsText" text="m2">
      <formula>NOT(ISERROR(SEARCH("m2",B1862)))</formula>
    </cfRule>
  </conditionalFormatting>
  <conditionalFormatting sqref="D1867:E1867">
    <cfRule type="containsText" dxfId="661" priority="743" operator="containsText" text="m2">
      <formula>NOT(ISERROR(SEARCH("m2",D1867)))</formula>
    </cfRule>
  </conditionalFormatting>
  <conditionalFormatting sqref="F1867">
    <cfRule type="containsText" dxfId="660" priority="742" operator="containsText" text="TOTAL">
      <formula>NOT(ISERROR(SEARCH("TOTAL",F1867)))</formula>
    </cfRule>
  </conditionalFormatting>
  <conditionalFormatting sqref="A1866">
    <cfRule type="containsText" dxfId="659" priority="741" operator="containsText" text="m2">
      <formula>NOT(ISERROR(SEARCH("m2",A1866)))</formula>
    </cfRule>
  </conditionalFormatting>
  <conditionalFormatting sqref="D1864:E1864">
    <cfRule type="containsText" dxfId="658" priority="740" operator="containsText" text="m2">
      <formula>NOT(ISERROR(SEARCH("m2",D1864)))</formula>
    </cfRule>
  </conditionalFormatting>
  <conditionalFormatting sqref="F1864">
    <cfRule type="containsText" dxfId="657" priority="739" operator="containsText" text="TOTAL">
      <formula>NOT(ISERROR(SEARCH("TOTAL",F1864)))</formula>
    </cfRule>
  </conditionalFormatting>
  <conditionalFormatting sqref="A1849:E1849">
    <cfRule type="containsText" dxfId="656" priority="735" operator="containsText" text="m2">
      <formula>NOT(ISERROR(SEARCH("m2",A1849)))</formula>
    </cfRule>
  </conditionalFormatting>
  <conditionalFormatting sqref="B1868:E1868">
    <cfRule type="containsText" dxfId="655" priority="734" operator="containsText" text="m2">
      <formula>NOT(ISERROR(SEARCH("m2",B1868)))</formula>
    </cfRule>
  </conditionalFormatting>
  <conditionalFormatting sqref="F1868">
    <cfRule type="containsText" dxfId="654" priority="733" operator="containsText" text="TOTAL">
      <formula>NOT(ISERROR(SEARCH("TOTAL",F1868)))</formula>
    </cfRule>
  </conditionalFormatting>
  <conditionalFormatting sqref="B1869">
    <cfRule type="containsText" dxfId="653" priority="732" operator="containsText" text="m2">
      <formula>NOT(ISERROR(SEARCH("m2",B1869)))</formula>
    </cfRule>
  </conditionalFormatting>
  <conditionalFormatting sqref="F1869">
    <cfRule type="containsText" dxfId="652" priority="731" operator="containsText" text="TOTAL">
      <formula>NOT(ISERROR(SEARCH("TOTAL",F1869)))</formula>
    </cfRule>
  </conditionalFormatting>
  <conditionalFormatting sqref="C1871:E1871">
    <cfRule type="containsText" dxfId="651" priority="729" operator="containsText" text="m2">
      <formula>NOT(ISERROR(SEARCH("m2",C1871)))</formula>
    </cfRule>
  </conditionalFormatting>
  <conditionalFormatting sqref="A1873:E1873">
    <cfRule type="containsText" dxfId="650" priority="728" operator="containsText" text="m2">
      <formula>NOT(ISERROR(SEARCH("m2",A1873)))</formula>
    </cfRule>
  </conditionalFormatting>
  <conditionalFormatting sqref="F1873">
    <cfRule type="containsText" dxfId="649" priority="727" operator="containsText" text="TOTAL">
      <formula>NOT(ISERROR(SEARCH("TOTAL",F1873)))</formula>
    </cfRule>
  </conditionalFormatting>
  <conditionalFormatting sqref="B1881:E1881">
    <cfRule type="containsText" dxfId="648" priority="698" operator="containsText" text="m2">
      <formula>NOT(ISERROR(SEARCH("m2",B1881)))</formula>
    </cfRule>
  </conditionalFormatting>
  <conditionalFormatting sqref="A1874:E1880 A1882:E1886 A1888:E1892">
    <cfRule type="containsText" dxfId="647" priority="700" operator="containsText" text="m2">
      <formula>NOT(ISERROR(SEARCH("m2",A1874)))</formula>
    </cfRule>
  </conditionalFormatting>
  <conditionalFormatting sqref="F1874:F1880 F1882:F1886 F1888:F1892">
    <cfRule type="containsText" dxfId="646" priority="699" operator="containsText" text="TOTAL">
      <formula>NOT(ISERROR(SEARCH("TOTAL",F1874)))</formula>
    </cfRule>
  </conditionalFormatting>
  <conditionalFormatting sqref="F1881">
    <cfRule type="containsText" dxfId="645" priority="697" operator="containsText" text="TOTAL">
      <formula>NOT(ISERROR(SEARCH("TOTAL",F1881)))</formula>
    </cfRule>
  </conditionalFormatting>
  <conditionalFormatting sqref="F1887">
    <cfRule type="containsText" dxfId="644" priority="695" operator="containsText" text="TOTAL">
      <formula>NOT(ISERROR(SEARCH("TOTAL",F1887)))</formula>
    </cfRule>
  </conditionalFormatting>
  <conditionalFormatting sqref="B1901:E1901">
    <cfRule type="containsText" dxfId="643" priority="690" operator="containsText" text="m2">
      <formula>NOT(ISERROR(SEARCH("m2",B1901)))</formula>
    </cfRule>
  </conditionalFormatting>
  <conditionalFormatting sqref="F1901">
    <cfRule type="containsText" dxfId="642" priority="689" operator="containsText" text="TOTAL">
      <formula>NOT(ISERROR(SEARCH("TOTAL",F1901)))</formula>
    </cfRule>
  </conditionalFormatting>
  <conditionalFormatting sqref="B1905:E1905">
    <cfRule type="containsText" dxfId="641" priority="688" operator="containsText" text="m2">
      <formula>NOT(ISERROR(SEARCH("m2",B1905)))</formula>
    </cfRule>
  </conditionalFormatting>
  <conditionalFormatting sqref="F1905">
    <cfRule type="containsText" dxfId="640" priority="687" operator="containsText" text="TOTAL">
      <formula>NOT(ISERROR(SEARCH("TOTAL",F1905)))</formula>
    </cfRule>
  </conditionalFormatting>
  <conditionalFormatting sqref="B1910:E1910 B1911 C1912:C1913">
    <cfRule type="containsText" dxfId="639" priority="686" operator="containsText" text="m2">
      <formula>NOT(ISERROR(SEARCH("m2",B1910)))</formula>
    </cfRule>
  </conditionalFormatting>
  <conditionalFormatting sqref="F1910">
    <cfRule type="containsText" dxfId="638" priority="685" operator="containsText" text="TOTAL">
      <formula>NOT(ISERROR(SEARCH("TOTAL",F1910)))</formula>
    </cfRule>
  </conditionalFormatting>
  <conditionalFormatting sqref="B2022:E2022">
    <cfRule type="containsText" dxfId="637" priority="678" operator="containsText" text="m2">
      <formula>NOT(ISERROR(SEARCH("m2",B2022)))</formula>
    </cfRule>
  </conditionalFormatting>
  <conditionalFormatting sqref="F2022">
    <cfRule type="containsText" dxfId="636" priority="677" operator="containsText" text="TOTAL">
      <formula>NOT(ISERROR(SEARCH("TOTAL",F2022)))</formula>
    </cfRule>
  </conditionalFormatting>
  <conditionalFormatting sqref="B2025:E2025">
    <cfRule type="containsText" dxfId="635" priority="676" operator="containsText" text="m2">
      <formula>NOT(ISERROR(SEARCH("m2",B2025)))</formula>
    </cfRule>
  </conditionalFormatting>
  <conditionalFormatting sqref="F2025">
    <cfRule type="containsText" dxfId="634" priority="675" operator="containsText" text="TOTAL">
      <formula>NOT(ISERROR(SEARCH("TOTAL",F2025)))</formula>
    </cfRule>
  </conditionalFormatting>
  <conditionalFormatting sqref="B2037:E2037">
    <cfRule type="containsText" dxfId="633" priority="668" operator="containsText" text="m2">
      <formula>NOT(ISERROR(SEARCH("m2",B2037)))</formula>
    </cfRule>
  </conditionalFormatting>
  <conditionalFormatting sqref="F2037">
    <cfRule type="containsText" dxfId="632" priority="667" operator="containsText" text="TOTAL">
      <formula>NOT(ISERROR(SEARCH("TOTAL",F2037)))</formula>
    </cfRule>
  </conditionalFormatting>
  <conditionalFormatting sqref="B2028:E2028">
    <cfRule type="containsText" dxfId="631" priority="674" operator="containsText" text="m2">
      <formula>NOT(ISERROR(SEARCH("m2",B2028)))</formula>
    </cfRule>
  </conditionalFormatting>
  <conditionalFormatting sqref="F2028">
    <cfRule type="containsText" dxfId="630" priority="673" operator="containsText" text="TOTAL">
      <formula>NOT(ISERROR(SEARCH("TOTAL",F2028)))</formula>
    </cfRule>
  </conditionalFormatting>
  <conditionalFormatting sqref="B2031:E2031">
    <cfRule type="containsText" dxfId="629" priority="672" operator="containsText" text="m2">
      <formula>NOT(ISERROR(SEARCH("m2",B2031)))</formula>
    </cfRule>
  </conditionalFormatting>
  <conditionalFormatting sqref="F2031">
    <cfRule type="containsText" dxfId="628" priority="671" operator="containsText" text="TOTAL">
      <formula>NOT(ISERROR(SEARCH("TOTAL",F2031)))</formula>
    </cfRule>
  </conditionalFormatting>
  <conditionalFormatting sqref="B2034:E2034">
    <cfRule type="containsText" dxfId="627" priority="670" operator="containsText" text="m2">
      <formula>NOT(ISERROR(SEARCH("m2",B2034)))</formula>
    </cfRule>
  </conditionalFormatting>
  <conditionalFormatting sqref="F2034">
    <cfRule type="containsText" dxfId="626" priority="669" operator="containsText" text="TOTAL">
      <formula>NOT(ISERROR(SEARCH("TOTAL",F2034)))</formula>
    </cfRule>
  </conditionalFormatting>
  <conditionalFormatting sqref="B2043:E2043">
    <cfRule type="containsText" dxfId="625" priority="664" operator="containsText" text="m2">
      <formula>NOT(ISERROR(SEARCH("m2",B2043)))</formula>
    </cfRule>
  </conditionalFormatting>
  <conditionalFormatting sqref="F2043">
    <cfRule type="containsText" dxfId="624" priority="663" operator="containsText" text="TOTAL">
      <formula>NOT(ISERROR(SEARCH("TOTAL",F2043)))</formula>
    </cfRule>
  </conditionalFormatting>
  <conditionalFormatting sqref="B2040:E2040">
    <cfRule type="containsText" dxfId="623" priority="666" operator="containsText" text="m2">
      <formula>NOT(ISERROR(SEARCH("m2",B2040)))</formula>
    </cfRule>
  </conditionalFormatting>
  <conditionalFormatting sqref="F2040">
    <cfRule type="containsText" dxfId="622" priority="665" operator="containsText" text="TOTAL">
      <formula>NOT(ISERROR(SEARCH("TOTAL",F2040)))</formula>
    </cfRule>
  </conditionalFormatting>
  <conditionalFormatting sqref="B1940:E1940">
    <cfRule type="containsText" dxfId="621" priority="662" operator="containsText" text="m2">
      <formula>NOT(ISERROR(SEARCH("m2",B1940)))</formula>
    </cfRule>
  </conditionalFormatting>
  <conditionalFormatting sqref="F1940">
    <cfRule type="containsText" dxfId="620" priority="661" operator="containsText" text="TOTAL">
      <formula>NOT(ISERROR(SEARCH("TOTAL",F1940)))</formula>
    </cfRule>
  </conditionalFormatting>
  <conditionalFormatting sqref="B1915">
    <cfRule type="containsText" dxfId="619" priority="660" operator="containsText" text="m2">
      <formula>NOT(ISERROR(SEARCH("m2",B1915)))</formula>
    </cfRule>
  </conditionalFormatting>
  <conditionalFormatting sqref="F1915">
    <cfRule type="containsText" dxfId="618" priority="659" operator="containsText" text="TOTAL">
      <formula>NOT(ISERROR(SEARCH("TOTAL",F1915)))</formula>
    </cfRule>
  </conditionalFormatting>
  <conditionalFormatting sqref="C1916:E1916">
    <cfRule type="containsText" dxfId="617" priority="652" operator="containsText" text="m2">
      <formula>NOT(ISERROR(SEARCH("m2",C1916)))</formula>
    </cfRule>
  </conditionalFormatting>
  <conditionalFormatting sqref="F1963">
    <cfRule type="containsText" dxfId="616" priority="588" operator="containsText" text="TOTAL">
      <formula>NOT(ISERROR(SEARCH("TOTAL",F1963)))</formula>
    </cfRule>
  </conditionalFormatting>
  <conditionalFormatting sqref="B1870">
    <cfRule type="containsText" dxfId="615" priority="655" operator="containsText" text="m2">
      <formula>NOT(ISERROR(SEARCH("m2",B1870)))</formula>
    </cfRule>
  </conditionalFormatting>
  <conditionalFormatting sqref="F1870">
    <cfRule type="containsText" dxfId="614" priority="654" operator="containsText" text="TOTAL">
      <formula>NOT(ISERROR(SEARCH("TOTAL",F1870)))</formula>
    </cfRule>
  </conditionalFormatting>
  <conditionalFormatting sqref="B1916">
    <cfRule type="containsText" dxfId="613" priority="653" operator="containsText" text="m2">
      <formula>NOT(ISERROR(SEARCH("m2",B1916)))</formula>
    </cfRule>
  </conditionalFormatting>
  <conditionalFormatting sqref="B1963:E1963">
    <cfRule type="containsText" dxfId="612" priority="589" operator="containsText" text="m2">
      <formula>NOT(ISERROR(SEARCH("m2",B1963)))</formula>
    </cfRule>
  </conditionalFormatting>
  <conditionalFormatting sqref="B1930">
    <cfRule type="containsText" dxfId="611" priority="651" operator="containsText" text="m2">
      <formula>NOT(ISERROR(SEARCH("m2",B1930)))</formula>
    </cfRule>
  </conditionalFormatting>
  <conditionalFormatting sqref="F1930">
    <cfRule type="containsText" dxfId="610" priority="650" operator="containsText" text="TOTAL">
      <formula>NOT(ISERROR(SEARCH("TOTAL",F1930)))</formula>
    </cfRule>
  </conditionalFormatting>
  <conditionalFormatting sqref="B1931">
    <cfRule type="containsText" dxfId="609" priority="649" operator="containsText" text="m2">
      <formula>NOT(ISERROR(SEARCH("m2",B1931)))</formula>
    </cfRule>
  </conditionalFormatting>
  <conditionalFormatting sqref="C1931:E1931">
    <cfRule type="containsText" dxfId="608" priority="648" operator="containsText" text="m2">
      <formula>NOT(ISERROR(SEARCH("m2",C1931)))</formula>
    </cfRule>
  </conditionalFormatting>
  <conditionalFormatting sqref="F1924:F1929">
    <cfRule type="containsText" dxfId="607" priority="647" operator="containsText" text="TOTAL">
      <formula>NOT(ISERROR(SEARCH("TOTAL",F1924)))</formula>
    </cfRule>
  </conditionalFormatting>
  <conditionalFormatting sqref="B1924:B1929">
    <cfRule type="containsText" dxfId="606" priority="646" operator="containsText" text="m2">
      <formula>NOT(ISERROR(SEARCH("m2",B1924)))</formula>
    </cfRule>
  </conditionalFormatting>
  <conditionalFormatting sqref="E1924:E1929">
    <cfRule type="containsText" dxfId="605" priority="645" operator="containsText" text="m2">
      <formula>NOT(ISERROR(SEARCH("m2",E1924)))</formula>
    </cfRule>
  </conditionalFormatting>
  <conditionalFormatting sqref="D1924:D1929">
    <cfRule type="containsText" dxfId="604" priority="644" operator="containsText" text="m2">
      <formula>NOT(ISERROR(SEARCH("m2",D1924)))</formula>
    </cfRule>
  </conditionalFormatting>
  <conditionalFormatting sqref="F1939">
    <cfRule type="containsText" dxfId="603" priority="643" operator="containsText" text="TOTAL">
      <formula>NOT(ISERROR(SEARCH("TOTAL",F1939)))</formula>
    </cfRule>
  </conditionalFormatting>
  <conditionalFormatting sqref="B1939">
    <cfRule type="containsText" dxfId="602" priority="642" operator="containsText" text="m2">
      <formula>NOT(ISERROR(SEARCH("m2",B1939)))</formula>
    </cfRule>
  </conditionalFormatting>
  <conditionalFormatting sqref="E1939">
    <cfRule type="containsText" dxfId="601" priority="641" operator="containsText" text="m2">
      <formula>NOT(ISERROR(SEARCH("m2",E1939)))</formula>
    </cfRule>
  </conditionalFormatting>
  <conditionalFormatting sqref="D1939">
    <cfRule type="containsText" dxfId="600" priority="640" operator="containsText" text="m2">
      <formula>NOT(ISERROR(SEARCH("m2",D1939)))</formula>
    </cfRule>
  </conditionalFormatting>
  <conditionalFormatting sqref="A1948:E1948">
    <cfRule type="containsText" dxfId="599" priority="639" operator="containsText" text="m2">
      <formula>NOT(ISERROR(SEARCH("m2",A1948)))</formula>
    </cfRule>
  </conditionalFormatting>
  <conditionalFormatting sqref="F1948">
    <cfRule type="containsText" dxfId="598" priority="638" operator="containsText" text="TOTAL">
      <formula>NOT(ISERROR(SEARCH("TOTAL",F1948)))</formula>
    </cfRule>
  </conditionalFormatting>
  <conditionalFormatting sqref="C1949">
    <cfRule type="containsText" dxfId="597" priority="637" operator="containsText" text="m2">
      <formula>NOT(ISERROR(SEARCH("m2",C1949)))</formula>
    </cfRule>
  </conditionalFormatting>
  <conditionalFormatting sqref="C1973">
    <cfRule type="containsText" dxfId="596" priority="633" operator="containsText" text="m2">
      <formula>NOT(ISERROR(SEARCH("m2",C1973)))</formula>
    </cfRule>
  </conditionalFormatting>
  <conditionalFormatting sqref="C1953 C1959">
    <cfRule type="containsText" dxfId="595" priority="636" operator="containsText" text="m2">
      <formula>NOT(ISERROR(SEARCH("m2",C1953)))</formula>
    </cfRule>
  </conditionalFormatting>
  <conditionalFormatting sqref="D1952">
    <cfRule type="containsText" dxfId="594" priority="622" operator="containsText" text="m2">
      <formula>NOT(ISERROR(SEARCH("m2",D1952)))</formula>
    </cfRule>
  </conditionalFormatting>
  <conditionalFormatting sqref="C1974">
    <cfRule type="containsText" dxfId="593" priority="632" operator="containsText" text="m2">
      <formula>NOT(ISERROR(SEARCH("m2",C1974)))</formula>
    </cfRule>
  </conditionalFormatting>
  <conditionalFormatting sqref="C1955">
    <cfRule type="containsText" dxfId="592" priority="635" operator="containsText" text="m2">
      <formula>NOT(ISERROR(SEARCH("m2",C1955)))</formula>
    </cfRule>
  </conditionalFormatting>
  <conditionalFormatting sqref="C1958">
    <cfRule type="containsText" dxfId="591" priority="634" operator="containsText" text="m2">
      <formula>NOT(ISERROR(SEARCH("m2",C1958)))</formula>
    </cfRule>
  </conditionalFormatting>
  <conditionalFormatting sqref="F1954">
    <cfRule type="containsText" dxfId="590" priority="615" operator="containsText" text="TOTAL">
      <formula>NOT(ISERROR(SEARCH("TOTAL",F1954)))</formula>
    </cfRule>
  </conditionalFormatting>
  <conditionalFormatting sqref="B1949">
    <cfRule type="containsText" dxfId="589" priority="631" operator="containsText" text="m2">
      <formula>NOT(ISERROR(SEARCH("m2",B1949)))</formula>
    </cfRule>
  </conditionalFormatting>
  <conditionalFormatting sqref="B1952">
    <cfRule type="containsText" dxfId="588" priority="623" operator="containsText" text="m2">
      <formula>NOT(ISERROR(SEARCH("m2",B1952)))</formula>
    </cfRule>
  </conditionalFormatting>
  <conditionalFormatting sqref="F1952">
    <cfRule type="containsText" dxfId="587" priority="621" operator="containsText" text="TOTAL">
      <formula>NOT(ISERROR(SEARCH("TOTAL",F1952)))</formula>
    </cfRule>
  </conditionalFormatting>
  <conditionalFormatting sqref="B1958">
    <cfRule type="containsText" dxfId="586" priority="614" operator="containsText" text="m2">
      <formula>NOT(ISERROR(SEARCH("m2",B1958)))</formula>
    </cfRule>
  </conditionalFormatting>
  <conditionalFormatting sqref="B1950:D1950">
    <cfRule type="containsText" dxfId="585" priority="626" operator="containsText" text="m2">
      <formula>NOT(ISERROR(SEARCH("m2",B1950)))</formula>
    </cfRule>
  </conditionalFormatting>
  <conditionalFormatting sqref="F1950">
    <cfRule type="containsText" dxfId="584" priority="627" operator="containsText" text="TOTAL">
      <formula>NOT(ISERROR(SEARCH("TOTAL",F1950)))</formula>
    </cfRule>
  </conditionalFormatting>
  <conditionalFormatting sqref="F1951">
    <cfRule type="containsText" dxfId="583" priority="624" operator="containsText" text="TOTAL">
      <formula>NOT(ISERROR(SEARCH("TOTAL",F1951)))</formula>
    </cfRule>
  </conditionalFormatting>
  <conditionalFormatting sqref="D1949">
    <cfRule type="containsText" dxfId="582" priority="630" operator="containsText" text="m2">
      <formula>NOT(ISERROR(SEARCH("m2",D1949)))</formula>
    </cfRule>
  </conditionalFormatting>
  <conditionalFormatting sqref="E1950">
    <cfRule type="containsText" dxfId="581" priority="628" operator="containsText" text="m2">
      <formula>NOT(ISERROR(SEARCH("m2",E1950)))</formula>
    </cfRule>
  </conditionalFormatting>
  <conditionalFormatting sqref="B1951:E1951">
    <cfRule type="containsText" dxfId="580" priority="625" operator="containsText" text="m2">
      <formula>NOT(ISERROR(SEARCH("m2",B1951)))</formula>
    </cfRule>
  </conditionalFormatting>
  <conditionalFormatting sqref="D1962">
    <cfRule type="containsText" dxfId="579" priority="592" operator="containsText" text="m2">
      <formula>NOT(ISERROR(SEARCH("m2",D1962)))</formula>
    </cfRule>
  </conditionalFormatting>
  <conditionalFormatting sqref="B1962">
    <cfRule type="containsText" dxfId="578" priority="587" operator="containsText" text="m2">
      <formula>NOT(ISERROR(SEARCH("m2",B1962)))</formula>
    </cfRule>
  </conditionalFormatting>
  <conditionalFormatting sqref="C1967">
    <cfRule type="containsText" dxfId="577" priority="574" operator="containsText" text="m2">
      <formula>NOT(ISERROR(SEARCH("m2",C1967)))</formula>
    </cfRule>
  </conditionalFormatting>
  <conditionalFormatting sqref="B1964">
    <cfRule type="containsText" dxfId="576" priority="584" operator="containsText" text="m2">
      <formula>NOT(ISERROR(SEARCH("m2",B1964)))</formula>
    </cfRule>
  </conditionalFormatting>
  <conditionalFormatting sqref="C1964">
    <cfRule type="containsText" dxfId="575" priority="585" operator="containsText" text="m2">
      <formula>NOT(ISERROR(SEARCH("m2",C1964)))</formula>
    </cfRule>
  </conditionalFormatting>
  <conditionalFormatting sqref="B1981:D1981">
    <cfRule type="containsText" dxfId="574" priority="529" operator="containsText" text="m2">
      <formula>NOT(ISERROR(SEARCH("m2",B1981)))</formula>
    </cfRule>
  </conditionalFormatting>
  <conditionalFormatting sqref="E1953">
    <cfRule type="containsText" dxfId="573" priority="620" operator="containsText" text="m2">
      <formula>NOT(ISERROR(SEARCH("m2",E1953)))</formula>
    </cfRule>
  </conditionalFormatting>
  <conditionalFormatting sqref="B1965">
    <cfRule type="containsText" dxfId="572" priority="576" operator="containsText" text="m2">
      <formula>NOT(ISERROR(SEARCH("m2",B1965)))</formula>
    </cfRule>
  </conditionalFormatting>
  <conditionalFormatting sqref="C1965">
    <cfRule type="containsText" dxfId="571" priority="586" operator="containsText" text="m2">
      <formula>NOT(ISERROR(SEARCH("m2",C1965)))</formula>
    </cfRule>
  </conditionalFormatting>
  <conditionalFormatting sqref="F1957">
    <cfRule type="containsText" dxfId="570" priority="608" operator="containsText" text="TOTAL">
      <formula>NOT(ISERROR(SEARCH("TOTAL",F1957)))</formula>
    </cfRule>
  </conditionalFormatting>
  <conditionalFormatting sqref="B1953">
    <cfRule type="containsText" dxfId="569" priority="617" operator="containsText" text="m2">
      <formula>NOT(ISERROR(SEARCH("m2",B1953)))</formula>
    </cfRule>
  </conditionalFormatting>
  <conditionalFormatting sqref="D1965">
    <cfRule type="containsText" dxfId="568" priority="581" operator="containsText" text="m2">
      <formula>NOT(ISERROR(SEARCH("m2",D1965)))</formula>
    </cfRule>
  </conditionalFormatting>
  <conditionalFormatting sqref="F1949">
    <cfRule type="containsText" dxfId="567" priority="629" operator="containsText" text="TOTAL">
      <formula>NOT(ISERROR(SEARCH("TOTAL",F1949)))</formula>
    </cfRule>
  </conditionalFormatting>
  <conditionalFormatting sqref="B1966:E1966">
    <cfRule type="containsText" dxfId="566" priority="578" operator="containsText" text="m2">
      <formula>NOT(ISERROR(SEARCH("m2",B1966)))</formula>
    </cfRule>
  </conditionalFormatting>
  <conditionalFormatting sqref="B1955">
    <cfRule type="containsText" dxfId="565" priority="613" operator="containsText" text="m2">
      <formula>NOT(ISERROR(SEARCH("m2",B1955)))</formula>
    </cfRule>
  </conditionalFormatting>
  <conditionalFormatting sqref="B1959">
    <cfRule type="containsText" dxfId="564" priority="598" operator="containsText" text="m2">
      <formula>NOT(ISERROR(SEARCH("m2",B1959)))</formula>
    </cfRule>
  </conditionalFormatting>
  <conditionalFormatting sqref="B1971">
    <cfRule type="containsText" dxfId="563" priority="554" operator="containsText" text="m2">
      <formula>NOT(ISERROR(SEARCH("m2",B1971)))</formula>
    </cfRule>
  </conditionalFormatting>
  <conditionalFormatting sqref="B1973">
    <cfRule type="containsText" dxfId="562" priority="553" operator="containsText" text="m2">
      <formula>NOT(ISERROR(SEARCH("m2",B1973)))</formula>
    </cfRule>
  </conditionalFormatting>
  <conditionalFormatting sqref="F1959">
    <cfRule type="containsText" dxfId="561" priority="604" operator="containsText" text="TOTAL">
      <formula>NOT(ISERROR(SEARCH("TOTAL",F1959)))</formula>
    </cfRule>
  </conditionalFormatting>
  <conditionalFormatting sqref="D1961">
    <cfRule type="containsText" dxfId="560" priority="591" operator="containsText" text="m2">
      <formula>NOT(ISERROR(SEARCH("m2",D1961)))</formula>
    </cfRule>
  </conditionalFormatting>
  <conditionalFormatting sqref="C1968">
    <cfRule type="containsText" dxfId="559" priority="575" operator="containsText" text="m2">
      <formula>NOT(ISERROR(SEARCH("m2",C1968)))</formula>
    </cfRule>
  </conditionalFormatting>
  <conditionalFormatting sqref="D1964">
    <cfRule type="containsText" dxfId="558" priority="580" operator="containsText" text="m2">
      <formula>NOT(ISERROR(SEARCH("m2",D1964)))</formula>
    </cfRule>
  </conditionalFormatting>
  <conditionalFormatting sqref="F1955">
    <cfRule type="containsText" dxfId="557" priority="606" operator="containsText" text="TOTAL">
      <formula>NOT(ISERROR(SEARCH("TOTAL",F1955)))</formula>
    </cfRule>
  </conditionalFormatting>
  <conditionalFormatting sqref="D1967">
    <cfRule type="containsText" dxfId="556" priority="569" operator="containsText" text="m2">
      <formula>NOT(ISERROR(SEARCH("m2",D1967)))</formula>
    </cfRule>
  </conditionalFormatting>
  <conditionalFormatting sqref="D1955">
    <cfRule type="containsText" dxfId="555" priority="607" operator="containsText" text="m2">
      <formula>NOT(ISERROR(SEARCH("m2",D1955)))</formula>
    </cfRule>
  </conditionalFormatting>
  <conditionalFormatting sqref="B1967">
    <cfRule type="containsText" dxfId="554" priority="573" operator="containsText" text="m2">
      <formula>NOT(ISERROR(SEARCH("m2",B1967)))</formula>
    </cfRule>
  </conditionalFormatting>
  <conditionalFormatting sqref="E1965">
    <cfRule type="containsText" dxfId="553" priority="583" operator="containsText" text="m2">
      <formula>NOT(ISERROR(SEARCH("m2",E1965)))</formula>
    </cfRule>
  </conditionalFormatting>
  <conditionalFormatting sqref="F1975">
    <cfRule type="containsText" dxfId="552" priority="545" operator="containsText" text="TOTAL">
      <formula>NOT(ISERROR(SEARCH("TOTAL",F1975)))</formula>
    </cfRule>
  </conditionalFormatting>
  <conditionalFormatting sqref="B1975:E1975">
    <cfRule type="containsText" dxfId="551" priority="546" operator="containsText" text="m2">
      <formula>NOT(ISERROR(SEARCH("m2",B1975)))</formula>
    </cfRule>
  </conditionalFormatting>
  <conditionalFormatting sqref="E1968">
    <cfRule type="containsText" dxfId="550" priority="572" operator="containsText" text="m2">
      <formula>NOT(ISERROR(SEARCH("m2",E1968)))</formula>
    </cfRule>
  </conditionalFormatting>
  <conditionalFormatting sqref="D1959">
    <cfRule type="containsText" dxfId="549" priority="603" operator="containsText" text="m2">
      <formula>NOT(ISERROR(SEARCH("m2",D1959)))</formula>
    </cfRule>
  </conditionalFormatting>
  <conditionalFormatting sqref="F1970">
    <cfRule type="containsText" dxfId="548" priority="557" operator="containsText" text="TOTAL">
      <formula>NOT(ISERROR(SEARCH("TOTAL",F1970)))</formula>
    </cfRule>
  </conditionalFormatting>
  <conditionalFormatting sqref="F1960">
    <cfRule type="containsText" dxfId="547" priority="599" operator="containsText" text="TOTAL">
      <formula>NOT(ISERROR(SEARCH("TOTAL",F1960)))</formula>
    </cfRule>
  </conditionalFormatting>
  <conditionalFormatting sqref="B1960:E1960">
    <cfRule type="containsText" dxfId="546" priority="600" operator="containsText" text="m2">
      <formula>NOT(ISERROR(SEARCH("m2",B1960)))</formula>
    </cfRule>
  </conditionalFormatting>
  <conditionalFormatting sqref="F1953">
    <cfRule type="containsText" dxfId="545" priority="619" operator="containsText" text="TOTAL">
      <formula>NOT(ISERROR(SEARCH("TOTAL",F1953)))</formula>
    </cfRule>
  </conditionalFormatting>
  <conditionalFormatting sqref="F1956">
    <cfRule type="containsText" dxfId="544" priority="611" operator="containsText" text="TOTAL">
      <formula>NOT(ISERROR(SEARCH("TOTAL",F1956)))</formula>
    </cfRule>
  </conditionalFormatting>
  <conditionalFormatting sqref="E1956">
    <cfRule type="containsText" dxfId="543" priority="612" operator="containsText" text="m2">
      <formula>NOT(ISERROR(SEARCH("m2",E1956)))</formula>
    </cfRule>
  </conditionalFormatting>
  <conditionalFormatting sqref="D1953">
    <cfRule type="containsText" dxfId="542" priority="618" operator="containsText" text="m2">
      <formula>NOT(ISERROR(SEARCH("m2",D1953)))</formula>
    </cfRule>
  </conditionalFormatting>
  <conditionalFormatting sqref="B1954:E1954">
    <cfRule type="containsText" dxfId="541" priority="616" operator="containsText" text="m2">
      <formula>NOT(ISERROR(SEARCH("m2",B1954)))</formula>
    </cfRule>
  </conditionalFormatting>
  <conditionalFormatting sqref="D1968">
    <cfRule type="containsText" dxfId="540" priority="570" operator="containsText" text="m2">
      <formula>NOT(ISERROR(SEARCH("m2",D1968)))</formula>
    </cfRule>
  </conditionalFormatting>
  <conditionalFormatting sqref="B1969:E1969">
    <cfRule type="containsText" dxfId="539" priority="567" operator="containsText" text="m2">
      <formula>NOT(ISERROR(SEARCH("m2",B1969)))</formula>
    </cfRule>
  </conditionalFormatting>
  <conditionalFormatting sqref="E1959">
    <cfRule type="containsText" dxfId="538" priority="605" operator="containsText" text="m2">
      <formula>NOT(ISERROR(SEARCH("m2",E1959)))</formula>
    </cfRule>
  </conditionalFormatting>
  <conditionalFormatting sqref="B1957:E1957">
    <cfRule type="containsText" dxfId="537" priority="609" operator="containsText" text="m2">
      <formula>NOT(ISERROR(SEARCH("m2",B1957)))</formula>
    </cfRule>
  </conditionalFormatting>
  <conditionalFormatting sqref="B1956:D1956">
    <cfRule type="containsText" dxfId="536" priority="610" operator="containsText" text="m2">
      <formula>NOT(ISERROR(SEARCH("m2",B1956)))</formula>
    </cfRule>
  </conditionalFormatting>
  <conditionalFormatting sqref="F1958">
    <cfRule type="containsText" dxfId="535" priority="601" operator="containsText" text="TOTAL">
      <formula>NOT(ISERROR(SEARCH("TOTAL",F1958)))</formula>
    </cfRule>
  </conditionalFormatting>
  <conditionalFormatting sqref="D1958">
    <cfRule type="containsText" dxfId="534" priority="602" operator="containsText" text="m2">
      <formula>NOT(ISERROR(SEARCH("m2",D1958)))</formula>
    </cfRule>
  </conditionalFormatting>
  <conditionalFormatting sqref="F1971">
    <cfRule type="containsText" dxfId="533" priority="560" operator="containsText" text="TOTAL">
      <formula>NOT(ISERROR(SEARCH("TOTAL",F1971)))</formula>
    </cfRule>
  </conditionalFormatting>
  <conditionalFormatting sqref="E1971">
    <cfRule type="containsText" dxfId="532" priority="561" operator="containsText" text="m2">
      <formula>NOT(ISERROR(SEARCH("m2",E1971)))</formula>
    </cfRule>
  </conditionalFormatting>
  <conditionalFormatting sqref="D1971">
    <cfRule type="containsText" dxfId="531" priority="559" operator="containsText" text="m2">
      <formula>NOT(ISERROR(SEARCH("m2",D1971)))</formula>
    </cfRule>
  </conditionalFormatting>
  <conditionalFormatting sqref="F1972">
    <cfRule type="containsText" dxfId="530" priority="555" operator="containsText" text="TOTAL">
      <formula>NOT(ISERROR(SEARCH("TOTAL",F1972)))</formula>
    </cfRule>
  </conditionalFormatting>
  <conditionalFormatting sqref="B1972:E1972">
    <cfRule type="containsText" dxfId="529" priority="556" operator="containsText" text="m2">
      <formula>NOT(ISERROR(SEARCH("m2",B1972)))</formula>
    </cfRule>
  </conditionalFormatting>
  <conditionalFormatting sqref="C1962">
    <cfRule type="containsText" dxfId="528" priority="597" operator="containsText" text="m2">
      <formula>NOT(ISERROR(SEARCH("m2",C1962)))</formula>
    </cfRule>
  </conditionalFormatting>
  <conditionalFormatting sqref="C1961">
    <cfRule type="containsText" dxfId="527" priority="596" operator="containsText" text="m2">
      <formula>NOT(ISERROR(SEARCH("m2",C1961)))</formula>
    </cfRule>
  </conditionalFormatting>
  <conditionalFormatting sqref="F1962">
    <cfRule type="containsText" dxfId="526" priority="593" operator="containsText" text="TOTAL">
      <formula>NOT(ISERROR(SEARCH("TOTAL",F1962)))</formula>
    </cfRule>
  </conditionalFormatting>
  <conditionalFormatting sqref="F1981">
    <cfRule type="containsText" dxfId="525" priority="528" operator="containsText" text="TOTAL">
      <formula>NOT(ISERROR(SEARCH("TOTAL",F1981)))</formula>
    </cfRule>
  </conditionalFormatting>
  <conditionalFormatting sqref="B1961">
    <cfRule type="containsText" dxfId="524" priority="595" operator="containsText" text="m2">
      <formula>NOT(ISERROR(SEARCH("m2",B1961)))</formula>
    </cfRule>
  </conditionalFormatting>
  <conditionalFormatting sqref="E1962">
    <cfRule type="containsText" dxfId="523" priority="594" operator="containsText" text="m2">
      <formula>NOT(ISERROR(SEARCH("m2",E1962)))</formula>
    </cfRule>
  </conditionalFormatting>
  <conditionalFormatting sqref="F1961">
    <cfRule type="containsText" dxfId="522" priority="590" operator="containsText" text="TOTAL">
      <formula>NOT(ISERROR(SEARCH("TOTAL",F1961)))</formula>
    </cfRule>
  </conditionalFormatting>
  <conditionalFormatting sqref="F1965">
    <cfRule type="containsText" dxfId="521" priority="582" operator="containsText" text="TOTAL">
      <formula>NOT(ISERROR(SEARCH("TOTAL",F1965)))</formula>
    </cfRule>
  </conditionalFormatting>
  <conditionalFormatting sqref="F1966">
    <cfRule type="containsText" dxfId="520" priority="577" operator="containsText" text="TOTAL">
      <formula>NOT(ISERROR(SEARCH("TOTAL",F1966)))</formula>
    </cfRule>
  </conditionalFormatting>
  <conditionalFormatting sqref="B1968">
    <cfRule type="containsText" dxfId="519" priority="565" operator="containsText" text="m2">
      <formula>NOT(ISERROR(SEARCH("m2",B1968)))</formula>
    </cfRule>
  </conditionalFormatting>
  <conditionalFormatting sqref="F1964">
    <cfRule type="containsText" dxfId="518" priority="579" operator="containsText" text="TOTAL">
      <formula>NOT(ISERROR(SEARCH("TOTAL",F1964)))</formula>
    </cfRule>
  </conditionalFormatting>
  <conditionalFormatting sqref="C1970">
    <cfRule type="containsText" dxfId="517" priority="563" operator="containsText" text="m2">
      <formula>NOT(ISERROR(SEARCH("m2",C1970)))</formula>
    </cfRule>
  </conditionalFormatting>
  <conditionalFormatting sqref="F1968">
    <cfRule type="containsText" dxfId="516" priority="571" operator="containsText" text="TOTAL">
      <formula>NOT(ISERROR(SEARCH("TOTAL",F1968)))</formula>
    </cfRule>
  </conditionalFormatting>
  <conditionalFormatting sqref="F1969">
    <cfRule type="containsText" dxfId="515" priority="566" operator="containsText" text="TOTAL">
      <formula>NOT(ISERROR(SEARCH("TOTAL",F1969)))</formula>
    </cfRule>
  </conditionalFormatting>
  <conditionalFormatting sqref="C1971">
    <cfRule type="containsText" dxfId="514" priority="564" operator="containsText" text="m2">
      <formula>NOT(ISERROR(SEARCH("m2",C1971)))</formula>
    </cfRule>
  </conditionalFormatting>
  <conditionalFormatting sqref="F1967">
    <cfRule type="containsText" dxfId="513" priority="568" operator="containsText" text="TOTAL">
      <formula>NOT(ISERROR(SEARCH("TOTAL",F1967)))</formula>
    </cfRule>
  </conditionalFormatting>
  <conditionalFormatting sqref="B1970">
    <cfRule type="containsText" dxfId="512" priority="562" operator="containsText" text="m2">
      <formula>NOT(ISERROR(SEARCH("m2",B1970)))</formula>
    </cfRule>
  </conditionalFormatting>
  <conditionalFormatting sqref="D1970">
    <cfRule type="containsText" dxfId="511" priority="558" operator="containsText" text="m2">
      <formula>NOT(ISERROR(SEARCH("m2",D1970)))</formula>
    </cfRule>
  </conditionalFormatting>
  <conditionalFormatting sqref="F1974">
    <cfRule type="containsText" dxfId="510" priority="551" operator="containsText" text="TOTAL">
      <formula>NOT(ISERROR(SEARCH("TOTAL",F1974)))</formula>
    </cfRule>
  </conditionalFormatting>
  <conditionalFormatting sqref="B1974">
    <cfRule type="containsText" dxfId="509" priority="547" operator="containsText" text="m2">
      <formula>NOT(ISERROR(SEARCH("m2",B1974)))</formula>
    </cfRule>
  </conditionalFormatting>
  <conditionalFormatting sqref="E1974">
    <cfRule type="containsText" dxfId="508" priority="552" operator="containsText" text="m2">
      <formula>NOT(ISERROR(SEARCH("m2",E1974)))</formula>
    </cfRule>
  </conditionalFormatting>
  <conditionalFormatting sqref="D1974">
    <cfRule type="containsText" dxfId="507" priority="550" operator="containsText" text="m2">
      <formula>NOT(ISERROR(SEARCH("m2",D1974)))</formula>
    </cfRule>
  </conditionalFormatting>
  <conditionalFormatting sqref="F1973">
    <cfRule type="containsText" dxfId="506" priority="548" operator="containsText" text="TOTAL">
      <formula>NOT(ISERROR(SEARCH("TOTAL",F1973)))</formula>
    </cfRule>
  </conditionalFormatting>
  <conditionalFormatting sqref="D1973">
    <cfRule type="containsText" dxfId="505" priority="549" operator="containsText" text="m2">
      <formula>NOT(ISERROR(SEARCH("m2",D1973)))</formula>
    </cfRule>
  </conditionalFormatting>
  <conditionalFormatting sqref="B1976">
    <cfRule type="containsText" dxfId="504" priority="544" operator="containsText" text="m2">
      <formula>NOT(ISERROR(SEARCH("m2",B1976)))</formula>
    </cfRule>
  </conditionalFormatting>
  <conditionalFormatting sqref="F1976">
    <cfRule type="containsText" dxfId="503" priority="543" operator="containsText" text="TOTAL">
      <formula>NOT(ISERROR(SEARCH("TOTAL",F1976)))</formula>
    </cfRule>
  </conditionalFormatting>
  <conditionalFormatting sqref="A1977:E1977">
    <cfRule type="containsText" dxfId="502" priority="542" operator="containsText" text="m2">
      <formula>NOT(ISERROR(SEARCH("m2",A1977)))</formula>
    </cfRule>
  </conditionalFormatting>
  <conditionalFormatting sqref="F1977">
    <cfRule type="containsText" dxfId="501" priority="541" operator="containsText" text="TOTAL">
      <formula>NOT(ISERROR(SEARCH("TOTAL",F1977)))</formula>
    </cfRule>
  </conditionalFormatting>
  <conditionalFormatting sqref="F1988:F1989">
    <cfRule type="containsText" dxfId="500" priority="521" operator="containsText" text="TOTAL">
      <formula>NOT(ISERROR(SEARCH("TOTAL",F1988)))</formula>
    </cfRule>
  </conditionalFormatting>
  <conditionalFormatting sqref="B1995:D1995 C1994:D1994">
    <cfRule type="containsText" dxfId="499" priority="517" operator="containsText" text="m2">
      <formula>NOT(ISERROR(SEARCH("m2",B1994)))</formula>
    </cfRule>
  </conditionalFormatting>
  <conditionalFormatting sqref="B1987:D1987 B1991:D1992 E2010 C1986:D1986 B1978:D1979 B1980:C1980 C2003 C2006 C2009">
    <cfRule type="containsText" dxfId="498" priority="540" operator="containsText" text="m2">
      <formula>NOT(ISERROR(SEARCH("m2",B1978)))</formula>
    </cfRule>
  </conditionalFormatting>
  <conditionalFormatting sqref="F1978:F1979 F1986:F1987 F1991:F1992">
    <cfRule type="containsText" dxfId="497" priority="539" operator="containsText" text="TOTAL">
      <formula>NOT(ISERROR(SEARCH("TOTAL",F1978)))</formula>
    </cfRule>
  </conditionalFormatting>
  <conditionalFormatting sqref="F1997:F1998">
    <cfRule type="containsText" dxfId="496" priority="511" operator="containsText" text="TOTAL">
      <formula>NOT(ISERROR(SEARCH("TOTAL",F1997)))</formula>
    </cfRule>
  </conditionalFormatting>
  <conditionalFormatting sqref="B1993:E1993">
    <cfRule type="containsText" dxfId="495" priority="538" operator="containsText" text="m2">
      <formula>NOT(ISERROR(SEARCH("m2",B1993)))</formula>
    </cfRule>
  </conditionalFormatting>
  <conditionalFormatting sqref="F1990">
    <cfRule type="containsText" dxfId="494" priority="533" operator="containsText" text="TOTAL">
      <formula>NOT(ISERROR(SEARCH("TOTAL",F1990)))</formula>
    </cfRule>
  </conditionalFormatting>
  <conditionalFormatting sqref="F1983">
    <cfRule type="containsText" dxfId="493" priority="525" operator="containsText" text="TOTAL">
      <formula>NOT(ISERROR(SEARCH("TOTAL",F1983)))</formula>
    </cfRule>
  </conditionalFormatting>
  <conditionalFormatting sqref="B1989:D1989 C1988:D1988">
    <cfRule type="containsText" dxfId="492" priority="522" operator="containsText" text="m2">
      <formula>NOT(ISERROR(SEARCH("m2",B1988)))</formula>
    </cfRule>
  </conditionalFormatting>
  <conditionalFormatting sqref="F2004">
    <cfRule type="containsText" dxfId="491" priority="500" operator="containsText" text="TOTAL">
      <formula>NOT(ISERROR(SEARCH("TOTAL",F2004)))</formula>
    </cfRule>
  </conditionalFormatting>
  <conditionalFormatting sqref="B1982:E1982 C1983">
    <cfRule type="containsText" dxfId="490" priority="536" operator="containsText" text="m2">
      <formula>NOT(ISERROR(SEARCH("m2",B1982)))</formula>
    </cfRule>
  </conditionalFormatting>
  <conditionalFormatting sqref="F1993">
    <cfRule type="containsText" dxfId="489" priority="535" operator="containsText" text="TOTAL">
      <formula>NOT(ISERROR(SEARCH("TOTAL",F1993)))</formula>
    </cfRule>
  </conditionalFormatting>
  <conditionalFormatting sqref="B1990:E1990">
    <cfRule type="containsText" dxfId="488" priority="537" operator="containsText" text="m2">
      <formula>NOT(ISERROR(SEARCH("m2",B1990)))</formula>
    </cfRule>
  </conditionalFormatting>
  <conditionalFormatting sqref="B1984:D1984">
    <cfRule type="containsText" dxfId="487" priority="524" operator="containsText" text="m2">
      <formula>NOT(ISERROR(SEARCH("m2",B1984)))</formula>
    </cfRule>
  </conditionalFormatting>
  <conditionalFormatting sqref="F1982">
    <cfRule type="containsText" dxfId="486" priority="534" operator="containsText" text="TOTAL">
      <formula>NOT(ISERROR(SEARCH("TOTAL",F1982)))</formula>
    </cfRule>
  </conditionalFormatting>
  <conditionalFormatting sqref="B1983">
    <cfRule type="containsText" dxfId="485" priority="527" operator="containsText" text="m2">
      <formula>NOT(ISERROR(SEARCH("m2",B1983)))</formula>
    </cfRule>
  </conditionalFormatting>
  <conditionalFormatting sqref="B1998:D1998 C1997:D1997">
    <cfRule type="containsText" dxfId="484" priority="512" operator="containsText" text="m2">
      <formula>NOT(ISERROR(SEARCH("m2",B1997)))</formula>
    </cfRule>
  </conditionalFormatting>
  <conditionalFormatting sqref="F2002">
    <cfRule type="containsText" dxfId="483" priority="504" operator="containsText" text="TOTAL">
      <formula>NOT(ISERROR(SEARCH("TOTAL",F2002)))</formula>
    </cfRule>
  </conditionalFormatting>
  <conditionalFormatting sqref="D2003">
    <cfRule type="containsText" dxfId="482" priority="497" operator="containsText" text="m2">
      <formula>NOT(ISERROR(SEARCH("m2",D2003)))</formula>
    </cfRule>
  </conditionalFormatting>
  <conditionalFormatting sqref="B1997">
    <cfRule type="containsText" dxfId="481" priority="508" operator="containsText" text="m2">
      <formula>NOT(ISERROR(SEARCH("m2",B1997)))</formula>
    </cfRule>
  </conditionalFormatting>
  <conditionalFormatting sqref="F2008">
    <cfRule type="containsText" dxfId="480" priority="489" operator="containsText" text="TOTAL">
      <formula>NOT(ISERROR(SEARCH("TOTAL",F2008)))</formula>
    </cfRule>
  </conditionalFormatting>
  <conditionalFormatting sqref="F1996">
    <cfRule type="containsText" dxfId="479" priority="514" operator="containsText" text="TOTAL">
      <formula>NOT(ISERROR(SEARCH("TOTAL",F1996)))</formula>
    </cfRule>
  </conditionalFormatting>
  <conditionalFormatting sqref="B2001:D2001 C2000:D2000">
    <cfRule type="containsText" dxfId="478" priority="507" operator="containsText" text="m2">
      <formula>NOT(ISERROR(SEARCH("m2",B2000)))</formula>
    </cfRule>
  </conditionalFormatting>
  <conditionalFormatting sqref="F2000:F2001">
    <cfRule type="containsText" dxfId="477" priority="506" operator="containsText" text="TOTAL">
      <formula>NOT(ISERROR(SEARCH("TOTAL",F2000)))</formula>
    </cfRule>
  </conditionalFormatting>
  <conditionalFormatting sqref="D1980">
    <cfRule type="containsText" dxfId="476" priority="531" operator="containsText" text="m2">
      <formula>NOT(ISERROR(SEARCH("m2",D1980)))</formula>
    </cfRule>
  </conditionalFormatting>
  <conditionalFormatting sqref="B1988">
    <cfRule type="containsText" dxfId="475" priority="520" operator="containsText" text="m2">
      <formula>NOT(ISERROR(SEARCH("m2",B1988)))</formula>
    </cfRule>
  </conditionalFormatting>
  <conditionalFormatting sqref="B2002:E2002">
    <cfRule type="containsText" dxfId="474" priority="505" operator="containsText" text="m2">
      <formula>NOT(ISERROR(SEARCH("m2",B2002)))</formula>
    </cfRule>
  </conditionalFormatting>
  <conditionalFormatting sqref="B1986">
    <cfRule type="containsText" dxfId="473" priority="532" operator="containsText" text="m2">
      <formula>NOT(ISERROR(SEARCH("m2",B1986)))</formula>
    </cfRule>
  </conditionalFormatting>
  <conditionalFormatting sqref="F2003">
    <cfRule type="containsText" dxfId="472" priority="496" operator="containsText" text="TOTAL">
      <formula>NOT(ISERROR(SEARCH("TOTAL",F2003)))</formula>
    </cfRule>
  </conditionalFormatting>
  <conditionalFormatting sqref="F1994:F1995">
    <cfRule type="containsText" dxfId="471" priority="516" operator="containsText" text="TOTAL">
      <formula>NOT(ISERROR(SEARCH("TOTAL",F1994)))</formula>
    </cfRule>
  </conditionalFormatting>
  <conditionalFormatting sqref="F1985">
    <cfRule type="containsText" dxfId="470" priority="518" operator="containsText" text="TOTAL">
      <formula>NOT(ISERROR(SEARCH("TOTAL",F1985)))</formula>
    </cfRule>
  </conditionalFormatting>
  <conditionalFormatting sqref="F2013">
    <cfRule type="containsText" dxfId="469" priority="483" operator="containsText" text="TOTAL">
      <formula>NOT(ISERROR(SEARCH("TOTAL",F2013)))</formula>
    </cfRule>
  </conditionalFormatting>
  <conditionalFormatting sqref="B1996:E1996">
    <cfRule type="containsText" dxfId="468" priority="515" operator="containsText" text="m2">
      <formula>NOT(ISERROR(SEARCH("m2",B1996)))</formula>
    </cfRule>
  </conditionalFormatting>
  <conditionalFormatting sqref="F1999">
    <cfRule type="containsText" dxfId="467" priority="509" operator="containsText" text="TOTAL">
      <formula>NOT(ISERROR(SEARCH("TOTAL",F1999)))</formula>
    </cfRule>
  </conditionalFormatting>
  <conditionalFormatting sqref="D1983">
    <cfRule type="containsText" dxfId="466" priority="526" operator="containsText" text="m2">
      <formula>NOT(ISERROR(SEARCH("m2",D1983)))</formula>
    </cfRule>
  </conditionalFormatting>
  <conditionalFormatting sqref="B2003">
    <cfRule type="containsText" dxfId="465" priority="502" operator="containsText" text="m2">
      <formula>NOT(ISERROR(SEARCH("m2",B2003)))</formula>
    </cfRule>
  </conditionalFormatting>
  <conditionalFormatting sqref="F1980">
    <cfRule type="containsText" dxfId="464" priority="530" operator="containsText" text="TOTAL">
      <formula>NOT(ISERROR(SEARCH("TOTAL",F1980)))</formula>
    </cfRule>
  </conditionalFormatting>
  <conditionalFormatting sqref="B1994">
    <cfRule type="containsText" dxfId="463" priority="513" operator="containsText" text="m2">
      <formula>NOT(ISERROR(SEARCH("m2",B1994)))</formula>
    </cfRule>
  </conditionalFormatting>
  <conditionalFormatting sqref="F2006">
    <cfRule type="containsText" dxfId="462" priority="493" operator="containsText" text="TOTAL">
      <formula>NOT(ISERROR(SEARCH("TOTAL",F2006)))</formula>
    </cfRule>
  </conditionalFormatting>
  <conditionalFormatting sqref="F1984">
    <cfRule type="containsText" dxfId="461" priority="523" operator="containsText" text="TOTAL">
      <formula>NOT(ISERROR(SEARCH("TOTAL",F1984)))</formula>
    </cfRule>
  </conditionalFormatting>
  <conditionalFormatting sqref="F2009:F2010">
    <cfRule type="containsText" dxfId="460" priority="486" operator="containsText" text="TOTAL">
      <formula>NOT(ISERROR(SEARCH("TOTAL",F2009)))</formula>
    </cfRule>
  </conditionalFormatting>
  <conditionalFormatting sqref="B1985:E1985">
    <cfRule type="containsText" dxfId="459" priority="519" operator="containsText" text="m2">
      <formula>NOT(ISERROR(SEARCH("m2",B1985)))</formula>
    </cfRule>
  </conditionalFormatting>
  <conditionalFormatting sqref="B2016:E2016">
    <cfRule type="containsText" dxfId="458" priority="477" operator="containsText" text="m2">
      <formula>NOT(ISERROR(SEARCH("m2",B2016)))</formula>
    </cfRule>
  </conditionalFormatting>
  <conditionalFormatting sqref="F2016">
    <cfRule type="containsText" dxfId="457" priority="476" operator="containsText" text="TOTAL">
      <formula>NOT(ISERROR(SEARCH("TOTAL",F2016)))</formula>
    </cfRule>
  </conditionalFormatting>
  <conditionalFormatting sqref="B2004:D2004">
    <cfRule type="containsText" dxfId="456" priority="501" operator="containsText" text="m2">
      <formula>NOT(ISERROR(SEARCH("m2",B2004)))</formula>
    </cfRule>
  </conditionalFormatting>
  <conditionalFormatting sqref="D2006">
    <cfRule type="containsText" dxfId="455" priority="494" operator="containsText" text="m2">
      <formula>NOT(ISERROR(SEARCH("m2",D2006)))</formula>
    </cfRule>
  </conditionalFormatting>
  <conditionalFormatting sqref="B2000">
    <cfRule type="containsText" dxfId="454" priority="503" operator="containsText" text="m2">
      <formula>NOT(ISERROR(SEARCH("m2",B2000)))</formula>
    </cfRule>
  </conditionalFormatting>
  <conditionalFormatting sqref="B2010:D2010">
    <cfRule type="containsText" dxfId="453" priority="485" operator="containsText" text="m2">
      <formula>NOT(ISERROR(SEARCH("m2",B2010)))</formula>
    </cfRule>
  </conditionalFormatting>
  <conditionalFormatting sqref="B1999:E1999">
    <cfRule type="containsText" dxfId="452" priority="510" operator="containsText" text="m2">
      <formula>NOT(ISERROR(SEARCH("m2",B1999)))</formula>
    </cfRule>
  </conditionalFormatting>
  <conditionalFormatting sqref="B2014">
    <cfRule type="containsText" dxfId="451" priority="481" operator="containsText" text="m2">
      <formula>NOT(ISERROR(SEARCH("m2",B2014)))</formula>
    </cfRule>
  </conditionalFormatting>
  <conditionalFormatting sqref="B2005:E2005">
    <cfRule type="containsText" dxfId="450" priority="499" operator="containsText" text="m2">
      <formula>NOT(ISERROR(SEARCH("m2",B2005)))</formula>
    </cfRule>
  </conditionalFormatting>
  <conditionalFormatting sqref="D2009">
    <cfRule type="containsText" dxfId="449" priority="487" operator="containsText" text="m2">
      <formula>NOT(ISERROR(SEARCH("m2",D2009)))</formula>
    </cfRule>
  </conditionalFormatting>
  <conditionalFormatting sqref="B2009">
    <cfRule type="containsText" dxfId="448" priority="488" operator="containsText" text="m2">
      <formula>NOT(ISERROR(SEARCH("m2",B2009)))</formula>
    </cfRule>
  </conditionalFormatting>
  <conditionalFormatting sqref="B2015:D2015">
    <cfRule type="containsText" dxfId="447" priority="478" operator="containsText" text="m2">
      <formula>NOT(ISERROR(SEARCH("m2",B2015)))</formula>
    </cfRule>
  </conditionalFormatting>
  <conditionalFormatting sqref="E2015 C2014">
    <cfRule type="containsText" dxfId="446" priority="482" operator="containsText" text="m2">
      <formula>NOT(ISERROR(SEARCH("m2",C2014)))</formula>
    </cfRule>
  </conditionalFormatting>
  <conditionalFormatting sqref="D2014">
    <cfRule type="containsText" dxfId="445" priority="480" operator="containsText" text="m2">
      <formula>NOT(ISERROR(SEARCH("m2",D2014)))</formula>
    </cfRule>
  </conditionalFormatting>
  <conditionalFormatting sqref="B2006">
    <cfRule type="containsText" dxfId="444" priority="495" operator="containsText" text="m2">
      <formula>NOT(ISERROR(SEARCH("m2",B2006)))</formula>
    </cfRule>
  </conditionalFormatting>
  <conditionalFormatting sqref="F2005">
    <cfRule type="containsText" dxfId="443" priority="498" operator="containsText" text="TOTAL">
      <formula>NOT(ISERROR(SEARCH("TOTAL",F2005)))</formula>
    </cfRule>
  </conditionalFormatting>
  <conditionalFormatting sqref="B2008:E2008">
    <cfRule type="containsText" dxfId="442" priority="490" operator="containsText" text="m2">
      <formula>NOT(ISERROR(SEARCH("m2",B2008)))</formula>
    </cfRule>
  </conditionalFormatting>
  <conditionalFormatting sqref="F2014:F2015">
    <cfRule type="containsText" dxfId="441" priority="479" operator="containsText" text="TOTAL">
      <formula>NOT(ISERROR(SEARCH("TOTAL",F2014)))</formula>
    </cfRule>
  </conditionalFormatting>
  <conditionalFormatting sqref="F2007">
    <cfRule type="containsText" dxfId="440" priority="491" operator="containsText" text="TOTAL">
      <formula>NOT(ISERROR(SEARCH("TOTAL",F2007)))</formula>
    </cfRule>
  </conditionalFormatting>
  <conditionalFormatting sqref="B2007:D2007">
    <cfRule type="containsText" dxfId="439" priority="492" operator="containsText" text="m2">
      <formula>NOT(ISERROR(SEARCH("m2",B2007)))</formula>
    </cfRule>
  </conditionalFormatting>
  <conditionalFormatting sqref="B2013:E2013">
    <cfRule type="containsText" dxfId="438" priority="484" operator="containsText" text="m2">
      <formula>NOT(ISERROR(SEARCH("m2",B2013)))</formula>
    </cfRule>
  </conditionalFormatting>
  <conditionalFormatting sqref="E2012 C2011">
    <cfRule type="containsText" dxfId="437" priority="475" operator="containsText" text="m2">
      <formula>NOT(ISERROR(SEARCH("m2",C2011)))</formula>
    </cfRule>
  </conditionalFormatting>
  <conditionalFormatting sqref="F2011:F2012">
    <cfRule type="containsText" dxfId="436" priority="472" operator="containsText" text="TOTAL">
      <formula>NOT(ISERROR(SEARCH("TOTAL",F2011)))</formula>
    </cfRule>
  </conditionalFormatting>
  <conditionalFormatting sqref="B2012:D2012">
    <cfRule type="containsText" dxfId="435" priority="471" operator="containsText" text="m2">
      <formula>NOT(ISERROR(SEARCH("m2",B2012)))</formula>
    </cfRule>
  </conditionalFormatting>
  <conditionalFormatting sqref="D2011">
    <cfRule type="containsText" dxfId="434" priority="473" operator="containsText" text="m2">
      <formula>NOT(ISERROR(SEARCH("m2",D2011)))</formula>
    </cfRule>
  </conditionalFormatting>
  <conditionalFormatting sqref="B2011">
    <cfRule type="containsText" dxfId="433" priority="474" operator="containsText" text="m2">
      <formula>NOT(ISERROR(SEARCH("m2",B2011)))</formula>
    </cfRule>
  </conditionalFormatting>
  <conditionalFormatting sqref="B2017">
    <cfRule type="containsText" dxfId="432" priority="470" operator="containsText" text="m2">
      <formula>NOT(ISERROR(SEARCH("m2",B2017)))</formula>
    </cfRule>
  </conditionalFormatting>
  <conditionalFormatting sqref="F2017">
    <cfRule type="containsText" dxfId="431" priority="469" operator="containsText" text="TOTAL">
      <formula>NOT(ISERROR(SEARCH("TOTAL",F2017)))</formula>
    </cfRule>
  </conditionalFormatting>
  <conditionalFormatting sqref="A2018:E2018">
    <cfRule type="containsText" dxfId="430" priority="468" operator="containsText" text="m2">
      <formula>NOT(ISERROR(SEARCH("m2",A2018)))</formula>
    </cfRule>
  </conditionalFormatting>
  <conditionalFormatting sqref="F2018">
    <cfRule type="containsText" dxfId="429" priority="467" operator="containsText" text="TOTAL">
      <formula>NOT(ISERROR(SEARCH("TOTAL",F2018)))</formula>
    </cfRule>
  </conditionalFormatting>
  <conditionalFormatting sqref="B2094">
    <cfRule type="containsText" dxfId="428" priority="466" operator="containsText" text="m2">
      <formula>NOT(ISERROR(SEARCH("m2",B2094)))</formula>
    </cfRule>
  </conditionalFormatting>
  <conditionalFormatting sqref="F2094">
    <cfRule type="containsText" dxfId="427" priority="465" operator="containsText" text="TOTAL">
      <formula>NOT(ISERROR(SEARCH("TOTAL",F2094)))</formula>
    </cfRule>
  </conditionalFormatting>
  <conditionalFormatting sqref="B2095">
    <cfRule type="containsText" dxfId="426" priority="464" operator="containsText" text="m2">
      <formula>NOT(ISERROR(SEARCH("m2",B2095)))</formula>
    </cfRule>
  </conditionalFormatting>
  <conditionalFormatting sqref="F2095">
    <cfRule type="containsText" dxfId="425" priority="463" operator="containsText" text="TOTAL">
      <formula>NOT(ISERROR(SEARCH("TOTAL",F2095)))</formula>
    </cfRule>
  </conditionalFormatting>
  <conditionalFormatting sqref="B2096">
    <cfRule type="containsText" dxfId="424" priority="462" operator="containsText" text="m2">
      <formula>NOT(ISERROR(SEARCH("m2",B2096)))</formula>
    </cfRule>
  </conditionalFormatting>
  <conditionalFormatting sqref="F2120 F2123:F2126">
    <cfRule type="containsText" dxfId="423" priority="395" operator="containsText" text="TOTAL">
      <formula>NOT(ISERROR(SEARCH("TOTAL",F2120)))</formula>
    </cfRule>
  </conditionalFormatting>
  <conditionalFormatting sqref="A2097:B2097">
    <cfRule type="containsText" dxfId="422" priority="460" operator="containsText" text="m2">
      <formula>NOT(ISERROR(SEARCH("m2",A2097)))</formula>
    </cfRule>
  </conditionalFormatting>
  <conditionalFormatting sqref="F2099">
    <cfRule type="containsText" dxfId="421" priority="436" operator="containsText" text="TOTAL">
      <formula>NOT(ISERROR(SEARCH("TOTAL",F2099)))</formula>
    </cfRule>
  </conditionalFormatting>
  <conditionalFormatting sqref="B2109">
    <cfRule type="containsText" dxfId="420" priority="448" operator="containsText" text="m2">
      <formula>NOT(ISERROR(SEARCH("m2",B2109)))</formula>
    </cfRule>
  </conditionalFormatting>
  <conditionalFormatting sqref="B2103">
    <cfRule type="containsText" dxfId="419" priority="454" operator="containsText" text="m2">
      <formula>NOT(ISERROR(SEARCH("m2",B2103)))</formula>
    </cfRule>
  </conditionalFormatting>
  <conditionalFormatting sqref="B2098">
    <cfRule type="containsText" dxfId="418" priority="458" operator="containsText" text="m2">
      <formula>NOT(ISERROR(SEARCH("m2",B2098)))</formula>
    </cfRule>
  </conditionalFormatting>
  <conditionalFormatting sqref="B2099">
    <cfRule type="containsText" dxfId="417" priority="457" operator="containsText" text="m2">
      <formula>NOT(ISERROR(SEARCH("m2",B2099)))</formula>
    </cfRule>
  </conditionalFormatting>
  <conditionalFormatting sqref="B2100:B2101">
    <cfRule type="containsText" dxfId="416" priority="456" operator="containsText" text="m2">
      <formula>NOT(ISERROR(SEARCH("m2",B2100)))</formula>
    </cfRule>
  </conditionalFormatting>
  <conditionalFormatting sqref="B2102">
    <cfRule type="containsText" dxfId="415" priority="455" operator="containsText" text="m2">
      <formula>NOT(ISERROR(SEARCH("m2",B2102)))</formula>
    </cfRule>
  </conditionalFormatting>
  <conditionalFormatting sqref="B2112">
    <cfRule type="containsText" dxfId="414" priority="445" operator="containsText" text="m2">
      <formula>NOT(ISERROR(SEARCH("m2",B2112)))</formula>
    </cfRule>
  </conditionalFormatting>
  <conditionalFormatting sqref="B2104">
    <cfRule type="containsText" dxfId="413" priority="453" operator="containsText" text="m2">
      <formula>NOT(ISERROR(SEARCH("m2",B2104)))</formula>
    </cfRule>
  </conditionalFormatting>
  <conditionalFormatting sqref="B2105">
    <cfRule type="containsText" dxfId="412" priority="452" operator="containsText" text="m2">
      <formula>NOT(ISERROR(SEARCH("m2",B2105)))</formula>
    </cfRule>
  </conditionalFormatting>
  <conditionalFormatting sqref="B2106">
    <cfRule type="containsText" dxfId="411" priority="451" operator="containsText" text="m2">
      <formula>NOT(ISERROR(SEARCH("m2",B2106)))</formula>
    </cfRule>
  </conditionalFormatting>
  <conditionalFormatting sqref="B2107">
    <cfRule type="containsText" dxfId="410" priority="450" operator="containsText" text="m2">
      <formula>NOT(ISERROR(SEARCH("m2",B2107)))</formula>
    </cfRule>
  </conditionalFormatting>
  <conditionalFormatting sqref="B2108">
    <cfRule type="containsText" dxfId="409" priority="449" operator="containsText" text="m2">
      <formula>NOT(ISERROR(SEARCH("m2",B2108)))</formula>
    </cfRule>
  </conditionalFormatting>
  <conditionalFormatting sqref="B2110">
    <cfRule type="containsText" dxfId="408" priority="447" operator="containsText" text="m2">
      <formula>NOT(ISERROR(SEARCH("m2",B2110)))</formula>
    </cfRule>
  </conditionalFormatting>
  <conditionalFormatting sqref="B2111">
    <cfRule type="containsText" dxfId="407" priority="446" operator="containsText" text="m2">
      <formula>NOT(ISERROR(SEARCH("m2",B2111)))</formula>
    </cfRule>
  </conditionalFormatting>
  <conditionalFormatting sqref="B2113">
    <cfRule type="containsText" dxfId="406" priority="444" operator="containsText" text="m2">
      <formula>NOT(ISERROR(SEARCH("m2",B2113)))</formula>
    </cfRule>
  </conditionalFormatting>
  <conditionalFormatting sqref="B2114">
    <cfRule type="containsText" dxfId="405" priority="443" operator="containsText" text="m2">
      <formula>NOT(ISERROR(SEARCH("m2",B2114)))</formula>
    </cfRule>
  </conditionalFormatting>
  <conditionalFormatting sqref="B2115">
    <cfRule type="containsText" dxfId="404" priority="442" operator="containsText" text="m2">
      <formula>NOT(ISERROR(SEARCH("m2",B2115)))</formula>
    </cfRule>
  </conditionalFormatting>
  <conditionalFormatting sqref="B2116">
    <cfRule type="containsText" dxfId="403" priority="441" operator="containsText" text="m2">
      <formula>NOT(ISERROR(SEARCH("m2",B2116)))</formula>
    </cfRule>
  </conditionalFormatting>
  <conditionalFormatting sqref="B2117">
    <cfRule type="containsText" dxfId="402" priority="440" operator="containsText" text="m2">
      <formula>NOT(ISERROR(SEARCH("m2",B2117)))</formula>
    </cfRule>
  </conditionalFormatting>
  <conditionalFormatting sqref="E2098">
    <cfRule type="containsText" dxfId="401" priority="439" operator="containsText" text="m2">
      <formula>NOT(ISERROR(SEARCH("m2",E2098)))</formula>
    </cfRule>
  </conditionalFormatting>
  <conditionalFormatting sqref="F2098">
    <cfRule type="containsText" dxfId="400" priority="438" operator="containsText" text="TOTAL">
      <formula>NOT(ISERROR(SEARCH("TOTAL",F2098)))</formula>
    </cfRule>
  </conditionalFormatting>
  <conditionalFormatting sqref="E2099">
    <cfRule type="containsText" dxfId="399" priority="437" operator="containsText" text="m2">
      <formula>NOT(ISERROR(SEARCH("m2",E2099)))</formula>
    </cfRule>
  </conditionalFormatting>
  <conditionalFormatting sqref="F2100">
    <cfRule type="containsText" dxfId="398" priority="434" operator="containsText" text="TOTAL">
      <formula>NOT(ISERROR(SEARCH("TOTAL",F2100)))</formula>
    </cfRule>
  </conditionalFormatting>
  <conditionalFormatting sqref="E2100">
    <cfRule type="containsText" dxfId="397" priority="435" operator="containsText" text="m2">
      <formula>NOT(ISERROR(SEARCH("m2",E2100)))</formula>
    </cfRule>
  </conditionalFormatting>
  <conditionalFormatting sqref="E2101">
    <cfRule type="containsText" dxfId="396" priority="433" operator="containsText" text="m2">
      <formula>NOT(ISERROR(SEARCH("m2",E2101)))</formula>
    </cfRule>
  </conditionalFormatting>
  <conditionalFormatting sqref="F2101">
    <cfRule type="containsText" dxfId="395" priority="432" operator="containsText" text="TOTAL">
      <formula>NOT(ISERROR(SEARCH("TOTAL",F2101)))</formula>
    </cfRule>
  </conditionalFormatting>
  <conditionalFormatting sqref="E2102">
    <cfRule type="containsText" dxfId="394" priority="431" operator="containsText" text="m2">
      <formula>NOT(ISERROR(SEARCH("m2",E2102)))</formula>
    </cfRule>
  </conditionalFormatting>
  <conditionalFormatting sqref="F2102">
    <cfRule type="containsText" dxfId="393" priority="430" operator="containsText" text="TOTAL">
      <formula>NOT(ISERROR(SEARCH("TOTAL",F2102)))</formula>
    </cfRule>
  </conditionalFormatting>
  <conditionalFormatting sqref="E2103">
    <cfRule type="containsText" dxfId="392" priority="429" operator="containsText" text="m2">
      <formula>NOT(ISERROR(SEARCH("m2",E2103)))</formula>
    </cfRule>
  </conditionalFormatting>
  <conditionalFormatting sqref="F2103">
    <cfRule type="containsText" dxfId="391" priority="428" operator="containsText" text="TOTAL">
      <formula>NOT(ISERROR(SEARCH("TOTAL",F2103)))</formula>
    </cfRule>
  </conditionalFormatting>
  <conditionalFormatting sqref="E2104">
    <cfRule type="containsText" dxfId="390" priority="427" operator="containsText" text="m2">
      <formula>NOT(ISERROR(SEARCH("m2",E2104)))</formula>
    </cfRule>
  </conditionalFormatting>
  <conditionalFormatting sqref="F2104">
    <cfRule type="containsText" dxfId="389" priority="426" operator="containsText" text="TOTAL">
      <formula>NOT(ISERROR(SEARCH("TOTAL",F2104)))</formula>
    </cfRule>
  </conditionalFormatting>
  <conditionalFormatting sqref="E2105">
    <cfRule type="containsText" dxfId="388" priority="425" operator="containsText" text="m2">
      <formula>NOT(ISERROR(SEARCH("m2",E2105)))</formula>
    </cfRule>
  </conditionalFormatting>
  <conditionalFormatting sqref="F2105">
    <cfRule type="containsText" dxfId="387" priority="424" operator="containsText" text="TOTAL">
      <formula>NOT(ISERROR(SEARCH("TOTAL",F2105)))</formula>
    </cfRule>
  </conditionalFormatting>
  <conditionalFormatting sqref="E2106">
    <cfRule type="containsText" dxfId="386" priority="423" operator="containsText" text="m2">
      <formula>NOT(ISERROR(SEARCH("m2",E2106)))</formula>
    </cfRule>
  </conditionalFormatting>
  <conditionalFormatting sqref="F2106">
    <cfRule type="containsText" dxfId="385" priority="422" operator="containsText" text="TOTAL">
      <formula>NOT(ISERROR(SEARCH("TOTAL",F2106)))</formula>
    </cfRule>
  </conditionalFormatting>
  <conditionalFormatting sqref="E2107">
    <cfRule type="containsText" dxfId="384" priority="421" operator="containsText" text="m2">
      <formula>NOT(ISERROR(SEARCH("m2",E2107)))</formula>
    </cfRule>
  </conditionalFormatting>
  <conditionalFormatting sqref="F2107">
    <cfRule type="containsText" dxfId="383" priority="420" operator="containsText" text="TOTAL">
      <formula>NOT(ISERROR(SEARCH("TOTAL",F2107)))</formula>
    </cfRule>
  </conditionalFormatting>
  <conditionalFormatting sqref="E2108">
    <cfRule type="containsText" dxfId="382" priority="419" operator="containsText" text="m2">
      <formula>NOT(ISERROR(SEARCH("m2",E2108)))</formula>
    </cfRule>
  </conditionalFormatting>
  <conditionalFormatting sqref="F2108">
    <cfRule type="containsText" dxfId="381" priority="418" operator="containsText" text="TOTAL">
      <formula>NOT(ISERROR(SEARCH("TOTAL",F2108)))</formula>
    </cfRule>
  </conditionalFormatting>
  <conditionalFormatting sqref="E2109">
    <cfRule type="containsText" dxfId="380" priority="417" operator="containsText" text="m2">
      <formula>NOT(ISERROR(SEARCH("m2",E2109)))</formula>
    </cfRule>
  </conditionalFormatting>
  <conditionalFormatting sqref="F2109">
    <cfRule type="containsText" dxfId="379" priority="416" operator="containsText" text="TOTAL">
      <formula>NOT(ISERROR(SEARCH("TOTAL",F2109)))</formula>
    </cfRule>
  </conditionalFormatting>
  <conditionalFormatting sqref="E2110:E2111">
    <cfRule type="containsText" dxfId="378" priority="415" operator="containsText" text="m2">
      <formula>NOT(ISERROR(SEARCH("m2",E2110)))</formula>
    </cfRule>
  </conditionalFormatting>
  <conditionalFormatting sqref="F2110:F2111">
    <cfRule type="containsText" dxfId="377" priority="414" operator="containsText" text="TOTAL">
      <formula>NOT(ISERROR(SEARCH("TOTAL",F2110)))</formula>
    </cfRule>
  </conditionalFormatting>
  <conditionalFormatting sqref="E2112">
    <cfRule type="containsText" dxfId="376" priority="413" operator="containsText" text="m2">
      <formula>NOT(ISERROR(SEARCH("m2",E2112)))</formula>
    </cfRule>
  </conditionalFormatting>
  <conditionalFormatting sqref="F2112">
    <cfRule type="containsText" dxfId="375" priority="412" operator="containsText" text="TOTAL">
      <formula>NOT(ISERROR(SEARCH("TOTAL",F2112)))</formula>
    </cfRule>
  </conditionalFormatting>
  <conditionalFormatting sqref="E2113">
    <cfRule type="containsText" dxfId="374" priority="411" operator="containsText" text="m2">
      <formula>NOT(ISERROR(SEARCH("m2",E2113)))</formula>
    </cfRule>
  </conditionalFormatting>
  <conditionalFormatting sqref="F2113">
    <cfRule type="containsText" dxfId="373" priority="410" operator="containsText" text="TOTAL">
      <formula>NOT(ISERROR(SEARCH("TOTAL",F2113)))</formula>
    </cfRule>
  </conditionalFormatting>
  <conditionalFormatting sqref="E2114">
    <cfRule type="containsText" dxfId="372" priority="409" operator="containsText" text="m2">
      <formula>NOT(ISERROR(SEARCH("m2",E2114)))</formula>
    </cfRule>
  </conditionalFormatting>
  <conditionalFormatting sqref="F2114">
    <cfRule type="containsText" dxfId="371" priority="408" operator="containsText" text="TOTAL">
      <formula>NOT(ISERROR(SEARCH("TOTAL",F2114)))</formula>
    </cfRule>
  </conditionalFormatting>
  <conditionalFormatting sqref="F2116:F2117">
    <cfRule type="containsText" dxfId="370" priority="404" operator="containsText" text="TOTAL">
      <formula>NOT(ISERROR(SEARCH("TOTAL",F2116)))</formula>
    </cfRule>
  </conditionalFormatting>
  <conditionalFormatting sqref="E2115">
    <cfRule type="containsText" dxfId="369" priority="407" operator="containsText" text="m2">
      <formula>NOT(ISERROR(SEARCH("m2",E2115)))</formula>
    </cfRule>
  </conditionalFormatting>
  <conditionalFormatting sqref="F2115">
    <cfRule type="containsText" dxfId="368" priority="406" operator="containsText" text="TOTAL">
      <formula>NOT(ISERROR(SEARCH("TOTAL",F2115)))</formula>
    </cfRule>
  </conditionalFormatting>
  <conditionalFormatting sqref="E2116:E2117">
    <cfRule type="containsText" dxfId="367" priority="405" operator="containsText" text="m2">
      <formula>NOT(ISERROR(SEARCH("m2",E2116)))</formula>
    </cfRule>
  </conditionalFormatting>
  <conditionalFormatting sqref="F2118">
    <cfRule type="containsText" dxfId="366" priority="402" operator="containsText" text="TOTAL">
      <formula>NOT(ISERROR(SEARCH("TOTAL",F2118)))</formula>
    </cfRule>
  </conditionalFormatting>
  <conditionalFormatting sqref="B2118:E2118">
    <cfRule type="containsText" dxfId="365" priority="403" operator="containsText" text="m2">
      <formula>NOT(ISERROR(SEARCH("m2",B2118)))</formula>
    </cfRule>
  </conditionalFormatting>
  <conditionalFormatting sqref="E2096">
    <cfRule type="containsText" dxfId="364" priority="401" operator="containsText" text="m2">
      <formula>NOT(ISERROR(SEARCH("m2",E2096)))</formula>
    </cfRule>
  </conditionalFormatting>
  <conditionalFormatting sqref="B2132:B2134">
    <cfRule type="containsText" dxfId="363" priority="397" operator="containsText" text="m2">
      <formula>NOT(ISERROR(SEARCH("m2",B2132)))</formula>
    </cfRule>
  </conditionalFormatting>
  <conditionalFormatting sqref="A2119">
    <cfRule type="containsText" dxfId="362" priority="399" operator="containsText" text="m2">
      <formula>NOT(ISERROR(SEARCH("m2",A2119)))</formula>
    </cfRule>
  </conditionalFormatting>
  <conditionalFormatting sqref="C2129">
    <cfRule type="containsText" dxfId="361" priority="394" operator="containsText" text="m2">
      <formula>NOT(ISERROR(SEARCH("m2",C2129)))</formula>
    </cfRule>
  </conditionalFormatting>
  <conditionalFormatting sqref="C2124:C2125 C2127:C2128 E2120 E2123:E2126">
    <cfRule type="containsText" dxfId="360" priority="396" operator="containsText" text="m2">
      <formula>NOT(ISERROR(SEARCH("m2",C2120)))</formula>
    </cfRule>
  </conditionalFormatting>
  <conditionalFormatting sqref="F2121:F2122">
    <cfRule type="containsText" dxfId="359" priority="373" operator="containsText" text="TOTAL">
      <formula>NOT(ISERROR(SEARCH("TOTAL",F2121)))</formula>
    </cfRule>
  </conditionalFormatting>
  <conditionalFormatting sqref="C2130">
    <cfRule type="containsText" dxfId="358" priority="393" operator="containsText" text="m2">
      <formula>NOT(ISERROR(SEARCH("m2",C2130)))</formula>
    </cfRule>
  </conditionalFormatting>
  <conditionalFormatting sqref="B2120">
    <cfRule type="containsText" dxfId="357" priority="392" operator="containsText" text="m2">
      <formula>NOT(ISERROR(SEARCH("m2",B2120)))</formula>
    </cfRule>
  </conditionalFormatting>
  <conditionalFormatting sqref="B2123">
    <cfRule type="containsText" dxfId="356" priority="391" operator="containsText" text="m2">
      <formula>NOT(ISERROR(SEARCH("m2",B2123)))</formula>
    </cfRule>
  </conditionalFormatting>
  <conditionalFormatting sqref="B2124">
    <cfRule type="containsText" dxfId="355" priority="390" operator="containsText" text="m2">
      <formula>NOT(ISERROR(SEARCH("m2",B2124)))</formula>
    </cfRule>
  </conditionalFormatting>
  <conditionalFormatting sqref="B2125">
    <cfRule type="containsText" dxfId="354" priority="389" operator="containsText" text="m2">
      <formula>NOT(ISERROR(SEARCH("m2",B2125)))</formula>
    </cfRule>
  </conditionalFormatting>
  <conditionalFormatting sqref="B2126">
    <cfRule type="containsText" dxfId="353" priority="388" operator="containsText" text="m2">
      <formula>NOT(ISERROR(SEARCH("m2",B2126)))</formula>
    </cfRule>
  </conditionalFormatting>
  <conditionalFormatting sqref="B2127">
    <cfRule type="containsText" dxfId="352" priority="387" operator="containsText" text="m2">
      <formula>NOT(ISERROR(SEARCH("m2",B2127)))</formula>
    </cfRule>
  </conditionalFormatting>
  <conditionalFormatting sqref="B2128">
    <cfRule type="containsText" dxfId="351" priority="386" operator="containsText" text="m2">
      <formula>NOT(ISERROR(SEARCH("m2",B2128)))</formula>
    </cfRule>
  </conditionalFormatting>
  <conditionalFormatting sqref="B2129">
    <cfRule type="containsText" dxfId="350" priority="385" operator="containsText" text="m2">
      <formula>NOT(ISERROR(SEARCH("m2",B2129)))</formula>
    </cfRule>
  </conditionalFormatting>
  <conditionalFormatting sqref="B2130">
    <cfRule type="containsText" dxfId="349" priority="384" operator="containsText" text="m2">
      <formula>NOT(ISERROR(SEARCH("m2",B2130)))</formula>
    </cfRule>
  </conditionalFormatting>
  <conditionalFormatting sqref="B2131">
    <cfRule type="containsText" dxfId="348" priority="383" operator="containsText" text="m2">
      <formula>NOT(ISERROR(SEARCH("m2",B2131)))</formula>
    </cfRule>
  </conditionalFormatting>
  <conditionalFormatting sqref="B2135">
    <cfRule type="containsText" dxfId="347" priority="382" operator="containsText" text="m2">
      <formula>NOT(ISERROR(SEARCH("m2",B2135)))</formula>
    </cfRule>
  </conditionalFormatting>
  <conditionalFormatting sqref="B2136">
    <cfRule type="containsText" dxfId="346" priority="381" operator="containsText" text="m2">
      <formula>NOT(ISERROR(SEARCH("m2",B2136)))</formula>
    </cfRule>
  </conditionalFormatting>
  <conditionalFormatting sqref="B2139">
    <cfRule type="containsText" dxfId="345" priority="380" operator="containsText" text="m2">
      <formula>NOT(ISERROR(SEARCH("m2",B2139)))</formula>
    </cfRule>
  </conditionalFormatting>
  <conditionalFormatting sqref="B2140">
    <cfRule type="containsText" dxfId="344" priority="379" operator="containsText" text="m2">
      <formula>NOT(ISERROR(SEARCH("m2",B2140)))</formula>
    </cfRule>
  </conditionalFormatting>
  <conditionalFormatting sqref="B2141">
    <cfRule type="containsText" dxfId="343" priority="378" operator="containsText" text="m2">
      <formula>NOT(ISERROR(SEARCH("m2",B2141)))</formula>
    </cfRule>
  </conditionalFormatting>
  <conditionalFormatting sqref="B2142">
    <cfRule type="containsText" dxfId="342" priority="377" operator="containsText" text="m2">
      <formula>NOT(ISERROR(SEARCH("m2",B2142)))</formula>
    </cfRule>
  </conditionalFormatting>
  <conditionalFormatting sqref="B2143">
    <cfRule type="containsText" dxfId="341" priority="376" operator="containsText" text="m2">
      <formula>NOT(ISERROR(SEARCH("m2",B2143)))</formula>
    </cfRule>
  </conditionalFormatting>
  <conditionalFormatting sqref="B2144:B2146">
    <cfRule type="containsText" dxfId="340" priority="375" operator="containsText" text="m2">
      <formula>NOT(ISERROR(SEARCH("m2",B2144)))</formula>
    </cfRule>
  </conditionalFormatting>
  <conditionalFormatting sqref="E2121:E2122">
    <cfRule type="containsText" dxfId="339" priority="374" operator="containsText" text="m2">
      <formula>NOT(ISERROR(SEARCH("m2",E2121)))</formula>
    </cfRule>
  </conditionalFormatting>
  <conditionalFormatting sqref="B2121:B2122">
    <cfRule type="containsText" dxfId="338" priority="372" operator="containsText" text="m2">
      <formula>NOT(ISERROR(SEARCH("m2",B2121)))</formula>
    </cfRule>
  </conditionalFormatting>
  <conditionalFormatting sqref="E2127">
    <cfRule type="containsText" dxfId="337" priority="371" operator="containsText" text="m2">
      <formula>NOT(ISERROR(SEARCH("m2",E2127)))</formula>
    </cfRule>
  </conditionalFormatting>
  <conditionalFormatting sqref="F2127">
    <cfRule type="containsText" dxfId="336" priority="370" operator="containsText" text="TOTAL">
      <formula>NOT(ISERROR(SEARCH("TOTAL",F2127)))</formula>
    </cfRule>
  </conditionalFormatting>
  <conditionalFormatting sqref="E2128">
    <cfRule type="containsText" dxfId="335" priority="369" operator="containsText" text="m2">
      <formula>NOT(ISERROR(SEARCH("m2",E2128)))</formula>
    </cfRule>
  </conditionalFormatting>
  <conditionalFormatting sqref="F2128">
    <cfRule type="containsText" dxfId="334" priority="368" operator="containsText" text="TOTAL">
      <formula>NOT(ISERROR(SEARCH("TOTAL",F2128)))</formula>
    </cfRule>
  </conditionalFormatting>
  <conditionalFormatting sqref="E2129">
    <cfRule type="containsText" dxfId="333" priority="367" operator="containsText" text="m2">
      <formula>NOT(ISERROR(SEARCH("m2",E2129)))</formula>
    </cfRule>
  </conditionalFormatting>
  <conditionalFormatting sqref="F2129">
    <cfRule type="containsText" dxfId="332" priority="366" operator="containsText" text="TOTAL">
      <formula>NOT(ISERROR(SEARCH("TOTAL",F2129)))</formula>
    </cfRule>
  </conditionalFormatting>
  <conditionalFormatting sqref="E2130:E2131">
    <cfRule type="containsText" dxfId="331" priority="365" operator="containsText" text="m2">
      <formula>NOT(ISERROR(SEARCH("m2",E2130)))</formula>
    </cfRule>
  </conditionalFormatting>
  <conditionalFormatting sqref="F2130:F2131">
    <cfRule type="containsText" dxfId="330" priority="364" operator="containsText" text="TOTAL">
      <formula>NOT(ISERROR(SEARCH("TOTAL",F2130)))</formula>
    </cfRule>
  </conditionalFormatting>
  <conditionalFormatting sqref="E2141">
    <cfRule type="containsText" dxfId="329" priority="363" operator="containsText" text="m2">
      <formula>NOT(ISERROR(SEARCH("m2",E2141)))</formula>
    </cfRule>
  </conditionalFormatting>
  <conditionalFormatting sqref="F2141">
    <cfRule type="containsText" dxfId="328" priority="362" operator="containsText" text="TOTAL">
      <formula>NOT(ISERROR(SEARCH("TOTAL",F2141)))</formula>
    </cfRule>
  </conditionalFormatting>
  <conditionalFormatting sqref="E2132">
    <cfRule type="containsText" dxfId="327" priority="361" operator="containsText" text="m2">
      <formula>NOT(ISERROR(SEARCH("m2",E2132)))</formula>
    </cfRule>
  </conditionalFormatting>
  <conditionalFormatting sqref="F2132">
    <cfRule type="containsText" dxfId="326" priority="360" operator="containsText" text="TOTAL">
      <formula>NOT(ISERROR(SEARCH("TOTAL",F2132)))</formula>
    </cfRule>
  </conditionalFormatting>
  <conditionalFormatting sqref="E2133">
    <cfRule type="containsText" dxfId="325" priority="359" operator="containsText" text="m2">
      <formula>NOT(ISERROR(SEARCH("m2",E2133)))</formula>
    </cfRule>
  </conditionalFormatting>
  <conditionalFormatting sqref="F2133">
    <cfRule type="containsText" dxfId="324" priority="358" operator="containsText" text="TOTAL">
      <formula>NOT(ISERROR(SEARCH("TOTAL",F2133)))</formula>
    </cfRule>
  </conditionalFormatting>
  <conditionalFormatting sqref="E2134">
    <cfRule type="containsText" dxfId="323" priority="357" operator="containsText" text="m2">
      <formula>NOT(ISERROR(SEARCH("m2",E2134)))</formula>
    </cfRule>
  </conditionalFormatting>
  <conditionalFormatting sqref="F2134">
    <cfRule type="containsText" dxfId="322" priority="356" operator="containsText" text="TOTAL">
      <formula>NOT(ISERROR(SEARCH("TOTAL",F2134)))</formula>
    </cfRule>
  </conditionalFormatting>
  <conditionalFormatting sqref="E2135">
    <cfRule type="containsText" dxfId="321" priority="355" operator="containsText" text="m2">
      <formula>NOT(ISERROR(SEARCH("m2",E2135)))</formula>
    </cfRule>
  </conditionalFormatting>
  <conditionalFormatting sqref="F2135">
    <cfRule type="containsText" dxfId="320" priority="354" operator="containsText" text="TOTAL">
      <formula>NOT(ISERROR(SEARCH("TOTAL",F2135)))</formula>
    </cfRule>
  </conditionalFormatting>
  <conditionalFormatting sqref="E2136">
    <cfRule type="containsText" dxfId="319" priority="353" operator="containsText" text="m2">
      <formula>NOT(ISERROR(SEARCH("m2",E2136)))</formula>
    </cfRule>
  </conditionalFormatting>
  <conditionalFormatting sqref="F2136">
    <cfRule type="containsText" dxfId="318" priority="352" operator="containsText" text="TOTAL">
      <formula>NOT(ISERROR(SEARCH("TOTAL",F2136)))</formula>
    </cfRule>
  </conditionalFormatting>
  <conditionalFormatting sqref="B2137:B2138">
    <cfRule type="containsText" dxfId="317" priority="351" operator="containsText" text="m2">
      <formula>NOT(ISERROR(SEARCH("m2",B2137)))</formula>
    </cfRule>
  </conditionalFormatting>
  <conditionalFormatting sqref="E2137:E2138">
    <cfRule type="containsText" dxfId="316" priority="350" operator="containsText" text="m2">
      <formula>NOT(ISERROR(SEARCH("m2",E2137)))</formula>
    </cfRule>
  </conditionalFormatting>
  <conditionalFormatting sqref="F2137:F2138">
    <cfRule type="containsText" dxfId="315" priority="349" operator="containsText" text="TOTAL">
      <formula>NOT(ISERROR(SEARCH("TOTAL",F2137)))</formula>
    </cfRule>
  </conditionalFormatting>
  <conditionalFormatting sqref="E2139:E2140">
    <cfRule type="containsText" dxfId="314" priority="348" operator="containsText" text="m2">
      <formula>NOT(ISERROR(SEARCH("m2",E2139)))</formula>
    </cfRule>
  </conditionalFormatting>
  <conditionalFormatting sqref="F2139:F2140">
    <cfRule type="containsText" dxfId="313" priority="347" operator="containsText" text="TOTAL">
      <formula>NOT(ISERROR(SEARCH("TOTAL",F2139)))</formula>
    </cfRule>
  </conditionalFormatting>
  <conditionalFormatting sqref="E2142:E2143">
    <cfRule type="containsText" dxfId="312" priority="346" operator="containsText" text="m2">
      <formula>NOT(ISERROR(SEARCH("m2",E2142)))</formula>
    </cfRule>
  </conditionalFormatting>
  <conditionalFormatting sqref="F2142:F2143">
    <cfRule type="containsText" dxfId="311" priority="345" operator="containsText" text="TOTAL">
      <formula>NOT(ISERROR(SEARCH("TOTAL",F2142)))</formula>
    </cfRule>
  </conditionalFormatting>
  <conditionalFormatting sqref="E2144 E2146">
    <cfRule type="containsText" dxfId="310" priority="344" operator="containsText" text="m2">
      <formula>NOT(ISERROR(SEARCH("m2",E2144)))</formula>
    </cfRule>
  </conditionalFormatting>
  <conditionalFormatting sqref="F2144 F2146">
    <cfRule type="containsText" dxfId="309" priority="343" operator="containsText" text="TOTAL">
      <formula>NOT(ISERROR(SEARCH("TOTAL",F2144)))</formula>
    </cfRule>
  </conditionalFormatting>
  <conditionalFormatting sqref="F2147">
    <cfRule type="containsText" dxfId="308" priority="341" operator="containsText" text="TOTAL">
      <formula>NOT(ISERROR(SEARCH("TOTAL",F2147)))</formula>
    </cfRule>
  </conditionalFormatting>
  <conditionalFormatting sqref="B2147:E2147">
    <cfRule type="containsText" dxfId="307" priority="342" operator="containsText" text="m2">
      <formula>NOT(ISERROR(SEARCH("m2",B2147)))</formula>
    </cfRule>
  </conditionalFormatting>
  <conditionalFormatting sqref="F2096">
    <cfRule type="containsText" dxfId="306" priority="340" operator="containsText" text="TOTAL">
      <formula>NOT(ISERROR(SEARCH("TOTAL",F2096)))</formula>
    </cfRule>
  </conditionalFormatting>
  <conditionalFormatting sqref="A2148">
    <cfRule type="containsText" dxfId="305" priority="339" operator="containsText" text="m2">
      <formula>NOT(ISERROR(SEARCH("m2",A2148)))</formula>
    </cfRule>
  </conditionalFormatting>
  <conditionalFormatting sqref="F2244:F2245">
    <cfRule type="containsText" dxfId="304" priority="336" operator="containsText" text="TOTAL">
      <formula>NOT(ISERROR(SEARCH("TOTAL",F2244)))</formula>
    </cfRule>
  </conditionalFormatting>
  <conditionalFormatting sqref="B2244:B2245">
    <cfRule type="containsText" dxfId="303" priority="337" operator="containsText" text="m2">
      <formula>NOT(ISERROR(SEARCH("m2",B2244)))</formula>
    </cfRule>
  </conditionalFormatting>
  <conditionalFormatting sqref="F2293">
    <cfRule type="containsText" dxfId="302" priority="316" operator="containsText" text="TOTAL">
      <formula>NOT(ISERROR(SEARCH("TOTAL",F2293)))</formula>
    </cfRule>
  </conditionalFormatting>
  <conditionalFormatting sqref="B2148">
    <cfRule type="containsText" dxfId="301" priority="331" operator="containsText" text="m2">
      <formula>NOT(ISERROR(SEARCH("m2",B2148)))</formula>
    </cfRule>
  </conditionalFormatting>
  <conditionalFormatting sqref="A2285">
    <cfRule type="containsText" dxfId="300" priority="334" operator="containsText" text="m2">
      <formula>NOT(ISERROR(SEARCH("m2",A2285)))</formula>
    </cfRule>
  </conditionalFormatting>
  <conditionalFormatting sqref="D2285:E2285">
    <cfRule type="containsText" dxfId="299" priority="333" operator="containsText" text="m2">
      <formula>NOT(ISERROR(SEARCH("m2",D2285)))</formula>
    </cfRule>
  </conditionalFormatting>
  <conditionalFormatting sqref="B2119">
    <cfRule type="containsText" dxfId="298" priority="332" operator="containsText" text="m2">
      <formula>NOT(ISERROR(SEARCH("m2",B2119)))</formula>
    </cfRule>
  </conditionalFormatting>
  <conditionalFormatting sqref="C2289 E2289">
    <cfRule type="containsText" dxfId="297" priority="329" operator="containsText" text="m2">
      <formula>NOT(ISERROR(SEARCH("m2",C2289)))</formula>
    </cfRule>
  </conditionalFormatting>
  <conditionalFormatting sqref="B2286">
    <cfRule type="containsText" dxfId="296" priority="330" operator="containsText" text="m2">
      <formula>NOT(ISERROR(SEARCH("m2",B2286)))</formula>
    </cfRule>
  </conditionalFormatting>
  <conditionalFormatting sqref="B11">
    <cfRule type="containsText" dxfId="295" priority="311" operator="containsText" text="m2">
      <formula>NOT(ISERROR(SEARCH("m2",B11)))</formula>
    </cfRule>
  </conditionalFormatting>
  <conditionalFormatting sqref="B2288">
    <cfRule type="containsText" dxfId="294" priority="328" operator="containsText" text="m2">
      <formula>NOT(ISERROR(SEARCH("m2",B2288)))</formula>
    </cfRule>
  </conditionalFormatting>
  <conditionalFormatting sqref="D2289">
    <cfRule type="containsText" dxfId="293" priority="327" operator="containsText" text="TOTAL">
      <formula>NOT(ISERROR(SEARCH("TOTAL",D2289)))</formula>
    </cfRule>
  </conditionalFormatting>
  <conditionalFormatting sqref="F2289">
    <cfRule type="containsText" dxfId="292" priority="326" operator="containsText" text="TOTAL">
      <formula>NOT(ISERROR(SEARCH("TOTAL",F2289)))</formula>
    </cfRule>
  </conditionalFormatting>
  <conditionalFormatting sqref="F2287">
    <cfRule type="containsText" dxfId="291" priority="325" operator="containsText" text="TOTAL">
      <formula>NOT(ISERROR(SEARCH("TOTAL",F2287)))</formula>
    </cfRule>
  </conditionalFormatting>
  <conditionalFormatting sqref="C2291 E2291">
    <cfRule type="containsText" dxfId="290" priority="324" operator="containsText" text="m2">
      <formula>NOT(ISERROR(SEARCH("m2",C2291)))</formula>
    </cfRule>
  </conditionalFormatting>
  <conditionalFormatting sqref="B2290">
    <cfRule type="containsText" dxfId="289" priority="323" operator="containsText" text="m2">
      <formula>NOT(ISERROR(SEARCH("m2",B2290)))</formula>
    </cfRule>
  </conditionalFormatting>
  <conditionalFormatting sqref="D2291">
    <cfRule type="containsText" dxfId="288" priority="322" operator="containsText" text="TOTAL">
      <formula>NOT(ISERROR(SEARCH("TOTAL",D2291)))</formula>
    </cfRule>
  </conditionalFormatting>
  <conditionalFormatting sqref="F2291">
    <cfRule type="containsText" dxfId="287" priority="321" operator="containsText" text="TOTAL">
      <formula>NOT(ISERROR(SEARCH("TOTAL",F2291)))</formula>
    </cfRule>
  </conditionalFormatting>
  <conditionalFormatting sqref="D2287">
    <cfRule type="containsText" dxfId="286" priority="320" operator="containsText" text="TOTAL">
      <formula>NOT(ISERROR(SEARCH("TOTAL",D2287)))</formula>
    </cfRule>
  </conditionalFormatting>
  <conditionalFormatting sqref="C2292 E2292">
    <cfRule type="containsText" dxfId="285" priority="319" operator="containsText" text="m2">
      <formula>NOT(ISERROR(SEARCH("m2",C2292)))</formula>
    </cfRule>
  </conditionalFormatting>
  <conditionalFormatting sqref="D2292">
    <cfRule type="containsText" dxfId="284" priority="318" operator="containsText" text="TOTAL">
      <formula>NOT(ISERROR(SEARCH("TOTAL",D2292)))</formula>
    </cfRule>
  </conditionalFormatting>
  <conditionalFormatting sqref="F2292">
    <cfRule type="containsText" dxfId="283" priority="317" operator="containsText" text="TOTAL">
      <formula>NOT(ISERROR(SEARCH("TOTAL",F2292)))</formula>
    </cfRule>
  </conditionalFormatting>
  <conditionalFormatting sqref="B2293:E2293">
    <cfRule type="containsText" dxfId="282" priority="315" operator="containsText" text="m2">
      <formula>NOT(ISERROR(SEARCH("m2",B2293)))</formula>
    </cfRule>
  </conditionalFormatting>
  <conditionalFormatting sqref="B10">
    <cfRule type="containsText" dxfId="281" priority="312" operator="containsText" text="m2">
      <formula>NOT(ISERROR(SEARCH("m2",B10)))</formula>
    </cfRule>
  </conditionalFormatting>
  <conditionalFormatting sqref="B42">
    <cfRule type="containsText" dxfId="280" priority="308" operator="containsText" text="m2">
      <formula>NOT(ISERROR(SEARCH("m2",B42)))</formula>
    </cfRule>
  </conditionalFormatting>
  <conditionalFormatting sqref="A1246">
    <cfRule type="containsText" dxfId="279" priority="307" operator="containsText" text="m2">
      <formula>NOT(ISERROR(SEARCH("m2",A1246)))</formula>
    </cfRule>
  </conditionalFormatting>
  <conditionalFormatting sqref="B2284:E2284 C2295">
    <cfRule type="containsText" dxfId="278" priority="293" operator="containsText" text="m2">
      <formula>NOT(ISERROR(SEARCH("m2",B2284)))</formula>
    </cfRule>
  </conditionalFormatting>
  <conditionalFormatting sqref="F1914">
    <cfRule type="containsText" dxfId="277" priority="274" operator="containsText" text="TOTAL">
      <formula>NOT(ISERROR(SEARCH("TOTAL",F1914)))</formula>
    </cfRule>
  </conditionalFormatting>
  <conditionalFormatting sqref="D1913:E1913">
    <cfRule type="containsText" dxfId="276" priority="277" operator="containsText" text="m2">
      <formula>NOT(ISERROR(SEARCH("m2",D1913)))</formula>
    </cfRule>
  </conditionalFormatting>
  <conditionalFormatting sqref="F1244">
    <cfRule type="containsText" dxfId="275" priority="266" operator="containsText" text="TOTAL">
      <formula>NOT(ISERROR(SEARCH("TOTAL",F1244)))</formula>
    </cfRule>
  </conditionalFormatting>
  <conditionalFormatting sqref="D1913:E1913">
    <cfRule type="containsText" dxfId="274" priority="276" operator="containsText" text="m2">
      <formula>NOT(ISERROR(SEARCH("m2",D1913)))</formula>
    </cfRule>
  </conditionalFormatting>
  <conditionalFormatting sqref="B13">
    <cfRule type="containsText" dxfId="273" priority="265" operator="containsText" text="m2">
      <formula>NOT(ISERROR(SEARCH("m2",B13)))</formula>
    </cfRule>
  </conditionalFormatting>
  <conditionalFormatting sqref="B1914:E1914">
    <cfRule type="containsText" dxfId="272" priority="275" operator="containsText" text="m2">
      <formula>NOT(ISERROR(SEARCH("m2",B1914)))</formula>
    </cfRule>
  </conditionalFormatting>
  <conditionalFormatting sqref="F2281">
    <cfRule type="containsText" dxfId="271" priority="302" operator="containsText" text="TOTAL">
      <formula>NOT(ISERROR(SEARCH("TOTAL",F2281)))</formula>
    </cfRule>
  </conditionalFormatting>
  <conditionalFormatting sqref="B1244:E1244">
    <cfRule type="containsText" dxfId="270" priority="267" operator="containsText" text="m2">
      <formula>NOT(ISERROR(SEARCH("m2",B1244)))</formula>
    </cfRule>
  </conditionalFormatting>
  <conditionalFormatting sqref="F749:F750">
    <cfRule type="containsText" dxfId="269" priority="259" operator="containsText" text="TOTAL">
      <formula>NOT(ISERROR(SEARCH("TOTAL",F749)))</formula>
    </cfRule>
  </conditionalFormatting>
  <conditionalFormatting sqref="B12">
    <cfRule type="containsText" dxfId="268" priority="262" operator="containsText" text="m2">
      <formula>NOT(ISERROR(SEARCH("m2",B12)))</formula>
    </cfRule>
  </conditionalFormatting>
  <conditionalFormatting sqref="B16">
    <cfRule type="containsText" dxfId="267" priority="263" operator="containsText" text="m2">
      <formula>NOT(ISERROR(SEARCH("m2",B16)))</formula>
    </cfRule>
  </conditionalFormatting>
  <conditionalFormatting sqref="F2283">
    <cfRule type="containsText" dxfId="266" priority="296" operator="containsText" text="TOTAL">
      <formula>NOT(ISERROR(SEARCH("TOTAL",F2283)))</formula>
    </cfRule>
  </conditionalFormatting>
  <conditionalFormatting sqref="D2283:E2283">
    <cfRule type="containsText" dxfId="265" priority="295" operator="containsText" text="TOTAL">
      <formula>NOT(ISERROR(SEARCH("TOTAL",D2283)))</formula>
    </cfRule>
  </conditionalFormatting>
  <conditionalFormatting sqref="F2284">
    <cfRule type="containsText" dxfId="264" priority="294" operator="containsText" text="TOTAL">
      <formula>NOT(ISERROR(SEARCH("TOTAL",F2284)))</formula>
    </cfRule>
  </conditionalFormatting>
  <conditionalFormatting sqref="B178">
    <cfRule type="containsText" dxfId="263" priority="258" operator="containsText" text="m2">
      <formula>NOT(ISERROR(SEARCH("m2",B178)))</formula>
    </cfRule>
  </conditionalFormatting>
  <conditionalFormatting sqref="C1911:E1911">
    <cfRule type="containsText" dxfId="262" priority="292" operator="containsText" text="m2">
      <formula>NOT(ISERROR(SEARCH("m2",C1911)))</formula>
    </cfRule>
  </conditionalFormatting>
  <conditionalFormatting sqref="F1911">
    <cfRule type="containsText" dxfId="261" priority="291" operator="containsText" text="TOTAL">
      <formula>NOT(ISERROR(SEARCH("TOTAL",F1911)))</formula>
    </cfRule>
  </conditionalFormatting>
  <conditionalFormatting sqref="D1911:E1911">
    <cfRule type="containsText" dxfId="260" priority="290" operator="containsText" text="m2">
      <formula>NOT(ISERROR(SEARCH("m2",D1911)))</formula>
    </cfRule>
  </conditionalFormatting>
  <conditionalFormatting sqref="B1912">
    <cfRule type="containsText" dxfId="259" priority="289" operator="containsText" text="m2">
      <formula>NOT(ISERROR(SEARCH("m2",B1912)))</formula>
    </cfRule>
  </conditionalFormatting>
  <conditionalFormatting sqref="B1912">
    <cfRule type="containsText" dxfId="258" priority="288" operator="containsText" text="m2">
      <formula>NOT(ISERROR(SEARCH("m2",B1912)))</formula>
    </cfRule>
  </conditionalFormatting>
  <conditionalFormatting sqref="F804">
    <cfRule type="containsText" dxfId="257" priority="230" operator="containsText" text="TOTAL">
      <formula>NOT(ISERROR(SEARCH("TOTAL",F804)))</formula>
    </cfRule>
  </conditionalFormatting>
  <conditionalFormatting sqref="D1912:E1912">
    <cfRule type="containsText" dxfId="256" priority="285" operator="containsText" text="m2">
      <formula>NOT(ISERROR(SEARCH("m2",D1912)))</formula>
    </cfRule>
  </conditionalFormatting>
  <conditionalFormatting sqref="F1912:F1913">
    <cfRule type="containsText" dxfId="255" priority="284" operator="containsText" text="TOTAL">
      <formula>NOT(ISERROR(SEARCH("TOTAL",F1912)))</formula>
    </cfRule>
  </conditionalFormatting>
  <conditionalFormatting sqref="D1912:E1912">
    <cfRule type="containsText" dxfId="254" priority="283" operator="containsText" text="m2">
      <formula>NOT(ISERROR(SEARCH("m2",D1912)))</formula>
    </cfRule>
  </conditionalFormatting>
  <conditionalFormatting sqref="F1912:F1913">
    <cfRule type="containsText" dxfId="253" priority="282" operator="containsText" text="TOTAL">
      <formula>NOT(ISERROR(SEARCH("TOTAL",F1912)))</formula>
    </cfRule>
  </conditionalFormatting>
  <conditionalFormatting sqref="B749:B750">
    <cfRule type="containsText" dxfId="252" priority="260" operator="containsText" text="m2">
      <formula>NOT(ISERROR(SEARCH("m2",B749)))</formula>
    </cfRule>
  </conditionalFormatting>
  <conditionalFormatting sqref="B572">
    <cfRule type="containsText" dxfId="251" priority="257" operator="containsText" text="m2">
      <formula>NOT(ISERROR(SEARCH("m2",B572)))</formula>
    </cfRule>
  </conditionalFormatting>
  <conditionalFormatting sqref="B1913">
    <cfRule type="containsText" dxfId="250" priority="279" operator="containsText" text="m2">
      <formula>NOT(ISERROR(SEARCH("m2",B1913)))</formula>
    </cfRule>
  </conditionalFormatting>
  <conditionalFormatting sqref="B1913">
    <cfRule type="containsText" dxfId="249" priority="278" operator="containsText" text="m2">
      <formula>NOT(ISERROR(SEARCH("m2",B1913)))</formula>
    </cfRule>
  </conditionalFormatting>
  <conditionalFormatting sqref="B804">
    <cfRule type="containsText" dxfId="248" priority="229" operator="containsText" text="m2">
      <formula>NOT(ISERROR(SEARCH("m2",B804)))</formula>
    </cfRule>
  </conditionalFormatting>
  <conditionalFormatting sqref="B1243">
    <cfRule type="containsText" dxfId="247" priority="273" operator="containsText" text="m2">
      <formula>NOT(ISERROR(SEARCH("m2",B1243)))</formula>
    </cfRule>
  </conditionalFormatting>
  <conditionalFormatting sqref="B1242">
    <cfRule type="containsText" dxfId="246" priority="271" operator="containsText" text="m2">
      <formula>NOT(ISERROR(SEARCH("m2",B1242)))</formula>
    </cfRule>
  </conditionalFormatting>
  <conditionalFormatting sqref="D1242:E1242">
    <cfRule type="containsText" dxfId="245" priority="268" operator="containsText" text="m2">
      <formula>NOT(ISERROR(SEARCH("m2",D1242)))</formula>
    </cfRule>
  </conditionalFormatting>
  <conditionalFormatting sqref="F1243">
    <cfRule type="containsText" dxfId="244" priority="269" operator="containsText" text="TOTAL">
      <formula>NOT(ISERROR(SEARCH("TOTAL",F1243)))</formula>
    </cfRule>
  </conditionalFormatting>
  <conditionalFormatting sqref="C1243:E1243">
    <cfRule type="containsText" dxfId="243" priority="270" operator="containsText" text="m2">
      <formula>NOT(ISERROR(SEARCH("m2",C1243)))</formula>
    </cfRule>
  </conditionalFormatting>
  <conditionalFormatting sqref="B789">
    <cfRule type="containsText" dxfId="242" priority="228" operator="containsText" text="m2">
      <formula>NOT(ISERROR(SEARCH("m2",B789)))</formula>
    </cfRule>
  </conditionalFormatting>
  <conditionalFormatting sqref="B748">
    <cfRule type="containsText" dxfId="241" priority="261" operator="containsText" text="m2">
      <formula>NOT(ISERROR(SEARCH("m2",B748)))</formula>
    </cfRule>
  </conditionalFormatting>
  <conditionalFormatting sqref="F790 F793">
    <cfRule type="containsText" dxfId="240" priority="256" operator="containsText" text="TOTAL">
      <formula>NOT(ISERROR(SEARCH("TOTAL",F790)))</formula>
    </cfRule>
  </conditionalFormatting>
  <conditionalFormatting sqref="B790 B793">
    <cfRule type="containsText" dxfId="239" priority="255" operator="containsText" text="m2">
      <formula>NOT(ISERROR(SEARCH("m2",B790)))</formula>
    </cfRule>
  </conditionalFormatting>
  <conditionalFormatting sqref="F805">
    <cfRule type="containsText" dxfId="238" priority="253" operator="containsText" text="TOTAL">
      <formula>NOT(ISERROR(SEARCH("TOTAL",F805)))</formula>
    </cfRule>
  </conditionalFormatting>
  <conditionalFormatting sqref="B805">
    <cfRule type="containsText" dxfId="237" priority="254" operator="containsText" text="m2">
      <formula>NOT(ISERROR(SEARCH("m2",B805)))</formula>
    </cfRule>
  </conditionalFormatting>
  <conditionalFormatting sqref="F796 F799">
    <cfRule type="containsText" dxfId="236" priority="252" operator="containsText" text="TOTAL">
      <formula>NOT(ISERROR(SEARCH("TOTAL",F796)))</formula>
    </cfRule>
  </conditionalFormatting>
  <conditionalFormatting sqref="B796 B799">
    <cfRule type="containsText" dxfId="235" priority="251" operator="containsText" text="m2">
      <formula>NOT(ISERROR(SEARCH("m2",B796)))</formula>
    </cfRule>
  </conditionalFormatting>
  <conditionalFormatting sqref="F791">
    <cfRule type="containsText" dxfId="234" priority="250" operator="containsText" text="TOTAL">
      <formula>NOT(ISERROR(SEARCH("TOTAL",F791)))</formula>
    </cfRule>
  </conditionalFormatting>
  <conditionalFormatting sqref="B791:E791">
    <cfRule type="containsText" dxfId="233" priority="249" operator="containsText" text="m2">
      <formula>NOT(ISERROR(SEARCH("m2",B791)))</formula>
    </cfRule>
  </conditionalFormatting>
  <conditionalFormatting sqref="F792">
    <cfRule type="containsText" dxfId="232" priority="248" operator="containsText" text="TOTAL">
      <formula>NOT(ISERROR(SEARCH("TOTAL",F792)))</formula>
    </cfRule>
  </conditionalFormatting>
  <conditionalFormatting sqref="B792">
    <cfRule type="containsText" dxfId="231" priority="247" operator="containsText" text="m2">
      <formula>NOT(ISERROR(SEARCH("m2",B792)))</formula>
    </cfRule>
  </conditionalFormatting>
  <conditionalFormatting sqref="F794">
    <cfRule type="containsText" dxfId="230" priority="246" operator="containsText" text="TOTAL">
      <formula>NOT(ISERROR(SEARCH("TOTAL",F794)))</formula>
    </cfRule>
  </conditionalFormatting>
  <conditionalFormatting sqref="B794:E794">
    <cfRule type="containsText" dxfId="229" priority="245" operator="containsText" text="m2">
      <formula>NOT(ISERROR(SEARCH("m2",B794)))</formula>
    </cfRule>
  </conditionalFormatting>
  <conditionalFormatting sqref="F795">
    <cfRule type="containsText" dxfId="228" priority="244" operator="containsText" text="TOTAL">
      <formula>NOT(ISERROR(SEARCH("TOTAL",F795)))</formula>
    </cfRule>
  </conditionalFormatting>
  <conditionalFormatting sqref="B795">
    <cfRule type="containsText" dxfId="227" priority="243" operator="containsText" text="m2">
      <formula>NOT(ISERROR(SEARCH("m2",B795)))</formula>
    </cfRule>
  </conditionalFormatting>
  <conditionalFormatting sqref="F797">
    <cfRule type="containsText" dxfId="226" priority="242" operator="containsText" text="TOTAL">
      <formula>NOT(ISERROR(SEARCH("TOTAL",F797)))</formula>
    </cfRule>
  </conditionalFormatting>
  <conditionalFormatting sqref="B797:E797">
    <cfRule type="containsText" dxfId="225" priority="241" operator="containsText" text="m2">
      <formula>NOT(ISERROR(SEARCH("m2",B797)))</formula>
    </cfRule>
  </conditionalFormatting>
  <conditionalFormatting sqref="F798">
    <cfRule type="containsText" dxfId="224" priority="240" operator="containsText" text="TOTAL">
      <formula>NOT(ISERROR(SEARCH("TOTAL",F798)))</formula>
    </cfRule>
  </conditionalFormatting>
  <conditionalFormatting sqref="B798">
    <cfRule type="containsText" dxfId="223" priority="239" operator="containsText" text="m2">
      <formula>NOT(ISERROR(SEARCH("m2",B798)))</formula>
    </cfRule>
  </conditionalFormatting>
  <conditionalFormatting sqref="F800">
    <cfRule type="containsText" dxfId="222" priority="238" operator="containsText" text="TOTAL">
      <formula>NOT(ISERROR(SEARCH("TOTAL",F800)))</formula>
    </cfRule>
  </conditionalFormatting>
  <conditionalFormatting sqref="B800:E800">
    <cfRule type="containsText" dxfId="221" priority="237" operator="containsText" text="m2">
      <formula>NOT(ISERROR(SEARCH("m2",B800)))</formula>
    </cfRule>
  </conditionalFormatting>
  <conditionalFormatting sqref="F801">
    <cfRule type="containsText" dxfId="220" priority="236" operator="containsText" text="TOTAL">
      <formula>NOT(ISERROR(SEARCH("TOTAL",F801)))</formula>
    </cfRule>
  </conditionalFormatting>
  <conditionalFormatting sqref="B801">
    <cfRule type="containsText" dxfId="219" priority="235" operator="containsText" text="m2">
      <formula>NOT(ISERROR(SEARCH("m2",B801)))</formula>
    </cfRule>
  </conditionalFormatting>
  <conditionalFormatting sqref="F802">
    <cfRule type="containsText" dxfId="218" priority="234" operator="containsText" text="TOTAL">
      <formula>NOT(ISERROR(SEARCH("TOTAL",F802)))</formula>
    </cfRule>
  </conditionalFormatting>
  <conditionalFormatting sqref="B802">
    <cfRule type="containsText" dxfId="217" priority="233" operator="containsText" text="m2">
      <formula>NOT(ISERROR(SEARCH("m2",B802)))</formula>
    </cfRule>
  </conditionalFormatting>
  <conditionalFormatting sqref="F803">
    <cfRule type="containsText" dxfId="216" priority="232" operator="containsText" text="TOTAL">
      <formula>NOT(ISERROR(SEARCH("TOTAL",F803)))</formula>
    </cfRule>
  </conditionalFormatting>
  <conditionalFormatting sqref="B803:E803">
    <cfRule type="containsText" dxfId="215" priority="231" operator="containsText" text="m2">
      <formula>NOT(ISERROR(SEARCH("m2",B803)))</formula>
    </cfRule>
  </conditionalFormatting>
  <conditionalFormatting sqref="F811">
    <cfRule type="containsText" dxfId="214" priority="227" operator="containsText" text="TOTAL">
      <formula>NOT(ISERROR(SEARCH("TOTAL",F811)))</formula>
    </cfRule>
  </conditionalFormatting>
  <conditionalFormatting sqref="B811">
    <cfRule type="containsText" dxfId="213" priority="226" operator="containsText" text="m2">
      <formula>NOT(ISERROR(SEARCH("m2",B811)))</formula>
    </cfRule>
  </conditionalFormatting>
  <conditionalFormatting sqref="F756">
    <cfRule type="containsText" dxfId="212" priority="220" operator="containsText" text="TOTAL">
      <formula>NOT(ISERROR(SEARCH("TOTAL",F756)))</formula>
    </cfRule>
  </conditionalFormatting>
  <conditionalFormatting sqref="F754">
    <cfRule type="containsText" dxfId="211" priority="224" operator="containsText" text="TOTAL">
      <formula>NOT(ISERROR(SEARCH("TOTAL",F754)))</formula>
    </cfRule>
  </conditionalFormatting>
  <conditionalFormatting sqref="B755">
    <cfRule type="containsText" dxfId="210" priority="223" operator="containsText" text="m2">
      <formula>NOT(ISERROR(SEARCH("m2",B755)))</formula>
    </cfRule>
  </conditionalFormatting>
  <conditionalFormatting sqref="B756">
    <cfRule type="containsText" dxfId="209" priority="222" operator="containsText" text="m2">
      <formula>NOT(ISERROR(SEARCH("m2",B756)))</formula>
    </cfRule>
  </conditionalFormatting>
  <conditionalFormatting sqref="F757">
    <cfRule type="containsText" dxfId="208" priority="218" operator="containsText" text="TOTAL">
      <formula>NOT(ISERROR(SEARCH("TOTAL",F757)))</formula>
    </cfRule>
  </conditionalFormatting>
  <conditionalFormatting sqref="B757">
    <cfRule type="containsText" dxfId="207" priority="219" operator="containsText" text="m2">
      <formula>NOT(ISERROR(SEARCH("m2",B757)))</formula>
    </cfRule>
  </conditionalFormatting>
  <conditionalFormatting sqref="F758">
    <cfRule type="containsText" dxfId="206" priority="216" operator="containsText" text="TOTAL">
      <formula>NOT(ISERROR(SEARCH("TOTAL",F758)))</formula>
    </cfRule>
  </conditionalFormatting>
  <conditionalFormatting sqref="F760:F761">
    <cfRule type="containsText" dxfId="205" priority="214" operator="containsText" text="TOTAL">
      <formula>NOT(ISERROR(SEARCH("TOTAL",F760)))</formula>
    </cfRule>
  </conditionalFormatting>
  <conditionalFormatting sqref="B760:B761">
    <cfRule type="containsText" dxfId="204" priority="215" operator="containsText" text="m2">
      <formula>NOT(ISERROR(SEARCH("m2",B760)))</formula>
    </cfRule>
  </conditionalFormatting>
  <conditionalFormatting sqref="F762">
    <cfRule type="containsText" dxfId="203" priority="212" operator="containsText" text="TOTAL">
      <formula>NOT(ISERROR(SEARCH("TOTAL",F762)))</formula>
    </cfRule>
  </conditionalFormatting>
  <conditionalFormatting sqref="B762">
    <cfRule type="containsText" dxfId="202" priority="213" operator="containsText" text="m2">
      <formula>NOT(ISERROR(SEARCH("m2",B762)))</formula>
    </cfRule>
  </conditionalFormatting>
  <conditionalFormatting sqref="F813">
    <cfRule type="containsText" dxfId="201" priority="211" operator="containsText" text="TOTAL">
      <formula>NOT(ISERROR(SEARCH("TOTAL",F813)))</formula>
    </cfRule>
  </conditionalFormatting>
  <conditionalFormatting sqref="B759">
    <cfRule type="containsText" dxfId="200" priority="210" operator="containsText" text="m2">
      <formula>NOT(ISERROR(SEARCH("m2",B759)))</formula>
    </cfRule>
  </conditionalFormatting>
  <conditionalFormatting sqref="B814">
    <cfRule type="containsText" dxfId="199" priority="209" operator="containsText" text="m2">
      <formula>NOT(ISERROR(SEARCH("m2",B814)))</formula>
    </cfRule>
  </conditionalFormatting>
  <conditionalFormatting sqref="F815">
    <cfRule type="containsText" dxfId="198" priority="207" operator="containsText" text="TOTAL">
      <formula>NOT(ISERROR(SEARCH("TOTAL",F815)))</formula>
    </cfRule>
  </conditionalFormatting>
  <conditionalFormatting sqref="B815">
    <cfRule type="containsText" dxfId="197" priority="208" operator="containsText" text="m2">
      <formula>NOT(ISERROR(SEARCH("m2",B815)))</formula>
    </cfRule>
  </conditionalFormatting>
  <conditionalFormatting sqref="F816">
    <cfRule type="containsText" dxfId="196" priority="205" operator="containsText" text="TOTAL">
      <formula>NOT(ISERROR(SEARCH("TOTAL",F816)))</formula>
    </cfRule>
  </conditionalFormatting>
  <conditionalFormatting sqref="B816">
    <cfRule type="containsText" dxfId="195" priority="206" operator="containsText" text="m2">
      <formula>NOT(ISERROR(SEARCH("m2",B816)))</formula>
    </cfRule>
  </conditionalFormatting>
  <conditionalFormatting sqref="D2270:E2270">
    <cfRule type="containsText" dxfId="194" priority="204" operator="containsText" text="m2">
      <formula>NOT(ISERROR(SEARCH("m2",D2270)))</formula>
    </cfRule>
  </conditionalFormatting>
  <conditionalFormatting sqref="B2271">
    <cfRule type="containsText" dxfId="193" priority="203" operator="containsText" text="m2">
      <formula>NOT(ISERROR(SEARCH("m2",B2271)))</formula>
    </cfRule>
  </conditionalFormatting>
  <conditionalFormatting sqref="B2272">
    <cfRule type="containsText" dxfId="192" priority="202" operator="containsText" text="m2">
      <formula>NOT(ISERROR(SEARCH("m2",B2272)))</formula>
    </cfRule>
  </conditionalFormatting>
  <conditionalFormatting sqref="F2272">
    <cfRule type="containsText" dxfId="191" priority="201" operator="containsText" text="TOTAL">
      <formula>NOT(ISERROR(SEARCH("TOTAL",F2272)))</formula>
    </cfRule>
  </conditionalFormatting>
  <conditionalFormatting sqref="D2272:E2272">
    <cfRule type="containsText" dxfId="190" priority="200" operator="containsText" text="TOTAL">
      <formula>NOT(ISERROR(SEARCH("TOTAL",D2272)))</formula>
    </cfRule>
  </conditionalFormatting>
  <conditionalFormatting sqref="B2273:E2273">
    <cfRule type="containsText" dxfId="189" priority="198" operator="containsText" text="m2">
      <formula>NOT(ISERROR(SEARCH("m2",B2273)))</formula>
    </cfRule>
  </conditionalFormatting>
  <conditionalFormatting sqref="F2273">
    <cfRule type="containsText" dxfId="188" priority="199" operator="containsText" text="TOTAL">
      <formula>NOT(ISERROR(SEARCH("TOTAL",F2273)))</formula>
    </cfRule>
  </conditionalFormatting>
  <conditionalFormatting sqref="B617">
    <cfRule type="containsText" dxfId="187" priority="197" operator="containsText" text="m2">
      <formula>NOT(ISERROR(SEARCH("m2",B617)))</formula>
    </cfRule>
  </conditionalFormatting>
  <conditionalFormatting sqref="F617">
    <cfRule type="containsText" dxfId="186" priority="196" operator="containsText" text="TOTAL">
      <formula>NOT(ISERROR(SEARCH("TOTAL",F617)))</formula>
    </cfRule>
  </conditionalFormatting>
  <conditionalFormatting sqref="F619">
    <cfRule type="containsText" dxfId="185" priority="195" operator="containsText" text="TOTAL">
      <formula>NOT(ISERROR(SEARCH("TOTAL",F619)))</formula>
    </cfRule>
  </conditionalFormatting>
  <conditionalFormatting sqref="B634">
    <cfRule type="containsText" dxfId="184" priority="191" operator="containsText" text="m2">
      <formula>NOT(ISERROR(SEARCH("m2",B634)))</formula>
    </cfRule>
  </conditionalFormatting>
  <conditionalFormatting sqref="B620">
    <cfRule type="containsText" dxfId="183" priority="184" operator="containsText" text="m2">
      <formula>NOT(ISERROR(SEARCH("m2",B620)))</formula>
    </cfRule>
  </conditionalFormatting>
  <conditionalFormatting sqref="F620">
    <cfRule type="containsText" dxfId="182" priority="183" operator="containsText" text="TOTAL">
      <formula>NOT(ISERROR(SEARCH("TOTAL",F620)))</formula>
    </cfRule>
  </conditionalFormatting>
  <conditionalFormatting sqref="B624 B626">
    <cfRule type="containsText" dxfId="181" priority="190" operator="containsText" text="m2">
      <formula>NOT(ISERROR(SEARCH("m2",B624)))</formula>
    </cfRule>
  </conditionalFormatting>
  <conditionalFormatting sqref="F624 F626">
    <cfRule type="containsText" dxfId="180" priority="189" operator="containsText" text="TOTAL">
      <formula>NOT(ISERROR(SEARCH("TOTAL",F624)))</formula>
    </cfRule>
  </conditionalFormatting>
  <conditionalFormatting sqref="B622">
    <cfRule type="containsText" dxfId="179" priority="188" operator="containsText" text="m2">
      <formula>NOT(ISERROR(SEARCH("m2",B622)))</formula>
    </cfRule>
  </conditionalFormatting>
  <conditionalFormatting sqref="F622">
    <cfRule type="containsText" dxfId="178" priority="187" operator="containsText" text="TOTAL">
      <formula>NOT(ISERROR(SEARCH("TOTAL",F622)))</formula>
    </cfRule>
  </conditionalFormatting>
  <conditionalFormatting sqref="F627">
    <cfRule type="containsText" dxfId="177" priority="185" operator="containsText" text="TOTAL">
      <formula>NOT(ISERROR(SEARCH("TOTAL",F627)))</formula>
    </cfRule>
  </conditionalFormatting>
  <conditionalFormatting sqref="B627 B630">
    <cfRule type="containsText" dxfId="176" priority="186" operator="containsText" text="m2">
      <formula>NOT(ISERROR(SEARCH("m2",B627)))</formula>
    </cfRule>
  </conditionalFormatting>
  <conditionalFormatting sqref="F630">
    <cfRule type="containsText" dxfId="175" priority="180" operator="containsText" text="TOTAL">
      <formula>NOT(ISERROR(SEARCH("TOTAL",F630)))</formula>
    </cfRule>
  </conditionalFormatting>
  <conditionalFormatting sqref="F631">
    <cfRule type="containsText" dxfId="174" priority="181" operator="containsText" text="TOTAL">
      <formula>NOT(ISERROR(SEARCH("TOTAL",F631)))</formula>
    </cfRule>
  </conditionalFormatting>
  <conditionalFormatting sqref="B631">
    <cfRule type="containsText" dxfId="173" priority="182" operator="containsText" text="m2">
      <formula>NOT(ISERROR(SEARCH("m2",B631)))</formula>
    </cfRule>
  </conditionalFormatting>
  <conditionalFormatting sqref="C2276">
    <cfRule type="containsText" dxfId="172" priority="179" operator="containsText" text="m2">
      <formula>NOT(ISERROR(SEARCH("m2",C2276)))</formula>
    </cfRule>
  </conditionalFormatting>
  <conditionalFormatting sqref="D2274:E2274">
    <cfRule type="containsText" dxfId="171" priority="178" operator="containsText" text="m2">
      <formula>NOT(ISERROR(SEARCH("m2",D2274)))</formula>
    </cfRule>
  </conditionalFormatting>
  <conditionalFormatting sqref="B2275">
    <cfRule type="containsText" dxfId="170" priority="177" operator="containsText" text="m2">
      <formula>NOT(ISERROR(SEARCH("m2",B2275)))</formula>
    </cfRule>
  </conditionalFormatting>
  <conditionalFormatting sqref="B2276">
    <cfRule type="containsText" dxfId="169" priority="176" operator="containsText" text="m2">
      <formula>NOT(ISERROR(SEARCH("m2",B2276)))</formula>
    </cfRule>
  </conditionalFormatting>
  <conditionalFormatting sqref="F2276">
    <cfRule type="containsText" dxfId="168" priority="175" operator="containsText" text="TOTAL">
      <formula>NOT(ISERROR(SEARCH("TOTAL",F2276)))</formula>
    </cfRule>
  </conditionalFormatting>
  <conditionalFormatting sqref="D2276:E2276">
    <cfRule type="containsText" dxfId="167" priority="174" operator="containsText" text="TOTAL">
      <formula>NOT(ISERROR(SEARCH("TOTAL",D2276)))</formula>
    </cfRule>
  </conditionalFormatting>
  <conditionalFormatting sqref="B2277:E2277">
    <cfRule type="containsText" dxfId="166" priority="172" operator="containsText" text="m2">
      <formula>NOT(ISERROR(SEARCH("m2",B2277)))</formula>
    </cfRule>
  </conditionalFormatting>
  <conditionalFormatting sqref="F2277">
    <cfRule type="containsText" dxfId="165" priority="173" operator="containsText" text="TOTAL">
      <formula>NOT(ISERROR(SEARCH("TOTAL",F2277)))</formula>
    </cfRule>
  </conditionalFormatting>
  <conditionalFormatting sqref="C2278">
    <cfRule type="containsText" dxfId="164" priority="171" operator="containsText" text="m2">
      <formula>NOT(ISERROR(SEARCH("m2",C2278)))</formula>
    </cfRule>
  </conditionalFormatting>
  <conditionalFormatting sqref="B2278">
    <cfRule type="containsText" dxfId="163" priority="170" operator="containsText" text="m2">
      <formula>NOT(ISERROR(SEARCH("m2",B2278)))</formula>
    </cfRule>
  </conditionalFormatting>
  <conditionalFormatting sqref="F2278">
    <cfRule type="containsText" dxfId="162" priority="169" operator="containsText" text="TOTAL">
      <formula>NOT(ISERROR(SEARCH("TOTAL",F2278)))</formula>
    </cfRule>
  </conditionalFormatting>
  <conditionalFormatting sqref="D2278:E2278">
    <cfRule type="containsText" dxfId="161" priority="168" operator="containsText" text="TOTAL">
      <formula>NOT(ISERROR(SEARCH("TOTAL",D2278)))</formula>
    </cfRule>
  </conditionalFormatting>
  <conditionalFormatting sqref="B2279:E2279">
    <cfRule type="containsText" dxfId="160" priority="166" operator="containsText" text="m2">
      <formula>NOT(ISERROR(SEARCH("m2",B2279)))</formula>
    </cfRule>
  </conditionalFormatting>
  <conditionalFormatting sqref="F2279">
    <cfRule type="containsText" dxfId="159" priority="167" operator="containsText" text="TOTAL">
      <formula>NOT(ISERROR(SEARCH("TOTAL",F2279)))</formula>
    </cfRule>
  </conditionalFormatting>
  <conditionalFormatting sqref="B2280:E2280">
    <cfRule type="containsText" dxfId="158" priority="164" operator="containsText" text="m2">
      <formula>NOT(ISERROR(SEARCH("m2",B2280)))</formula>
    </cfRule>
  </conditionalFormatting>
  <conditionalFormatting sqref="F2280">
    <cfRule type="containsText" dxfId="157" priority="165" operator="containsText" text="TOTAL">
      <formula>NOT(ISERROR(SEARCH("TOTAL",F2280)))</formula>
    </cfRule>
  </conditionalFormatting>
  <conditionalFormatting sqref="E2158">
    <cfRule type="containsText" dxfId="156" priority="162" operator="containsText" text="m2">
      <formula>NOT(ISERROR(SEARCH("m2",E2158)))</formula>
    </cfRule>
  </conditionalFormatting>
  <conditionalFormatting sqref="F2158">
    <cfRule type="containsText" dxfId="155" priority="161" operator="containsText" text="TOTAL">
      <formula>NOT(ISERROR(SEARCH("TOTAL",F2158)))</formula>
    </cfRule>
  </conditionalFormatting>
  <conditionalFormatting sqref="D489:D490">
    <cfRule type="containsText" dxfId="154" priority="160" operator="containsText" text="m2">
      <formula>NOT(ISERROR(SEARCH("m2",D489)))</formula>
    </cfRule>
  </conditionalFormatting>
  <conditionalFormatting sqref="D491">
    <cfRule type="containsText" dxfId="153" priority="159" operator="containsText" text="m2">
      <formula>NOT(ISERROR(SEARCH("m2",D491)))</formula>
    </cfRule>
  </conditionalFormatting>
  <conditionalFormatting sqref="F492">
    <cfRule type="containsText" dxfId="152" priority="157" operator="containsText" text="TOTAL">
      <formula>NOT(ISERROR(SEARCH("TOTAL",F492)))</formula>
    </cfRule>
  </conditionalFormatting>
  <conditionalFormatting sqref="B492">
    <cfRule type="containsText" dxfId="151" priority="158" operator="containsText" text="m2">
      <formula>NOT(ISERROR(SEARCH("m2",B492)))</formula>
    </cfRule>
  </conditionalFormatting>
  <conditionalFormatting sqref="F486">
    <cfRule type="containsText" dxfId="150" priority="155" operator="containsText" text="TOTAL">
      <formula>NOT(ISERROR(SEARCH("TOTAL",F486)))</formula>
    </cfRule>
  </conditionalFormatting>
  <conditionalFormatting sqref="B486">
    <cfRule type="containsText" dxfId="149" priority="156" operator="containsText" text="m2">
      <formula>NOT(ISERROR(SEARCH("m2",B486)))</formula>
    </cfRule>
  </conditionalFormatting>
  <conditionalFormatting sqref="F497">
    <cfRule type="containsText" dxfId="148" priority="153" operator="containsText" text="TOTAL">
      <formula>NOT(ISERROR(SEARCH("TOTAL",F497)))</formula>
    </cfRule>
  </conditionalFormatting>
  <conditionalFormatting sqref="B497">
    <cfRule type="containsText" dxfId="147" priority="154" operator="containsText" text="m2">
      <formula>NOT(ISERROR(SEARCH("m2",B497)))</formula>
    </cfRule>
  </conditionalFormatting>
  <conditionalFormatting sqref="F670:F677">
    <cfRule type="containsText" dxfId="146" priority="152" operator="containsText" text="TOTAL">
      <formula>NOT(ISERROR(SEARCH("TOTAL",F670)))</formula>
    </cfRule>
  </conditionalFormatting>
  <conditionalFormatting sqref="F914">
    <cfRule type="containsText" dxfId="145" priority="151" operator="containsText" text="TOTAL">
      <formula>NOT(ISERROR(SEARCH("TOTAL",F914)))</formula>
    </cfRule>
  </conditionalFormatting>
  <conditionalFormatting sqref="B914:E914">
    <cfRule type="containsText" dxfId="144" priority="150" operator="containsText" text="m2">
      <formula>NOT(ISERROR(SEARCH("m2",B914)))</formula>
    </cfRule>
  </conditionalFormatting>
  <conditionalFormatting sqref="F920">
    <cfRule type="containsText" dxfId="143" priority="149" operator="containsText" text="TOTAL">
      <formula>NOT(ISERROR(SEARCH("TOTAL",F920)))</formula>
    </cfRule>
  </conditionalFormatting>
  <conditionalFormatting sqref="B920:E920">
    <cfRule type="containsText" dxfId="142" priority="148" operator="containsText" text="m2">
      <formula>NOT(ISERROR(SEARCH("m2",B920)))</formula>
    </cfRule>
  </conditionalFormatting>
  <conditionalFormatting sqref="C952:E952">
    <cfRule type="containsText" dxfId="141" priority="144" operator="containsText" text="m2">
      <formula>NOT(ISERROR(SEARCH("m2",C952)))</formula>
    </cfRule>
  </conditionalFormatting>
  <conditionalFormatting sqref="B951:E951 B950 D950:E950">
    <cfRule type="containsText" dxfId="140" priority="147" operator="containsText" text="m2">
      <formula>NOT(ISERROR(SEARCH("m2",B950)))</formula>
    </cfRule>
  </conditionalFormatting>
  <conditionalFormatting sqref="F951">
    <cfRule type="containsText" dxfId="139" priority="146" operator="containsText" text="TOTAL">
      <formula>NOT(ISERROR(SEARCH("TOTAL",F951)))</formula>
    </cfRule>
  </conditionalFormatting>
  <conditionalFormatting sqref="F952">
    <cfRule type="containsText" dxfId="138" priority="145" operator="containsText" text="TOTAL">
      <formula>NOT(ISERROR(SEARCH("TOTAL",F952)))</formula>
    </cfRule>
  </conditionalFormatting>
  <conditionalFormatting sqref="B952">
    <cfRule type="containsText" dxfId="137" priority="143" operator="containsText" text="m2">
      <formula>NOT(ISERROR(SEARCH("m2",B952)))</formula>
    </cfRule>
  </conditionalFormatting>
  <conditionalFormatting sqref="B953:E953">
    <cfRule type="containsText" dxfId="136" priority="142" operator="containsText" text="m2">
      <formula>NOT(ISERROR(SEARCH("m2",B953)))</formula>
    </cfRule>
  </conditionalFormatting>
  <conditionalFormatting sqref="F953">
    <cfRule type="containsText" dxfId="135" priority="141" operator="containsText" text="TOTAL">
      <formula>NOT(ISERROR(SEARCH("TOTAL",F953)))</formula>
    </cfRule>
  </conditionalFormatting>
  <conditionalFormatting sqref="B954:E954">
    <cfRule type="containsText" dxfId="134" priority="140" operator="containsText" text="m2">
      <formula>NOT(ISERROR(SEARCH("m2",B954)))</formula>
    </cfRule>
  </conditionalFormatting>
  <conditionalFormatting sqref="F954">
    <cfRule type="containsText" dxfId="133" priority="139" operator="containsText" text="TOTAL">
      <formula>NOT(ISERROR(SEARCH("TOTAL",F954)))</formula>
    </cfRule>
  </conditionalFormatting>
  <conditionalFormatting sqref="C946:E946">
    <cfRule type="containsText" dxfId="132" priority="135" operator="containsText" text="m2">
      <formula>NOT(ISERROR(SEARCH("m2",C946)))</formula>
    </cfRule>
  </conditionalFormatting>
  <conditionalFormatting sqref="B945:E945 B944 D944:E944">
    <cfRule type="containsText" dxfId="131" priority="138" operator="containsText" text="m2">
      <formula>NOT(ISERROR(SEARCH("m2",B944)))</formula>
    </cfRule>
  </conditionalFormatting>
  <conditionalFormatting sqref="F945">
    <cfRule type="containsText" dxfId="130" priority="137" operator="containsText" text="TOTAL">
      <formula>NOT(ISERROR(SEARCH("TOTAL",F945)))</formula>
    </cfRule>
  </conditionalFormatting>
  <conditionalFormatting sqref="F946">
    <cfRule type="containsText" dxfId="129" priority="136" operator="containsText" text="TOTAL">
      <formula>NOT(ISERROR(SEARCH("TOTAL",F946)))</formula>
    </cfRule>
  </conditionalFormatting>
  <conditionalFormatting sqref="B946">
    <cfRule type="containsText" dxfId="128" priority="134" operator="containsText" text="m2">
      <formula>NOT(ISERROR(SEARCH("m2",B946)))</formula>
    </cfRule>
  </conditionalFormatting>
  <conditionalFormatting sqref="B947:E947">
    <cfRule type="containsText" dxfId="127" priority="133" operator="containsText" text="m2">
      <formula>NOT(ISERROR(SEARCH("m2",B947)))</formula>
    </cfRule>
  </conditionalFormatting>
  <conditionalFormatting sqref="F947">
    <cfRule type="containsText" dxfId="126" priority="132" operator="containsText" text="TOTAL">
      <formula>NOT(ISERROR(SEARCH("TOTAL",F947)))</formula>
    </cfRule>
  </conditionalFormatting>
  <conditionalFormatting sqref="B949:E949">
    <cfRule type="containsText" dxfId="125" priority="131" operator="containsText" text="m2">
      <formula>NOT(ISERROR(SEARCH("m2",B949)))</formula>
    </cfRule>
  </conditionalFormatting>
  <conditionalFormatting sqref="F949">
    <cfRule type="containsText" dxfId="124" priority="130" operator="containsText" text="TOTAL">
      <formula>NOT(ISERROR(SEARCH("TOTAL",F949)))</formula>
    </cfRule>
  </conditionalFormatting>
  <conditionalFormatting sqref="C948:E948">
    <cfRule type="containsText" dxfId="123" priority="128" operator="containsText" text="m2">
      <formula>NOT(ISERROR(SEARCH("m2",C948)))</formula>
    </cfRule>
  </conditionalFormatting>
  <conditionalFormatting sqref="F948">
    <cfRule type="containsText" dxfId="122" priority="129" operator="containsText" text="TOTAL">
      <formula>NOT(ISERROR(SEARCH("TOTAL",F948)))</formula>
    </cfRule>
  </conditionalFormatting>
  <conditionalFormatting sqref="B948">
    <cfRule type="containsText" dxfId="121" priority="127" operator="containsText" text="m2">
      <formula>NOT(ISERROR(SEARCH("m2",B948)))</formula>
    </cfRule>
  </conditionalFormatting>
  <conditionalFormatting sqref="D1064:E1064">
    <cfRule type="containsText" dxfId="120" priority="126" operator="containsText" text="m2">
      <formula>NOT(ISERROR(SEARCH("m2",D1064)))</formula>
    </cfRule>
  </conditionalFormatting>
  <conditionalFormatting sqref="F1065">
    <cfRule type="containsText" dxfId="119" priority="125" operator="containsText" text="TOTAL">
      <formula>NOT(ISERROR(SEARCH("TOTAL",F1065)))</formula>
    </cfRule>
  </conditionalFormatting>
  <conditionalFormatting sqref="B1066:E1066">
    <cfRule type="containsText" dxfId="118" priority="122" operator="containsText" text="m2">
      <formula>NOT(ISERROR(SEARCH("m2",B1066)))</formula>
    </cfRule>
  </conditionalFormatting>
  <conditionalFormatting sqref="F1066">
    <cfRule type="containsText" dxfId="117" priority="121" operator="containsText" text="TOTAL">
      <formula>NOT(ISERROR(SEARCH("TOTAL",F1066)))</formula>
    </cfRule>
  </conditionalFormatting>
  <conditionalFormatting sqref="C1363:E1363">
    <cfRule type="containsText" dxfId="116" priority="110" operator="containsText" text="m2">
      <formula>NOT(ISERROR(SEARCH("m2",C1363)))</formula>
    </cfRule>
  </conditionalFormatting>
  <conditionalFormatting sqref="C1361:E1361">
    <cfRule type="containsText" dxfId="115" priority="117" operator="containsText" text="m2">
      <formula>NOT(ISERROR(SEARCH("m2",C1361)))</formula>
    </cfRule>
  </conditionalFormatting>
  <conditionalFormatting sqref="B1359:E1359 B1358 D1358:E1358">
    <cfRule type="containsText" dxfId="114" priority="120" operator="containsText" text="m2">
      <formula>NOT(ISERROR(SEARCH("m2",B1358)))</formula>
    </cfRule>
  </conditionalFormatting>
  <conditionalFormatting sqref="F1359">
    <cfRule type="containsText" dxfId="113" priority="119" operator="containsText" text="TOTAL">
      <formula>NOT(ISERROR(SEARCH("TOTAL",F1359)))</formula>
    </cfRule>
  </conditionalFormatting>
  <conditionalFormatting sqref="F1361">
    <cfRule type="containsText" dxfId="112" priority="118" operator="containsText" text="TOTAL">
      <formula>NOT(ISERROR(SEARCH("TOTAL",F1361)))</formula>
    </cfRule>
  </conditionalFormatting>
  <conditionalFormatting sqref="B1361">
    <cfRule type="containsText" dxfId="111" priority="116" operator="containsText" text="m2">
      <formula>NOT(ISERROR(SEARCH("m2",B1361)))</formula>
    </cfRule>
  </conditionalFormatting>
  <conditionalFormatting sqref="B1362:E1362">
    <cfRule type="containsText" dxfId="110" priority="115" operator="containsText" text="m2">
      <formula>NOT(ISERROR(SEARCH("m2",B1362)))</formula>
    </cfRule>
  </conditionalFormatting>
  <conditionalFormatting sqref="F1362">
    <cfRule type="containsText" dxfId="109" priority="114" operator="containsText" text="TOTAL">
      <formula>NOT(ISERROR(SEARCH("TOTAL",F1362)))</formula>
    </cfRule>
  </conditionalFormatting>
  <conditionalFormatting sqref="B1364:E1364">
    <cfRule type="containsText" dxfId="108" priority="113" operator="containsText" text="m2">
      <formula>NOT(ISERROR(SEARCH("m2",B1364)))</formula>
    </cfRule>
  </conditionalFormatting>
  <conditionalFormatting sqref="F1364">
    <cfRule type="containsText" dxfId="107" priority="112" operator="containsText" text="TOTAL">
      <formula>NOT(ISERROR(SEARCH("TOTAL",F1364)))</formula>
    </cfRule>
  </conditionalFormatting>
  <conditionalFormatting sqref="C1360:E1360">
    <cfRule type="containsText" dxfId="106" priority="107" operator="containsText" text="m2">
      <formula>NOT(ISERROR(SEARCH("m2",C1360)))</formula>
    </cfRule>
  </conditionalFormatting>
  <conditionalFormatting sqref="F1363">
    <cfRule type="containsText" dxfId="105" priority="111" operator="containsText" text="TOTAL">
      <formula>NOT(ISERROR(SEARCH("TOTAL",F1363)))</formula>
    </cfRule>
  </conditionalFormatting>
  <conditionalFormatting sqref="B1363">
    <cfRule type="containsText" dxfId="104" priority="109" operator="containsText" text="m2">
      <formula>NOT(ISERROR(SEARCH("m2",B1363)))</formula>
    </cfRule>
  </conditionalFormatting>
  <conditionalFormatting sqref="F1360">
    <cfRule type="containsText" dxfId="103" priority="108" operator="containsText" text="TOTAL">
      <formula>NOT(ISERROR(SEARCH("TOTAL",F1360)))</formula>
    </cfRule>
  </conditionalFormatting>
  <conditionalFormatting sqref="B1360">
    <cfRule type="containsText" dxfId="102" priority="106" operator="containsText" text="m2">
      <formula>NOT(ISERROR(SEARCH("m2",B1360)))</formula>
    </cfRule>
  </conditionalFormatting>
  <conditionalFormatting sqref="B1356:E1356">
    <cfRule type="containsText" dxfId="101" priority="105" operator="containsText" text="m2">
      <formula>NOT(ISERROR(SEARCH("m2",B1356)))</formula>
    </cfRule>
  </conditionalFormatting>
  <conditionalFormatting sqref="F1356">
    <cfRule type="containsText" dxfId="100" priority="104" operator="containsText" text="TOTAL">
      <formula>NOT(ISERROR(SEARCH("TOTAL",F1356)))</formula>
    </cfRule>
  </conditionalFormatting>
  <conditionalFormatting sqref="B1354:E1355">
    <cfRule type="containsText" dxfId="99" priority="103" operator="containsText" text="m2">
      <formula>NOT(ISERROR(SEARCH("m2",B1354)))</formula>
    </cfRule>
  </conditionalFormatting>
  <conditionalFormatting sqref="F1355">
    <cfRule type="containsText" dxfId="98" priority="102" operator="containsText" text="TOTAL">
      <formula>NOT(ISERROR(SEARCH("TOTAL",F1355)))</formula>
    </cfRule>
  </conditionalFormatting>
  <conditionalFormatting sqref="B1488:E1488 B1487">
    <cfRule type="containsText" dxfId="97" priority="101" operator="containsText" text="m2">
      <formula>NOT(ISERROR(SEARCH("m2",B1487)))</formula>
    </cfRule>
  </conditionalFormatting>
  <conditionalFormatting sqref="D1487:E1487">
    <cfRule type="containsText" dxfId="96" priority="100" operator="containsText" text="m2">
      <formula>NOT(ISERROR(SEARCH("m2",D1487)))</formula>
    </cfRule>
  </conditionalFormatting>
  <conditionalFormatting sqref="F1488">
    <cfRule type="containsText" dxfId="95" priority="99" operator="containsText" text="TOTAL">
      <formula>NOT(ISERROR(SEARCH("TOTAL",F1488)))</formula>
    </cfRule>
  </conditionalFormatting>
  <conditionalFormatting sqref="B1489:E1489">
    <cfRule type="containsText" dxfId="94" priority="98" operator="containsText" text="m2">
      <formula>NOT(ISERROR(SEARCH("m2",B1489)))</formula>
    </cfRule>
  </conditionalFormatting>
  <conditionalFormatting sqref="F1489">
    <cfRule type="containsText" dxfId="93" priority="97" operator="containsText" text="TOTAL">
      <formula>NOT(ISERROR(SEARCH("TOTAL",F1489)))</formula>
    </cfRule>
  </conditionalFormatting>
  <conditionalFormatting sqref="E2145">
    <cfRule type="containsText" dxfId="92" priority="96" operator="containsText" text="m2">
      <formula>NOT(ISERROR(SEARCH("m2",E2145)))</formula>
    </cfRule>
  </conditionalFormatting>
  <conditionalFormatting sqref="F2145">
    <cfRule type="containsText" dxfId="91" priority="95" operator="containsText" text="TOTAL">
      <formula>NOT(ISERROR(SEARCH("TOTAL",F2145)))</formula>
    </cfRule>
  </conditionalFormatting>
  <conditionalFormatting sqref="B71">
    <cfRule type="containsText" dxfId="90" priority="94" operator="containsText" text="m2">
      <formula>NOT(ISERROR(SEARCH("m2",B71)))</formula>
    </cfRule>
  </conditionalFormatting>
  <conditionalFormatting sqref="B72:B73">
    <cfRule type="containsText" dxfId="89" priority="93" operator="containsText" text="m2">
      <formula>NOT(ISERROR(SEARCH("m2",B72)))</formula>
    </cfRule>
  </conditionalFormatting>
  <conditionalFormatting sqref="B74">
    <cfRule type="containsText" dxfId="88" priority="92" operator="containsText" text="m2">
      <formula>NOT(ISERROR(SEARCH("m2",B74)))</formula>
    </cfRule>
  </conditionalFormatting>
  <conditionalFormatting sqref="F539:F541">
    <cfRule type="containsText" dxfId="87" priority="91" operator="containsText" text="TOTAL">
      <formula>NOT(ISERROR(SEARCH("TOTAL",F539)))</formula>
    </cfRule>
  </conditionalFormatting>
  <conditionalFormatting sqref="B539:B542">
    <cfRule type="containsText" dxfId="86" priority="90" operator="containsText" text="m2">
      <formula>NOT(ISERROR(SEARCH("m2",B539)))</formula>
    </cfRule>
  </conditionalFormatting>
  <conditionalFormatting sqref="F542">
    <cfRule type="containsText" dxfId="85" priority="89" operator="containsText" text="TOTAL">
      <formula>NOT(ISERROR(SEARCH("TOTAL",F542)))</formula>
    </cfRule>
  </conditionalFormatting>
  <conditionalFormatting sqref="F543">
    <cfRule type="containsText" dxfId="84" priority="87" operator="containsText" text="TOTAL">
      <formula>NOT(ISERROR(SEARCH("TOTAL",F543)))</formula>
    </cfRule>
  </conditionalFormatting>
  <conditionalFormatting sqref="B543">
    <cfRule type="containsText" dxfId="83" priority="88" operator="containsText" text="m2">
      <formula>NOT(ISERROR(SEARCH("m2",B543)))</formula>
    </cfRule>
  </conditionalFormatting>
  <conditionalFormatting sqref="F548">
    <cfRule type="containsText" dxfId="82" priority="85" operator="containsText" text="TOTAL">
      <formula>NOT(ISERROR(SEARCH("TOTAL",F548)))</formula>
    </cfRule>
  </conditionalFormatting>
  <conditionalFormatting sqref="B548">
    <cfRule type="containsText" dxfId="81" priority="86" operator="containsText" text="m2">
      <formula>NOT(ISERROR(SEARCH("m2",B548)))</formula>
    </cfRule>
  </conditionalFormatting>
  <conditionalFormatting sqref="F76">
    <cfRule type="containsText" dxfId="80" priority="83" operator="containsText" text="TOTAL">
      <formula>NOT(ISERROR(SEARCH("TOTAL",F76)))</formula>
    </cfRule>
  </conditionalFormatting>
  <conditionalFormatting sqref="B77">
    <cfRule type="containsText" dxfId="79" priority="82" operator="containsText" text="m2">
      <formula>NOT(ISERROR(SEARCH("m2",B77)))</formula>
    </cfRule>
  </conditionalFormatting>
  <conditionalFormatting sqref="B78">
    <cfRule type="containsText" dxfId="78" priority="80" operator="containsText" text="m2">
      <formula>NOT(ISERROR(SEARCH("m2",B78)))</formula>
    </cfRule>
  </conditionalFormatting>
  <conditionalFormatting sqref="F862">
    <cfRule type="containsText" dxfId="77" priority="79" operator="containsText" text="TOTAL">
      <formula>NOT(ISERROR(SEARCH("TOTAL",F862)))</formula>
    </cfRule>
  </conditionalFormatting>
  <conditionalFormatting sqref="B865">
    <cfRule type="containsText" dxfId="76" priority="78" operator="containsText" text="m2">
      <formula>NOT(ISERROR(SEARCH("m2",B865)))</formula>
    </cfRule>
  </conditionalFormatting>
  <conditionalFormatting sqref="F865">
    <cfRule type="containsText" dxfId="75" priority="77" operator="containsText" text="TOTAL">
      <formula>NOT(ISERROR(SEARCH("TOTAL",F865)))</formula>
    </cfRule>
  </conditionalFormatting>
  <conditionalFormatting sqref="B861">
    <cfRule type="containsText" dxfId="74" priority="76" operator="containsText" text="m2">
      <formula>NOT(ISERROR(SEARCH("m2",B861)))</formula>
    </cfRule>
  </conditionalFormatting>
  <conditionalFormatting sqref="F861">
    <cfRule type="containsText" dxfId="73" priority="75" operator="containsText" text="TOTAL">
      <formula>NOT(ISERROR(SEARCH("TOTAL",F861)))</formula>
    </cfRule>
  </conditionalFormatting>
  <conditionalFormatting sqref="B15">
    <cfRule type="containsText" dxfId="72" priority="74" operator="containsText" text="m2">
      <formula>NOT(ISERROR(SEARCH("m2",B15)))</formula>
    </cfRule>
  </conditionalFormatting>
  <conditionalFormatting sqref="F1941:F1945">
    <cfRule type="containsText" dxfId="71" priority="73" operator="containsText" text="TOTAL">
      <formula>NOT(ISERROR(SEARCH("TOTAL",F1941)))</formula>
    </cfRule>
  </conditionalFormatting>
  <conditionalFormatting sqref="B1941:B1945">
    <cfRule type="containsText" dxfId="70" priority="72" operator="containsText" text="m2">
      <formula>NOT(ISERROR(SEARCH("m2",B1941)))</formula>
    </cfRule>
  </conditionalFormatting>
  <conditionalFormatting sqref="E1941:E1945">
    <cfRule type="containsText" dxfId="69" priority="71" operator="containsText" text="m2">
      <formula>NOT(ISERROR(SEARCH("m2",E1941)))</formula>
    </cfRule>
  </conditionalFormatting>
  <conditionalFormatting sqref="D1941:D1945">
    <cfRule type="containsText" dxfId="68" priority="70" operator="containsText" text="m2">
      <formula>NOT(ISERROR(SEARCH("m2",D1941)))</formula>
    </cfRule>
  </conditionalFormatting>
  <conditionalFormatting sqref="B1946:E1946">
    <cfRule type="containsText" dxfId="67" priority="69" operator="containsText" text="m2">
      <formula>NOT(ISERROR(SEARCH("m2",B1946)))</formula>
    </cfRule>
  </conditionalFormatting>
  <conditionalFormatting sqref="F1946">
    <cfRule type="containsText" dxfId="66" priority="68" operator="containsText" text="TOTAL">
      <formula>NOT(ISERROR(SEARCH("TOTAL",F1946)))</formula>
    </cfRule>
  </conditionalFormatting>
  <conditionalFormatting sqref="B2243">
    <cfRule type="containsText" dxfId="65" priority="67" operator="containsText" text="m2">
      <formula>NOT(ISERROR(SEARCH("m2",B2243)))</formula>
    </cfRule>
  </conditionalFormatting>
  <conditionalFormatting sqref="D2243:E2243">
    <cfRule type="containsText" dxfId="64" priority="66" operator="containsText" text="m2">
      <formula>NOT(ISERROR(SEARCH("m2",D2243)))</formula>
    </cfRule>
  </conditionalFormatting>
  <conditionalFormatting sqref="F2243">
    <cfRule type="containsText" dxfId="63" priority="65" operator="containsText" text="TOTAL">
      <formula>NOT(ISERROR(SEARCH("TOTAL",F2243)))</formula>
    </cfRule>
  </conditionalFormatting>
  <conditionalFormatting sqref="D2267:E2267">
    <cfRule type="containsText" dxfId="62" priority="64" operator="containsText" text="m2">
      <formula>NOT(ISERROR(SEARCH("m2",D2267)))</formula>
    </cfRule>
  </conditionalFormatting>
  <conditionalFormatting sqref="D2268">
    <cfRule type="containsText" dxfId="61" priority="63" operator="containsText" text="m2">
      <formula>NOT(ISERROR(SEARCH("m2",D2268)))</formula>
    </cfRule>
  </conditionalFormatting>
  <conditionalFormatting sqref="E2268">
    <cfRule type="containsText" dxfId="60" priority="62" operator="containsText" text="m2">
      <formula>NOT(ISERROR(SEARCH("m2",E2268)))</formula>
    </cfRule>
  </conditionalFormatting>
  <conditionalFormatting sqref="F2268">
    <cfRule type="containsText" dxfId="59" priority="61" operator="containsText" text="TOTAL">
      <formula>NOT(ISERROR(SEARCH("TOTAL",F2268)))</formula>
    </cfRule>
  </conditionalFormatting>
  <conditionalFormatting sqref="B2269:E2269">
    <cfRule type="containsText" dxfId="58" priority="59" operator="containsText" text="m2">
      <formula>NOT(ISERROR(SEARCH("m2",B2269)))</formula>
    </cfRule>
  </conditionalFormatting>
  <conditionalFormatting sqref="F2269">
    <cfRule type="containsText" dxfId="57" priority="60" operator="containsText" text="TOTAL">
      <formula>NOT(ISERROR(SEARCH("TOTAL",F2269)))</formula>
    </cfRule>
  </conditionalFormatting>
  <conditionalFormatting sqref="F751">
    <cfRule type="containsText" dxfId="56" priority="57" operator="containsText" text="TOTAL">
      <formula>NOT(ISERROR(SEARCH("TOTAL",F751)))</formula>
    </cfRule>
  </conditionalFormatting>
  <conditionalFormatting sqref="B751">
    <cfRule type="containsText" dxfId="55" priority="58" operator="containsText" text="m2">
      <formula>NOT(ISERROR(SEARCH("m2",B751)))</formula>
    </cfRule>
  </conditionalFormatting>
  <conditionalFormatting sqref="B69">
    <cfRule type="containsText" dxfId="54" priority="56" operator="containsText" text="m2">
      <formula>NOT(ISERROR(SEARCH("m2",B69)))</formula>
    </cfRule>
  </conditionalFormatting>
  <conditionalFormatting sqref="B68">
    <cfRule type="containsText" dxfId="53" priority="55" operator="containsText" text="m2">
      <formula>NOT(ISERROR(SEARCH("m2",B68)))</formula>
    </cfRule>
  </conditionalFormatting>
  <conditionalFormatting sqref="B455:B456">
    <cfRule type="containsText" dxfId="52" priority="54" operator="containsText" text="m2">
      <formula>NOT(ISERROR(SEARCH("m2",B455)))</formula>
    </cfRule>
  </conditionalFormatting>
  <conditionalFormatting sqref="B460">
    <cfRule type="containsText" dxfId="51" priority="53" operator="containsText" text="m2">
      <formula>NOT(ISERROR(SEARCH("m2",B460)))</formula>
    </cfRule>
  </conditionalFormatting>
  <conditionalFormatting sqref="B461">
    <cfRule type="containsText" dxfId="50" priority="52" operator="containsText" text="m2">
      <formula>NOT(ISERROR(SEARCH("m2",B461)))</formula>
    </cfRule>
  </conditionalFormatting>
  <conditionalFormatting sqref="F763">
    <cfRule type="containsText" dxfId="49" priority="51" operator="containsText" text="TOTAL">
      <formula>NOT(ISERROR(SEARCH("TOTAL",F763)))</formula>
    </cfRule>
  </conditionalFormatting>
  <conditionalFormatting sqref="F782:F783">
    <cfRule type="containsText" dxfId="48" priority="50" operator="containsText" text="TOTAL">
      <formula>NOT(ISERROR(SEARCH("TOTAL",F782)))</formula>
    </cfRule>
  </conditionalFormatting>
  <conditionalFormatting sqref="B782:B783">
    <cfRule type="containsText" dxfId="47" priority="49" operator="containsText" text="m2">
      <formula>NOT(ISERROR(SEARCH("m2",B782)))</formula>
    </cfRule>
  </conditionalFormatting>
  <conditionalFormatting sqref="F787">
    <cfRule type="containsText" dxfId="46" priority="47" operator="containsText" text="TOTAL">
      <formula>NOT(ISERROR(SEARCH("TOTAL",F787)))</formula>
    </cfRule>
  </conditionalFormatting>
  <conditionalFormatting sqref="B787">
    <cfRule type="containsText" dxfId="45" priority="48" operator="containsText" text="m2">
      <formula>NOT(ISERROR(SEARCH("m2",B787)))</formula>
    </cfRule>
  </conditionalFormatting>
  <conditionalFormatting sqref="F784:F785">
    <cfRule type="containsText" dxfId="44" priority="46" operator="containsText" text="TOTAL">
      <formula>NOT(ISERROR(SEARCH("TOTAL",F784)))</formula>
    </cfRule>
  </conditionalFormatting>
  <conditionalFormatting sqref="B784:B785">
    <cfRule type="containsText" dxfId="43" priority="45" operator="containsText" text="m2">
      <formula>NOT(ISERROR(SEARCH("m2",B784)))</formula>
    </cfRule>
  </conditionalFormatting>
  <conditionalFormatting sqref="B781">
    <cfRule type="containsText" dxfId="42" priority="44" operator="containsText" text="m2">
      <formula>NOT(ISERROR(SEARCH("m2",B781)))</formula>
    </cfRule>
  </conditionalFormatting>
  <conditionalFormatting sqref="F779">
    <cfRule type="containsText" dxfId="41" priority="17" operator="containsText" text="TOTAL">
      <formula>NOT(ISERROR(SEARCH("TOTAL",F779)))</formula>
    </cfRule>
  </conditionalFormatting>
  <conditionalFormatting sqref="B779">
    <cfRule type="containsText" dxfId="40" priority="16" operator="containsText" text="m2">
      <formula>NOT(ISERROR(SEARCH("m2",B779)))</formula>
    </cfRule>
  </conditionalFormatting>
  <conditionalFormatting sqref="B764">
    <cfRule type="containsText" dxfId="39" priority="15" operator="containsText" text="m2">
      <formula>NOT(ISERROR(SEARCH("m2",B764)))</formula>
    </cfRule>
  </conditionalFormatting>
  <conditionalFormatting sqref="F765 F768">
    <cfRule type="containsText" dxfId="38" priority="43" operator="containsText" text="TOTAL">
      <formula>NOT(ISERROR(SEARCH("TOTAL",F765)))</formula>
    </cfRule>
  </conditionalFormatting>
  <conditionalFormatting sqref="B765 B768">
    <cfRule type="containsText" dxfId="37" priority="42" operator="containsText" text="m2">
      <formula>NOT(ISERROR(SEARCH("m2",B765)))</formula>
    </cfRule>
  </conditionalFormatting>
  <conditionalFormatting sqref="F780">
    <cfRule type="containsText" dxfId="36" priority="40" operator="containsText" text="TOTAL">
      <formula>NOT(ISERROR(SEARCH("TOTAL",F780)))</formula>
    </cfRule>
  </conditionalFormatting>
  <conditionalFormatting sqref="B780">
    <cfRule type="containsText" dxfId="35" priority="41" operator="containsText" text="m2">
      <formula>NOT(ISERROR(SEARCH("m2",B780)))</formula>
    </cfRule>
  </conditionalFormatting>
  <conditionalFormatting sqref="F771 F774">
    <cfRule type="containsText" dxfId="34" priority="39" operator="containsText" text="TOTAL">
      <formula>NOT(ISERROR(SEARCH("TOTAL",F771)))</formula>
    </cfRule>
  </conditionalFormatting>
  <conditionalFormatting sqref="B771 B774">
    <cfRule type="containsText" dxfId="33" priority="38" operator="containsText" text="m2">
      <formula>NOT(ISERROR(SEARCH("m2",B771)))</formula>
    </cfRule>
  </conditionalFormatting>
  <conditionalFormatting sqref="F766">
    <cfRule type="containsText" dxfId="32" priority="37" operator="containsText" text="TOTAL">
      <formula>NOT(ISERROR(SEARCH("TOTAL",F766)))</formula>
    </cfRule>
  </conditionalFormatting>
  <conditionalFormatting sqref="B766:E766">
    <cfRule type="containsText" dxfId="31" priority="36" operator="containsText" text="m2">
      <formula>NOT(ISERROR(SEARCH("m2",B766)))</formula>
    </cfRule>
  </conditionalFormatting>
  <conditionalFormatting sqref="F767">
    <cfRule type="containsText" dxfId="30" priority="35" operator="containsText" text="TOTAL">
      <formula>NOT(ISERROR(SEARCH("TOTAL",F767)))</formula>
    </cfRule>
  </conditionalFormatting>
  <conditionalFormatting sqref="B767">
    <cfRule type="containsText" dxfId="29" priority="34" operator="containsText" text="m2">
      <formula>NOT(ISERROR(SEARCH("m2",B767)))</formula>
    </cfRule>
  </conditionalFormatting>
  <conditionalFormatting sqref="F769">
    <cfRule type="containsText" dxfId="28" priority="33" operator="containsText" text="TOTAL">
      <formula>NOT(ISERROR(SEARCH("TOTAL",F769)))</formula>
    </cfRule>
  </conditionalFormatting>
  <conditionalFormatting sqref="B769:E769">
    <cfRule type="containsText" dxfId="27" priority="32" operator="containsText" text="m2">
      <formula>NOT(ISERROR(SEARCH("m2",B769)))</formula>
    </cfRule>
  </conditionalFormatting>
  <conditionalFormatting sqref="F770">
    <cfRule type="containsText" dxfId="26" priority="31" operator="containsText" text="TOTAL">
      <formula>NOT(ISERROR(SEARCH("TOTAL",F770)))</formula>
    </cfRule>
  </conditionalFormatting>
  <conditionalFormatting sqref="B770">
    <cfRule type="containsText" dxfId="25" priority="30" operator="containsText" text="m2">
      <formula>NOT(ISERROR(SEARCH("m2",B770)))</formula>
    </cfRule>
  </conditionalFormatting>
  <conditionalFormatting sqref="F772">
    <cfRule type="containsText" dxfId="24" priority="29" operator="containsText" text="TOTAL">
      <formula>NOT(ISERROR(SEARCH("TOTAL",F772)))</formula>
    </cfRule>
  </conditionalFormatting>
  <conditionalFormatting sqref="B772:E772">
    <cfRule type="containsText" dxfId="23" priority="28" operator="containsText" text="m2">
      <formula>NOT(ISERROR(SEARCH("m2",B772)))</formula>
    </cfRule>
  </conditionalFormatting>
  <conditionalFormatting sqref="F773">
    <cfRule type="containsText" dxfId="22" priority="27" operator="containsText" text="TOTAL">
      <formula>NOT(ISERROR(SEARCH("TOTAL",F773)))</formula>
    </cfRule>
  </conditionalFormatting>
  <conditionalFormatting sqref="B773">
    <cfRule type="containsText" dxfId="21" priority="26" operator="containsText" text="m2">
      <formula>NOT(ISERROR(SEARCH("m2",B773)))</formula>
    </cfRule>
  </conditionalFormatting>
  <conditionalFormatting sqref="F775">
    <cfRule type="containsText" dxfId="20" priority="25" operator="containsText" text="TOTAL">
      <formula>NOT(ISERROR(SEARCH("TOTAL",F775)))</formula>
    </cfRule>
  </conditionalFormatting>
  <conditionalFormatting sqref="B775:E775">
    <cfRule type="containsText" dxfId="19" priority="24" operator="containsText" text="m2">
      <formula>NOT(ISERROR(SEARCH("m2",B775)))</formula>
    </cfRule>
  </conditionalFormatting>
  <conditionalFormatting sqref="F776">
    <cfRule type="containsText" dxfId="18" priority="23" operator="containsText" text="TOTAL">
      <formula>NOT(ISERROR(SEARCH("TOTAL",F776)))</formula>
    </cfRule>
  </conditionalFormatting>
  <conditionalFormatting sqref="B776">
    <cfRule type="containsText" dxfId="17" priority="22" operator="containsText" text="m2">
      <formula>NOT(ISERROR(SEARCH("m2",B776)))</formula>
    </cfRule>
  </conditionalFormatting>
  <conditionalFormatting sqref="F777">
    <cfRule type="containsText" dxfId="16" priority="21" operator="containsText" text="TOTAL">
      <formula>NOT(ISERROR(SEARCH("TOTAL",F777)))</formula>
    </cfRule>
  </conditionalFormatting>
  <conditionalFormatting sqref="B777">
    <cfRule type="containsText" dxfId="15" priority="20" operator="containsText" text="m2">
      <formula>NOT(ISERROR(SEARCH("m2",B777)))</formula>
    </cfRule>
  </conditionalFormatting>
  <conditionalFormatting sqref="F778">
    <cfRule type="containsText" dxfId="14" priority="19" operator="containsText" text="TOTAL">
      <formula>NOT(ISERROR(SEARCH("TOTAL",F778)))</formula>
    </cfRule>
  </conditionalFormatting>
  <conditionalFormatting sqref="B778:E778">
    <cfRule type="containsText" dxfId="13" priority="18" operator="containsText" text="m2">
      <formula>NOT(ISERROR(SEARCH("m2",B778)))</formula>
    </cfRule>
  </conditionalFormatting>
  <conditionalFormatting sqref="F786">
    <cfRule type="containsText" dxfId="12" priority="14" operator="containsText" text="TOTAL">
      <formula>NOT(ISERROR(SEARCH("TOTAL",F786)))</formula>
    </cfRule>
  </conditionalFormatting>
  <conditionalFormatting sqref="B786">
    <cfRule type="containsText" dxfId="11" priority="13" operator="containsText" text="m2">
      <formula>NOT(ISERROR(SEARCH("m2",B786)))</formula>
    </cfRule>
  </conditionalFormatting>
  <conditionalFormatting sqref="B864">
    <cfRule type="containsText" dxfId="10" priority="12" operator="containsText" text="m2">
      <formula>NOT(ISERROR(SEARCH("m2",B864)))</formula>
    </cfRule>
  </conditionalFormatting>
  <conditionalFormatting sqref="F2295">
    <cfRule type="containsText" dxfId="9" priority="10" operator="containsText" text="TOTAL">
      <formula>NOT(ISERROR(SEARCH("TOTAL",F2295)))</formula>
    </cfRule>
  </conditionalFormatting>
  <conditionalFormatting sqref="D2295">
    <cfRule type="containsText" dxfId="8" priority="9" operator="containsText" text="TOTAL">
      <formula>NOT(ISERROR(SEARCH("TOTAL",D2295)))</formula>
    </cfRule>
  </conditionalFormatting>
  <conditionalFormatting sqref="B2296:E2296">
    <cfRule type="containsText" dxfId="7" priority="7" operator="containsText" text="m2">
      <formula>NOT(ISERROR(SEARCH("m2",B2296)))</formula>
    </cfRule>
  </conditionalFormatting>
  <conditionalFormatting sqref="F2296">
    <cfRule type="containsText" dxfId="6" priority="8" operator="containsText" text="TOTAL">
      <formula>NOT(ISERROR(SEARCH("TOTAL",F2296)))</formula>
    </cfRule>
  </conditionalFormatting>
  <conditionalFormatting sqref="B628">
    <cfRule type="containsText" dxfId="5" priority="6" operator="containsText" text="m2">
      <formula>NOT(ISERROR(SEARCH("m2",B628)))</formula>
    </cfRule>
  </conditionalFormatting>
  <conditionalFormatting sqref="F628">
    <cfRule type="containsText" dxfId="4" priority="5" operator="containsText" text="TOTAL">
      <formula>NOT(ISERROR(SEARCH("TOTAL",F628)))</formula>
    </cfRule>
  </conditionalFormatting>
  <conditionalFormatting sqref="A1871">
    <cfRule type="containsText" dxfId="3" priority="4" operator="containsText" text="m2">
      <formula>NOT(ISERROR(SEARCH("m2",A1871)))</formula>
    </cfRule>
  </conditionalFormatting>
  <conditionalFormatting sqref="A1916">
    <cfRule type="containsText" dxfId="2" priority="3" operator="containsText" text="m2">
      <formula>NOT(ISERROR(SEARCH("m2",A1916)))</formula>
    </cfRule>
  </conditionalFormatting>
  <conditionalFormatting sqref="A1931">
    <cfRule type="containsText" dxfId="1" priority="2" operator="containsText" text="m2">
      <formula>NOT(ISERROR(SEARCH("m2",A1931)))</formula>
    </cfRule>
  </conditionalFormatting>
  <conditionalFormatting sqref="B2268">
    <cfRule type="containsText" dxfId="0" priority="1" operator="containsText" text="m2">
      <formula>NOT(ISERROR(SEARCH("m2",B2268)))</formula>
    </cfRule>
  </conditionalFormatting>
  <printOptions horizontalCentered="1"/>
  <pageMargins left="0.23622047244094491" right="0.23622047244094491" top="0.19685039370078741" bottom="0.39370078740157483" header="0.31496062992125984" footer="0.31496062992125984"/>
  <pageSetup paperSize="9" scale="90" fitToWidth="0" fitToHeight="0" orientation="landscape" horizontalDpi="4294967293" verticalDpi="4294967293" r:id="rId1"/>
  <ignoredErrors>
    <ignoredError sqref="F1571 F2022 F2025 F2028 F2031 F2034 F2037 F2040 F2043 F2046 D722 F792 F795 F798 F801 D1253 F1252:F1254 F1260 F1265 F1271 F1277 F1288 F1294 F1300 F1317 F1334 F1375:F1376 F1383 F1388:F1389 F1394:F1395 F1400:F1401 F1406:F1407 F1412:F1413 F1418:F1419 F1440:F1441 F1460:F1461 F1515 F1951 F1954 F1957 F1960 F1963 F1966 F1969 F1972 D1980 F1982 F1985 D1988 F1990 F1993 F1996 F1999 F2002 F2005 F2008 D2011 F2013 F2049 F2057 F2060 F2063 F2066 F2069 F2072 F2075 F2078 F2081 F2084 F2087 F2090 D2112 D2115 D2122 D2141 F2162 F2165 F2168 F2171 F2174 F2177 F2182 F2185 F2188 F2191 F2198 F2201 F2204 F2207 F2210 F2213 F2216 F2219 F2222 F2225 F2228 F2231 F2234 F2237 D2252:D2253 F2278 F2277 F2159 D947 F1800 D1812 D1817 D1821 D1840 F1925"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2</vt:i4>
      </vt:variant>
    </vt:vector>
  </HeadingPairs>
  <TitlesOfParts>
    <vt:vector size="4" baseType="lpstr">
      <vt:lpstr>ORÇAMENTO</vt:lpstr>
      <vt:lpstr>MEMÓRIA DE CÁLCULO</vt:lpstr>
      <vt:lpstr>ORÇAMENTO!Area_de_impressao</vt:lpstr>
      <vt:lpstr>ORÇAMENTO!Titulos_de_impressao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Usuário do Windows</dc:creator>
  <cp:lastModifiedBy>user</cp:lastModifiedBy>
  <cp:lastPrinted>2019-07-29T19:55:11Z</cp:lastPrinted>
  <dcterms:created xsi:type="dcterms:W3CDTF">2017-11-14T15:22:18Z</dcterms:created>
  <dcterms:modified xsi:type="dcterms:W3CDTF">2019-08-27T16:27:15Z</dcterms:modified>
</cp:coreProperties>
</file>