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65" windowWidth="22440" windowHeight="13740"/>
  </bookViews>
  <sheets>
    <sheet name="Orçamento" sheetId="2" r:id="rId1"/>
    <sheet name="Memória de cálculo" sheetId="1" r:id="rId2"/>
    <sheet name="Cronograma" sheetId="3" r:id="rId3"/>
    <sheet name="COMPOSIÇÃO BDI" sheetId="5" r:id="rId4"/>
  </sheets>
  <definedNames>
    <definedName name="_xlnm.Print_Area" localSheetId="3">'COMPOSIÇÃO BDI'!$C$2:$E$33</definedName>
    <definedName name="_xlnm.Print_Area" localSheetId="2">Cronograma!$B$2:$Y$40</definedName>
    <definedName name="_xlnm.Print_Area" localSheetId="1">'Memória de cálculo'!$B$2:$H$1076</definedName>
    <definedName name="_xlnm.Print_Area" localSheetId="0">Orçamento!$B$2:$J$166</definedName>
    <definedName name="_xlnm.Print_Titles" localSheetId="0">Orçamento!$10:$10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8" i="1" l="1"/>
  <c r="W30" i="3" l="1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H511" i="1"/>
  <c r="F139" i="2" s="1"/>
  <c r="J139" i="2" s="1"/>
  <c r="H510" i="1"/>
  <c r="H509" i="1"/>
  <c r="H507" i="1"/>
  <c r="F138" i="2" s="1"/>
  <c r="J138" i="2" s="1"/>
  <c r="J140" i="2" s="1"/>
  <c r="K140" i="2" s="1"/>
  <c r="X30" i="3" s="1"/>
  <c r="H506" i="1"/>
  <c r="H1067" i="1" l="1"/>
  <c r="H302" i="1"/>
  <c r="F93" i="2"/>
  <c r="J93" i="2" s="1"/>
  <c r="H280" i="1"/>
  <c r="F80" i="2" s="1"/>
  <c r="J80" i="2" s="1"/>
  <c r="H275" i="1"/>
  <c r="F77" i="2" s="1"/>
  <c r="J77" i="2" s="1"/>
  <c r="H119" i="1"/>
  <c r="H118" i="1"/>
  <c r="H115" i="1"/>
  <c r="H116" i="1" s="1"/>
  <c r="H114" i="1"/>
  <c r="H111" i="1"/>
  <c r="H110" i="1"/>
  <c r="F154" i="2"/>
  <c r="J154" i="2" s="1"/>
  <c r="H745" i="1"/>
  <c r="H746" i="1" s="1"/>
  <c r="E409" i="1"/>
  <c r="H409" i="1" s="1"/>
  <c r="H410" i="1" s="1"/>
  <c r="E406" i="1"/>
  <c r="H406" i="1" s="1"/>
  <c r="H407" i="1" s="1"/>
  <c r="E369" i="1"/>
  <c r="H369" i="1" s="1"/>
  <c r="H370" i="1" s="1"/>
  <c r="E366" i="1"/>
  <c r="H366" i="1" s="1"/>
  <c r="H367" i="1" s="1"/>
  <c r="E75" i="1"/>
  <c r="H75" i="1" s="1"/>
  <c r="H76" i="1" s="1"/>
  <c r="E72" i="1"/>
  <c r="H72" i="1" s="1"/>
  <c r="H73" i="1" s="1"/>
  <c r="H112" i="1" l="1"/>
  <c r="H120" i="1"/>
  <c r="H121" i="1" s="1"/>
  <c r="F32" i="2" s="1"/>
  <c r="J32" i="2" s="1"/>
  <c r="H48" i="1"/>
  <c r="C31" i="5" l="1"/>
  <c r="H236" i="1" l="1"/>
  <c r="H239" i="1"/>
  <c r="E196" i="1" l="1"/>
  <c r="H196" i="1" s="1"/>
  <c r="H197" i="1" s="1"/>
  <c r="F50" i="2" s="1"/>
  <c r="J50" i="2" s="1"/>
  <c r="H124" i="1"/>
  <c r="H125" i="1"/>
  <c r="H123" i="1"/>
  <c r="F103" i="1"/>
  <c r="H103" i="1" s="1"/>
  <c r="F102" i="1"/>
  <c r="H102" i="1" s="1"/>
  <c r="F101" i="1"/>
  <c r="H101" i="1" s="1"/>
  <c r="G305" i="1"/>
  <c r="H305" i="1" s="1"/>
  <c r="G306" i="1"/>
  <c r="H306" i="1" s="1"/>
  <c r="G304" i="1"/>
  <c r="H304" i="1" s="1"/>
  <c r="H230" i="1"/>
  <c r="H229" i="1"/>
  <c r="H228" i="1"/>
  <c r="H227" i="1"/>
  <c r="H226" i="1"/>
  <c r="H225" i="1"/>
  <c r="H218" i="1"/>
  <c r="H219" i="1"/>
  <c r="H220" i="1"/>
  <c r="H221" i="1"/>
  <c r="H222" i="1"/>
  <c r="H217" i="1"/>
  <c r="H210" i="1"/>
  <c r="H211" i="1"/>
  <c r="H212" i="1"/>
  <c r="H213" i="1"/>
  <c r="H214" i="1"/>
  <c r="H209" i="1"/>
  <c r="H205" i="1"/>
  <c r="H206" i="1"/>
  <c r="H204" i="1"/>
  <c r="H201" i="1"/>
  <c r="H200" i="1"/>
  <c r="H199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78" i="1"/>
  <c r="H179" i="1"/>
  <c r="H177" i="1"/>
  <c r="E167" i="1"/>
  <c r="H167" i="1" s="1"/>
  <c r="E161" i="1"/>
  <c r="H161" i="1" s="1"/>
  <c r="E151" i="1"/>
  <c r="H151" i="1" s="1"/>
  <c r="E143" i="1"/>
  <c r="H143" i="1" s="1"/>
  <c r="E106" i="1"/>
  <c r="H157" i="1"/>
  <c r="H158" i="1"/>
  <c r="H159" i="1"/>
  <c r="H160" i="1"/>
  <c r="H150" i="1"/>
  <c r="H149" i="1"/>
  <c r="H148" i="1"/>
  <c r="H147" i="1"/>
  <c r="H146" i="1"/>
  <c r="H141" i="1"/>
  <c r="H142" i="1"/>
  <c r="E174" i="1"/>
  <c r="H174" i="1" s="1"/>
  <c r="H166" i="1"/>
  <c r="H165" i="1"/>
  <c r="H164" i="1"/>
  <c r="H155" i="1"/>
  <c r="H156" i="1"/>
  <c r="H154" i="1"/>
  <c r="H139" i="1"/>
  <c r="H140" i="1"/>
  <c r="H138" i="1"/>
  <c r="H126" i="1" l="1"/>
  <c r="F33" i="2" s="1"/>
  <c r="J33" i="2" s="1"/>
  <c r="H104" i="1"/>
  <c r="F30" i="2" s="1"/>
  <c r="J30" i="2" s="1"/>
  <c r="H307" i="1"/>
  <c r="F94" i="2" s="1"/>
  <c r="J94" i="2" s="1"/>
  <c r="H231" i="1"/>
  <c r="F55" i="2" s="1"/>
  <c r="J55" i="2" s="1"/>
  <c r="H215" i="1"/>
  <c r="F53" i="2" s="1"/>
  <c r="J53" i="2" s="1"/>
  <c r="H223" i="1"/>
  <c r="F54" i="2" s="1"/>
  <c r="J54" i="2" s="1"/>
  <c r="H207" i="1"/>
  <c r="F52" i="2" s="1"/>
  <c r="J52" i="2" s="1"/>
  <c r="H202" i="1"/>
  <c r="F51" i="2" s="1"/>
  <c r="J51" i="2" s="1"/>
  <c r="H180" i="1"/>
  <c r="F48" i="2" s="1"/>
  <c r="J48" i="2" s="1"/>
  <c r="H194" i="1"/>
  <c r="F49" i="2" s="1"/>
  <c r="J49" i="2" s="1"/>
  <c r="H168" i="1"/>
  <c r="F43" i="2" s="1"/>
  <c r="J43" i="2" s="1"/>
  <c r="H152" i="1"/>
  <c r="F41" i="2" s="1"/>
  <c r="J41" i="2" s="1"/>
  <c r="H144" i="1"/>
  <c r="F40" i="2" s="1"/>
  <c r="J40" i="2" s="1"/>
  <c r="H162" i="1"/>
  <c r="F42" i="2" s="1"/>
  <c r="J42" i="2" s="1"/>
  <c r="H58" i="1"/>
  <c r="H57" i="1"/>
  <c r="E56" i="1"/>
  <c r="H56" i="1" s="1"/>
  <c r="H53" i="1"/>
  <c r="E51" i="1"/>
  <c r="E173" i="1"/>
  <c r="H173" i="1" s="1"/>
  <c r="E172" i="1"/>
  <c r="H172" i="1" s="1"/>
  <c r="E429" i="1"/>
  <c r="H429" i="1" s="1"/>
  <c r="H430" i="1" s="1"/>
  <c r="F129" i="2" s="1"/>
  <c r="J129" i="2" s="1"/>
  <c r="E1069" i="1"/>
  <c r="E845" i="1"/>
  <c r="H845" i="1" s="1"/>
  <c r="E623" i="1"/>
  <c r="H623" i="1" s="1"/>
  <c r="E622" i="1"/>
  <c r="E844" i="1"/>
  <c r="H844" i="1" s="1"/>
  <c r="D32" i="5"/>
  <c r="D31" i="5"/>
  <c r="T26" i="3"/>
  <c r="W32" i="3"/>
  <c r="W31" i="3"/>
  <c r="R31" i="3"/>
  <c r="S31" i="3"/>
  <c r="T31" i="3"/>
  <c r="U31" i="3"/>
  <c r="V31" i="3"/>
  <c r="Q31" i="3"/>
  <c r="P29" i="3"/>
  <c r="Q29" i="3"/>
  <c r="O29" i="3"/>
  <c r="S25" i="3"/>
  <c r="R25" i="3"/>
  <c r="Q28" i="3"/>
  <c r="P28" i="3"/>
  <c r="P27" i="3"/>
  <c r="O27" i="3"/>
  <c r="Q24" i="3"/>
  <c r="P24" i="3"/>
  <c r="O23" i="3"/>
  <c r="N23" i="3"/>
  <c r="N22" i="3"/>
  <c r="O22" i="3"/>
  <c r="M22" i="3"/>
  <c r="N21" i="3"/>
  <c r="K20" i="3"/>
  <c r="J20" i="3"/>
  <c r="R19" i="3"/>
  <c r="Q19" i="3"/>
  <c r="L18" i="3"/>
  <c r="M18" i="3"/>
  <c r="K18" i="3"/>
  <c r="J17" i="3"/>
  <c r="I17" i="3"/>
  <c r="I16" i="3"/>
  <c r="H16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D15" i="3"/>
  <c r="E14" i="3"/>
  <c r="F14" i="3"/>
  <c r="G14" i="3"/>
  <c r="H14" i="3"/>
  <c r="I14" i="3"/>
  <c r="D14" i="3"/>
  <c r="C32" i="3"/>
  <c r="C31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G316" i="1"/>
  <c r="E316" i="1"/>
  <c r="E719" i="1"/>
  <c r="H719" i="1" s="1"/>
  <c r="E720" i="1"/>
  <c r="H296" i="1"/>
  <c r="H295" i="1"/>
  <c r="H293" i="1"/>
  <c r="E294" i="1"/>
  <c r="H294" i="1" s="1"/>
  <c r="H1052" i="1"/>
  <c r="H1051" i="1"/>
  <c r="E843" i="1"/>
  <c r="H847" i="1"/>
  <c r="H840" i="1"/>
  <c r="H839" i="1"/>
  <c r="E838" i="1"/>
  <c r="H838" i="1" s="1"/>
  <c r="E616" i="1"/>
  <c r="E621" i="1"/>
  <c r="H618" i="1"/>
  <c r="H617" i="1"/>
  <c r="H616" i="1"/>
  <c r="H774" i="1"/>
  <c r="H773" i="1"/>
  <c r="E772" i="1"/>
  <c r="H772" i="1" s="1"/>
  <c r="H771" i="1"/>
  <c r="H770" i="1"/>
  <c r="E769" i="1"/>
  <c r="H769" i="1" s="1"/>
  <c r="H417" i="1"/>
  <c r="H416" i="1"/>
  <c r="E415" i="1"/>
  <c r="H415" i="1" s="1"/>
  <c r="H414" i="1"/>
  <c r="H413" i="1"/>
  <c r="E412" i="1"/>
  <c r="H412" i="1" s="1"/>
  <c r="E375" i="1"/>
  <c r="H375" i="1" s="1"/>
  <c r="H377" i="1"/>
  <c r="H376" i="1"/>
  <c r="H374" i="1"/>
  <c r="H373" i="1"/>
  <c r="E372" i="1"/>
  <c r="H372" i="1" s="1"/>
  <c r="H351" i="1"/>
  <c r="H352" i="1" s="1"/>
  <c r="F115" i="2" s="1"/>
  <c r="J115" i="2" s="1"/>
  <c r="J116" i="2" s="1"/>
  <c r="K116" i="2" s="1"/>
  <c r="X26" i="3" s="1"/>
  <c r="H346" i="1"/>
  <c r="H347" i="1" s="1"/>
  <c r="F111" i="2" s="1"/>
  <c r="J111" i="2" s="1"/>
  <c r="H343" i="1"/>
  <c r="H135" i="1"/>
  <c r="E132" i="1"/>
  <c r="H132" i="1" s="1"/>
  <c r="H133" i="1" s="1"/>
  <c r="H129" i="1"/>
  <c r="H130" i="1" s="1"/>
  <c r="F37" i="2" s="1"/>
  <c r="J37" i="2" s="1"/>
  <c r="H106" i="1"/>
  <c r="H107" i="1" s="1"/>
  <c r="F31" i="2" s="1"/>
  <c r="J31" i="2" s="1"/>
  <c r="H136" i="1" l="1"/>
  <c r="F39" i="2" s="1"/>
  <c r="J39" i="2" s="1"/>
  <c r="J95" i="2"/>
  <c r="K95" i="2" s="1"/>
  <c r="X22" i="3" s="1"/>
  <c r="J34" i="2"/>
  <c r="K34" i="2" s="1"/>
  <c r="X16" i="3" s="1"/>
  <c r="H175" i="1"/>
  <c r="H59" i="1"/>
  <c r="H619" i="1"/>
  <c r="H297" i="1"/>
  <c r="F89" i="2" s="1"/>
  <c r="J89" i="2" s="1"/>
  <c r="J90" i="2" s="1"/>
  <c r="K90" i="2" s="1"/>
  <c r="X21" i="3" s="1"/>
  <c r="F47" i="2"/>
  <c r="J47" i="2" s="1"/>
  <c r="H1053" i="1"/>
  <c r="H841" i="1"/>
  <c r="H378" i="1"/>
  <c r="H775" i="1"/>
  <c r="H418" i="1"/>
  <c r="F38" i="2"/>
  <c r="J38" i="2" s="1"/>
  <c r="H311" i="1"/>
  <c r="H312" i="1" s="1"/>
  <c r="F98" i="2" s="1"/>
  <c r="J98" i="2" s="1"/>
  <c r="H501" i="1"/>
  <c r="H502" i="1" s="1"/>
  <c r="F134" i="2" s="1"/>
  <c r="J134" i="2" s="1"/>
  <c r="H498" i="1"/>
  <c r="H499" i="1" s="1"/>
  <c r="F133" i="2" s="1"/>
  <c r="J133" i="2" s="1"/>
  <c r="H44" i="1"/>
  <c r="H493" i="1"/>
  <c r="H489" i="1"/>
  <c r="H491" i="1" s="1"/>
  <c r="H486" i="1"/>
  <c r="H487" i="1" s="1"/>
  <c r="H482" i="1"/>
  <c r="H484" i="1" s="1"/>
  <c r="H478" i="1"/>
  <c r="H480" i="1" s="1"/>
  <c r="H474" i="1"/>
  <c r="H476" i="1" s="1"/>
  <c r="H470" i="1"/>
  <c r="H472" i="1" s="1"/>
  <c r="H466" i="1"/>
  <c r="H494" i="1"/>
  <c r="H467" i="1"/>
  <c r="H463" i="1"/>
  <c r="H462" i="1"/>
  <c r="H459" i="1"/>
  <c r="H458" i="1"/>
  <c r="H455" i="1"/>
  <c r="H454" i="1"/>
  <c r="H495" i="1"/>
  <c r="H451" i="1"/>
  <c r="H450" i="1"/>
  <c r="H424" i="1"/>
  <c r="H322" i="1"/>
  <c r="H323" i="1" s="1"/>
  <c r="F104" i="2" s="1"/>
  <c r="J104" i="2" s="1"/>
  <c r="H325" i="1"/>
  <c r="H326" i="1" s="1"/>
  <c r="F105" i="2" s="1"/>
  <c r="J105" i="2" s="1"/>
  <c r="H319" i="1"/>
  <c r="H320" i="1" s="1"/>
  <c r="F103" i="2" s="1"/>
  <c r="J103" i="2" s="1"/>
  <c r="H316" i="1"/>
  <c r="H317" i="1" s="1"/>
  <c r="F102" i="2" s="1"/>
  <c r="J102" i="2" s="1"/>
  <c r="E79" i="1"/>
  <c r="H17" i="1"/>
  <c r="H18" i="1" s="1"/>
  <c r="F14" i="2" s="1"/>
  <c r="J14" i="2" s="1"/>
  <c r="H14" i="1"/>
  <c r="H15" i="1" s="1"/>
  <c r="H1060" i="1"/>
  <c r="H1058" i="1"/>
  <c r="H1059" i="1"/>
  <c r="H254" i="1"/>
  <c r="F65" i="2" s="1"/>
  <c r="J65" i="2" s="1"/>
  <c r="H251" i="1"/>
  <c r="F64" i="2" s="1"/>
  <c r="J64" i="2" s="1"/>
  <c r="H248" i="1"/>
  <c r="F63" i="2" s="1"/>
  <c r="J63" i="2" s="1"/>
  <c r="H245" i="1"/>
  <c r="F62" i="2" s="1"/>
  <c r="J62" i="2" s="1"/>
  <c r="H242" i="1"/>
  <c r="F61" i="2" s="1"/>
  <c r="J61" i="2" s="1"/>
  <c r="F60" i="2"/>
  <c r="J60" i="2" s="1"/>
  <c r="F59" i="2"/>
  <c r="J59" i="2" s="1"/>
  <c r="H971" i="1"/>
  <c r="H972" i="1" s="1"/>
  <c r="E718" i="1"/>
  <c r="H708" i="1"/>
  <c r="E706" i="1"/>
  <c r="H85" i="1"/>
  <c r="F21" i="2" s="1"/>
  <c r="J21" i="2" s="1"/>
  <c r="H288" i="1"/>
  <c r="F85" i="2" s="1"/>
  <c r="J85" i="2" s="1"/>
  <c r="H283" i="1"/>
  <c r="F82" i="2" s="1"/>
  <c r="J82" i="2" s="1"/>
  <c r="H277" i="1"/>
  <c r="F78" i="2" s="1"/>
  <c r="J78" i="2" s="1"/>
  <c r="H432" i="1"/>
  <c r="H433" i="1" s="1"/>
  <c r="F130" i="2" s="1"/>
  <c r="J130" i="2" s="1"/>
  <c r="J44" i="2" l="1"/>
  <c r="F13" i="2"/>
  <c r="J13" i="2" s="1"/>
  <c r="E91" i="1"/>
  <c r="H91" i="1" s="1"/>
  <c r="J56" i="2"/>
  <c r="K56" i="2" s="1"/>
  <c r="X18" i="3" s="1"/>
  <c r="K44" i="2"/>
  <c r="X17" i="3" s="1"/>
  <c r="E92" i="1"/>
  <c r="H92" i="1" s="1"/>
  <c r="H460" i="1"/>
  <c r="H452" i="1"/>
  <c r="H456" i="1"/>
  <c r="H464" i="1"/>
  <c r="H468" i="1"/>
  <c r="J99" i="2"/>
  <c r="K99" i="2" s="1"/>
  <c r="X23" i="3" s="1"/>
  <c r="J66" i="2"/>
  <c r="K66" i="2" s="1"/>
  <c r="X19" i="3" s="1"/>
  <c r="H1061" i="1"/>
  <c r="H79" i="1"/>
  <c r="H80" i="1" s="1"/>
  <c r="F19" i="2" s="1"/>
  <c r="J19" i="2" s="1"/>
  <c r="E446" i="1"/>
  <c r="H446" i="1" s="1"/>
  <c r="H445" i="1"/>
  <c r="H444" i="1"/>
  <c r="H443" i="1"/>
  <c r="H442" i="1"/>
  <c r="H441" i="1"/>
  <c r="H440" i="1"/>
  <c r="H439" i="1"/>
  <c r="H438" i="1"/>
  <c r="H437" i="1"/>
  <c r="H436" i="1"/>
  <c r="H435" i="1"/>
  <c r="E43" i="1"/>
  <c r="H43" i="1" s="1"/>
  <c r="H41" i="1"/>
  <c r="H34" i="1"/>
  <c r="H35" i="1"/>
  <c r="H36" i="1"/>
  <c r="H37" i="1"/>
  <c r="H38" i="1"/>
  <c r="H39" i="1"/>
  <c r="H40" i="1"/>
  <c r="H42" i="1"/>
  <c r="H286" i="1"/>
  <c r="F84" i="2" s="1"/>
  <c r="J84" i="2" s="1"/>
  <c r="H328" i="1"/>
  <c r="H329" i="1" s="1"/>
  <c r="F106" i="2" s="1"/>
  <c r="H363" i="1"/>
  <c r="H364" i="1" s="1"/>
  <c r="H360" i="1"/>
  <c r="H359" i="1"/>
  <c r="H358" i="1"/>
  <c r="E357" i="1"/>
  <c r="H357" i="1" s="1"/>
  <c r="H766" i="1"/>
  <c r="H765" i="1"/>
  <c r="E762" i="1"/>
  <c r="H762" i="1" s="1"/>
  <c r="H763" i="1" s="1"/>
  <c r="E759" i="1"/>
  <c r="H759" i="1" s="1"/>
  <c r="H760" i="1" s="1"/>
  <c r="H756" i="1"/>
  <c r="H757" i="1" s="1"/>
  <c r="H753" i="1"/>
  <c r="H752" i="1"/>
  <c r="H751" i="1"/>
  <c r="E750" i="1"/>
  <c r="H750" i="1" s="1"/>
  <c r="F153" i="2"/>
  <c r="H742" i="1"/>
  <c r="H741" i="1"/>
  <c r="H403" i="1"/>
  <c r="H404" i="1" s="1"/>
  <c r="H400" i="1"/>
  <c r="H399" i="1"/>
  <c r="H398" i="1"/>
  <c r="E397" i="1"/>
  <c r="H397" i="1" s="1"/>
  <c r="H69" i="1"/>
  <c r="H70" i="1" s="1"/>
  <c r="E63" i="1"/>
  <c r="H63" i="1" s="1"/>
  <c r="E899" i="1"/>
  <c r="H899" i="1" s="1"/>
  <c r="E691" i="1"/>
  <c r="H66" i="1"/>
  <c r="H65" i="1"/>
  <c r="H64" i="1"/>
  <c r="H835" i="1"/>
  <c r="H834" i="1"/>
  <c r="H830" i="1"/>
  <c r="H829" i="1"/>
  <c r="H913" i="1"/>
  <c r="H914" i="1" s="1"/>
  <c r="H910" i="1"/>
  <c r="E909" i="1"/>
  <c r="H909" i="1" s="1"/>
  <c r="H906" i="1"/>
  <c r="E905" i="1"/>
  <c r="H905" i="1" s="1"/>
  <c r="H902" i="1"/>
  <c r="H901" i="1"/>
  <c r="H900" i="1"/>
  <c r="H896" i="1"/>
  <c r="H895" i="1"/>
  <c r="H894" i="1"/>
  <c r="E893" i="1"/>
  <c r="H893" i="1" s="1"/>
  <c r="H892" i="1"/>
  <c r="H891" i="1"/>
  <c r="H888" i="1"/>
  <c r="H887" i="1"/>
  <c r="E886" i="1"/>
  <c r="H886" i="1" s="1"/>
  <c r="H883" i="1"/>
  <c r="E882" i="1"/>
  <c r="H882" i="1" s="1"/>
  <c r="H879" i="1"/>
  <c r="H878" i="1"/>
  <c r="E877" i="1"/>
  <c r="H877" i="1" s="1"/>
  <c r="H874" i="1"/>
  <c r="H873" i="1"/>
  <c r="E872" i="1"/>
  <c r="H872" i="1" s="1"/>
  <c r="H869" i="1"/>
  <c r="H868" i="1"/>
  <c r="E867" i="1"/>
  <c r="H867" i="1" s="1"/>
  <c r="H864" i="1"/>
  <c r="E863" i="1"/>
  <c r="H863" i="1" s="1"/>
  <c r="H860" i="1"/>
  <c r="H859" i="1"/>
  <c r="E858" i="1"/>
  <c r="H858" i="1" s="1"/>
  <c r="H855" i="1"/>
  <c r="H854" i="1"/>
  <c r="E853" i="1"/>
  <c r="H853" i="1" s="1"/>
  <c r="H850" i="1"/>
  <c r="H849" i="1"/>
  <c r="H848" i="1"/>
  <c r="H846" i="1"/>
  <c r="H843" i="1"/>
  <c r="E833" i="1"/>
  <c r="H833" i="1" s="1"/>
  <c r="E828" i="1"/>
  <c r="H828" i="1" s="1"/>
  <c r="H825" i="1"/>
  <c r="H824" i="1"/>
  <c r="E823" i="1"/>
  <c r="H823" i="1" s="1"/>
  <c r="H820" i="1"/>
  <c r="H819" i="1"/>
  <c r="E818" i="1"/>
  <c r="H818" i="1" s="1"/>
  <c r="H815" i="1"/>
  <c r="H814" i="1"/>
  <c r="E813" i="1"/>
  <c r="H813" i="1" s="1"/>
  <c r="H810" i="1"/>
  <c r="H809" i="1"/>
  <c r="E808" i="1"/>
  <c r="H808" i="1" s="1"/>
  <c r="H805" i="1"/>
  <c r="H804" i="1"/>
  <c r="E803" i="1"/>
  <c r="H803" i="1" s="1"/>
  <c r="H800" i="1"/>
  <c r="E799" i="1"/>
  <c r="H799" i="1" s="1"/>
  <c r="H796" i="1"/>
  <c r="H795" i="1"/>
  <c r="E794" i="1"/>
  <c r="H794" i="1" s="1"/>
  <c r="H791" i="1"/>
  <c r="H790" i="1"/>
  <c r="E789" i="1"/>
  <c r="H789" i="1" s="1"/>
  <c r="H786" i="1"/>
  <c r="H785" i="1"/>
  <c r="E784" i="1"/>
  <c r="H784" i="1" s="1"/>
  <c r="H781" i="1"/>
  <c r="H780" i="1"/>
  <c r="E779" i="1"/>
  <c r="H779" i="1" s="1"/>
  <c r="H736" i="1"/>
  <c r="H735" i="1"/>
  <c r="H734" i="1"/>
  <c r="H733" i="1"/>
  <c r="H732" i="1"/>
  <c r="H731" i="1"/>
  <c r="H730" i="1"/>
  <c r="H726" i="1"/>
  <c r="H727" i="1"/>
  <c r="H728" i="1"/>
  <c r="H632" i="1"/>
  <c r="H613" i="1"/>
  <c r="H612" i="1"/>
  <c r="H606" i="1"/>
  <c r="H605" i="1"/>
  <c r="H599" i="1"/>
  <c r="H598" i="1"/>
  <c r="H592" i="1"/>
  <c r="H591" i="1"/>
  <c r="H1016" i="1"/>
  <c r="H1055" i="1"/>
  <c r="H1056" i="1" s="1"/>
  <c r="H1048" i="1"/>
  <c r="H1047" i="1"/>
  <c r="H1043" i="1"/>
  <c r="H1042" i="1"/>
  <c r="H1038" i="1"/>
  <c r="H1037" i="1"/>
  <c r="H1033" i="1"/>
  <c r="H1032" i="1"/>
  <c r="H1027" i="1"/>
  <c r="H1028" i="1"/>
  <c r="H1024" i="1"/>
  <c r="H1020" i="1"/>
  <c r="H1012" i="1"/>
  <c r="H1008" i="1"/>
  <c r="H1004" i="1"/>
  <c r="H1000" i="1"/>
  <c r="H999" i="1"/>
  <c r="H994" i="1"/>
  <c r="H995" i="1"/>
  <c r="H989" i="1"/>
  <c r="H990" i="1"/>
  <c r="H985" i="1"/>
  <c r="H980" i="1"/>
  <c r="H975" i="1"/>
  <c r="H968" i="1"/>
  <c r="H964" i="1"/>
  <c r="H959" i="1"/>
  <c r="H955" i="1"/>
  <c r="H956" i="1" s="1"/>
  <c r="H952" i="1"/>
  <c r="H948" i="1"/>
  <c r="H944" i="1"/>
  <c r="H939" i="1"/>
  <c r="H934" i="1"/>
  <c r="H930" i="1"/>
  <c r="H923" i="1"/>
  <c r="H919" i="1"/>
  <c r="H963" i="1"/>
  <c r="H962" i="1"/>
  <c r="H943" i="1"/>
  <c r="H938" i="1"/>
  <c r="H1046" i="1"/>
  <c r="H1041" i="1"/>
  <c r="H1036" i="1"/>
  <c r="H1031" i="1"/>
  <c r="H1023" i="1"/>
  <c r="H1019" i="1"/>
  <c r="H1015" i="1"/>
  <c r="H1017" i="1" s="1"/>
  <c r="H1011" i="1"/>
  <c r="H1007" i="1"/>
  <c r="H1003" i="1"/>
  <c r="H998" i="1"/>
  <c r="H993" i="1"/>
  <c r="H988" i="1"/>
  <c r="H984" i="1"/>
  <c r="H983" i="1"/>
  <c r="H979" i="1"/>
  <c r="H978" i="1"/>
  <c r="H974" i="1"/>
  <c r="H967" i="1"/>
  <c r="H496" i="1" l="1"/>
  <c r="F132" i="2" s="1"/>
  <c r="J132" i="2" s="1"/>
  <c r="H851" i="1"/>
  <c r="H447" i="1"/>
  <c r="F131" i="2" s="1"/>
  <c r="H361" i="1"/>
  <c r="H379" i="1" s="1"/>
  <c r="H743" i="1"/>
  <c r="H754" i="1"/>
  <c r="H767" i="1"/>
  <c r="H401" i="1"/>
  <c r="H419" i="1" s="1"/>
  <c r="H67" i="1"/>
  <c r="H77" i="1" s="1"/>
  <c r="H836" i="1"/>
  <c r="H826" i="1"/>
  <c r="H831" i="1"/>
  <c r="H821" i="1"/>
  <c r="H816" i="1"/>
  <c r="H811" i="1"/>
  <c r="H806" i="1"/>
  <c r="H797" i="1"/>
  <c r="H801" i="1"/>
  <c r="H792" i="1"/>
  <c r="H787" i="1"/>
  <c r="H782" i="1"/>
  <c r="H884" i="1"/>
  <c r="H865" i="1"/>
  <c r="H911" i="1"/>
  <c r="H915" i="1" s="1"/>
  <c r="H880" i="1"/>
  <c r="H903" i="1"/>
  <c r="H861" i="1"/>
  <c r="H889" i="1"/>
  <c r="H856" i="1"/>
  <c r="H870" i="1"/>
  <c r="H907" i="1"/>
  <c r="H1009" i="1"/>
  <c r="H875" i="1"/>
  <c r="H897" i="1"/>
  <c r="H1049" i="1"/>
  <c r="H1029" i="1"/>
  <c r="H969" i="1"/>
  <c r="H1001" i="1"/>
  <c r="H996" i="1"/>
  <c r="H1025" i="1"/>
  <c r="H1005" i="1"/>
  <c r="H976" i="1"/>
  <c r="H1021" i="1"/>
  <c r="H1044" i="1"/>
  <c r="H991" i="1"/>
  <c r="H1034" i="1"/>
  <c r="H1013" i="1"/>
  <c r="H981" i="1"/>
  <c r="H986" i="1"/>
  <c r="H1039" i="1"/>
  <c r="H965" i="1"/>
  <c r="H423" i="1"/>
  <c r="H958" i="1"/>
  <c r="H960" i="1" s="1"/>
  <c r="H951" i="1"/>
  <c r="H953" i="1" s="1"/>
  <c r="H947" i="1"/>
  <c r="H949" i="1" s="1"/>
  <c r="H942" i="1"/>
  <c r="H945" i="1" s="1"/>
  <c r="H937" i="1"/>
  <c r="H940" i="1" s="1"/>
  <c r="H933" i="1"/>
  <c r="H935" i="1" s="1"/>
  <c r="H929" i="1"/>
  <c r="H931" i="1" s="1"/>
  <c r="H926" i="1"/>
  <c r="H927" i="1" s="1"/>
  <c r="H922" i="1"/>
  <c r="H924" i="1" s="1"/>
  <c r="H918" i="1"/>
  <c r="H920" i="1" s="1"/>
  <c r="H392" i="1"/>
  <c r="E391" i="1"/>
  <c r="H391" i="1" s="1"/>
  <c r="H388" i="1"/>
  <c r="E387" i="1"/>
  <c r="H387" i="1" s="1"/>
  <c r="H33" i="1"/>
  <c r="H32" i="1"/>
  <c r="F148" i="2"/>
  <c r="J148" i="2" s="1"/>
  <c r="H1071" i="1"/>
  <c r="E1070" i="1"/>
  <c r="H1070" i="1" s="1"/>
  <c r="H1069" i="1"/>
  <c r="H1062" i="1" l="1"/>
  <c r="F147" i="2" s="1"/>
  <c r="J147" i="2" s="1"/>
  <c r="H747" i="1"/>
  <c r="F144" i="2" s="1"/>
  <c r="J144" i="2" s="1"/>
  <c r="H776" i="1"/>
  <c r="F145" i="2" s="1"/>
  <c r="J145" i="2" s="1"/>
  <c r="F121" i="2"/>
  <c r="J121" i="2" s="1"/>
  <c r="F119" i="2"/>
  <c r="J119" i="2" s="1"/>
  <c r="H45" i="1"/>
  <c r="F16" i="2" s="1"/>
  <c r="J16" i="2" s="1"/>
  <c r="H425" i="1"/>
  <c r="F125" i="2" s="1"/>
  <c r="J125" i="2" s="1"/>
  <c r="F18" i="2"/>
  <c r="J18" i="2" s="1"/>
  <c r="E95" i="1"/>
  <c r="H95" i="1" s="1"/>
  <c r="F146" i="2"/>
  <c r="J146" i="2" s="1"/>
  <c r="H389" i="1"/>
  <c r="H393" i="1"/>
  <c r="J131" i="2"/>
  <c r="J135" i="2" s="1"/>
  <c r="H1072" i="1"/>
  <c r="F149" i="2" s="1"/>
  <c r="J149" i="2" s="1"/>
  <c r="J106" i="2"/>
  <c r="J107" i="2" s="1"/>
  <c r="K107" i="2" s="1"/>
  <c r="X24" i="3" s="1"/>
  <c r="H342" i="1"/>
  <c r="H341" i="1"/>
  <c r="H340" i="1"/>
  <c r="H339" i="1"/>
  <c r="H338" i="1"/>
  <c r="H337" i="1"/>
  <c r="H336" i="1"/>
  <c r="H335" i="1"/>
  <c r="H334" i="1"/>
  <c r="H333" i="1"/>
  <c r="H271" i="1"/>
  <c r="F74" i="2" s="1"/>
  <c r="J74" i="2" s="1"/>
  <c r="H267" i="1"/>
  <c r="F72" i="2" s="1"/>
  <c r="J72" i="2" s="1"/>
  <c r="H261" i="1"/>
  <c r="F71" i="2" s="1"/>
  <c r="J71" i="2" s="1"/>
  <c r="H87" i="1"/>
  <c r="F22" i="2" s="1"/>
  <c r="J22" i="2" s="1"/>
  <c r="H83" i="1"/>
  <c r="F20" i="2" s="1"/>
  <c r="J20" i="2" s="1"/>
  <c r="H52" i="1"/>
  <c r="H49" i="1"/>
  <c r="H51" i="1"/>
  <c r="H21" i="1"/>
  <c r="H22" i="1"/>
  <c r="H23" i="1"/>
  <c r="H24" i="1"/>
  <c r="H25" i="1"/>
  <c r="H26" i="1"/>
  <c r="H27" i="1"/>
  <c r="H28" i="1"/>
  <c r="H29" i="1"/>
  <c r="H20" i="1"/>
  <c r="E722" i="1"/>
  <c r="H722" i="1" s="1"/>
  <c r="E723" i="1"/>
  <c r="H723" i="1" s="1"/>
  <c r="H725" i="1"/>
  <c r="H729" i="1"/>
  <c r="E724" i="1"/>
  <c r="H724" i="1" s="1"/>
  <c r="E721" i="1"/>
  <c r="H721" i="1" s="1"/>
  <c r="H720" i="1"/>
  <c r="H718" i="1"/>
  <c r="E717" i="1"/>
  <c r="H717" i="1" s="1"/>
  <c r="E716" i="1"/>
  <c r="H716" i="1" s="1"/>
  <c r="E715" i="1"/>
  <c r="H715" i="1" s="1"/>
  <c r="E714" i="1"/>
  <c r="H714" i="1" s="1"/>
  <c r="H54" i="1" l="1"/>
  <c r="K135" i="2"/>
  <c r="X29" i="3" s="1"/>
  <c r="H737" i="1"/>
  <c r="H344" i="1"/>
  <c r="F110" i="2" s="1"/>
  <c r="J110" i="2" s="1"/>
  <c r="J86" i="2"/>
  <c r="K86" i="2" s="1"/>
  <c r="X20" i="3" s="1"/>
  <c r="E96" i="1"/>
  <c r="H96" i="1" s="1"/>
  <c r="H30" i="1"/>
  <c r="H711" i="1"/>
  <c r="H712" i="1" s="1"/>
  <c r="H706" i="1"/>
  <c r="H707" i="1"/>
  <c r="E702" i="1"/>
  <c r="H702" i="1" s="1"/>
  <c r="H703" i="1"/>
  <c r="H693" i="1"/>
  <c r="E697" i="1"/>
  <c r="H697" i="1" s="1"/>
  <c r="H699" i="1"/>
  <c r="H698" i="1"/>
  <c r="H691" i="1"/>
  <c r="H694" i="1"/>
  <c r="H692" i="1"/>
  <c r="H684" i="1"/>
  <c r="E685" i="1"/>
  <c r="H685" i="1" s="1"/>
  <c r="H683" i="1"/>
  <c r="H688" i="1"/>
  <c r="H687" i="1"/>
  <c r="H686" i="1"/>
  <c r="E678" i="1"/>
  <c r="H678" i="1" s="1"/>
  <c r="H680" i="1"/>
  <c r="H679" i="1"/>
  <c r="E382" i="1"/>
  <c r="H382" i="1" s="1"/>
  <c r="H384" i="1"/>
  <c r="H383" i="1"/>
  <c r="E674" i="1"/>
  <c r="H674" i="1" s="1"/>
  <c r="H675" i="1"/>
  <c r="H671" i="1"/>
  <c r="H670" i="1"/>
  <c r="E669" i="1"/>
  <c r="H669" i="1" s="1"/>
  <c r="E664" i="1"/>
  <c r="H664" i="1" s="1"/>
  <c r="E659" i="1"/>
  <c r="H659" i="1" s="1"/>
  <c r="H661" i="1"/>
  <c r="H660" i="1"/>
  <c r="H666" i="1"/>
  <c r="H665" i="1"/>
  <c r="E655" i="1"/>
  <c r="H655" i="1" s="1"/>
  <c r="H656" i="1"/>
  <c r="E650" i="1"/>
  <c r="H650" i="1" s="1"/>
  <c r="H652" i="1"/>
  <c r="H651" i="1"/>
  <c r="E645" i="1"/>
  <c r="H645" i="1" s="1"/>
  <c r="H647" i="1"/>
  <c r="H646" i="1"/>
  <c r="H642" i="1"/>
  <c r="H641" i="1"/>
  <c r="E640" i="1"/>
  <c r="H640" i="1" s="1"/>
  <c r="E635" i="1"/>
  <c r="H635" i="1" s="1"/>
  <c r="H637" i="1"/>
  <c r="H636" i="1"/>
  <c r="E555" i="1"/>
  <c r="H555" i="1" s="1"/>
  <c r="H630" i="1"/>
  <c r="H631" i="1"/>
  <c r="H629" i="1"/>
  <c r="H628" i="1"/>
  <c r="H627" i="1"/>
  <c r="H626" i="1"/>
  <c r="H625" i="1"/>
  <c r="H624" i="1"/>
  <c r="H622" i="1"/>
  <c r="H621" i="1"/>
  <c r="H611" i="1"/>
  <c r="H610" i="1"/>
  <c r="E609" i="1"/>
  <c r="H609" i="1" s="1"/>
  <c r="H604" i="1"/>
  <c r="H603" i="1"/>
  <c r="E602" i="1"/>
  <c r="H602" i="1" s="1"/>
  <c r="H597" i="1"/>
  <c r="H596" i="1"/>
  <c r="E595" i="1"/>
  <c r="H595" i="1" s="1"/>
  <c r="H590" i="1"/>
  <c r="H589" i="1"/>
  <c r="E588" i="1"/>
  <c r="H588" i="1" s="1"/>
  <c r="E582" i="1"/>
  <c r="H582" i="1" s="1"/>
  <c r="H585" i="1"/>
  <c r="H584" i="1"/>
  <c r="H583" i="1"/>
  <c r="H571" i="1"/>
  <c r="H578" i="1"/>
  <c r="E576" i="1"/>
  <c r="H576" i="1" s="1"/>
  <c r="H579" i="1"/>
  <c r="H577" i="1"/>
  <c r="E569" i="1"/>
  <c r="H569" i="1" s="1"/>
  <c r="H573" i="1"/>
  <c r="H572" i="1"/>
  <c r="H570" i="1"/>
  <c r="H566" i="1"/>
  <c r="H567" i="1" s="1"/>
  <c r="H563" i="1"/>
  <c r="H564" i="1" s="1"/>
  <c r="H556" i="1"/>
  <c r="H557" i="1"/>
  <c r="H558" i="1"/>
  <c r="H560" i="1"/>
  <c r="H559" i="1"/>
  <c r="E549" i="1"/>
  <c r="H549" i="1" s="1"/>
  <c r="H552" i="1"/>
  <c r="H551" i="1"/>
  <c r="H550" i="1"/>
  <c r="H546" i="1"/>
  <c r="H545" i="1"/>
  <c r="H544" i="1"/>
  <c r="H543" i="1"/>
  <c r="E542" i="1"/>
  <c r="H542" i="1" s="1"/>
  <c r="H539" i="1"/>
  <c r="H538" i="1"/>
  <c r="H537" i="1"/>
  <c r="H536" i="1"/>
  <c r="E535" i="1"/>
  <c r="H535" i="1" s="1"/>
  <c r="H531" i="1"/>
  <c r="E528" i="1"/>
  <c r="H528" i="1" s="1"/>
  <c r="H532" i="1"/>
  <c r="H530" i="1"/>
  <c r="H529" i="1"/>
  <c r="H525" i="1"/>
  <c r="H524" i="1"/>
  <c r="H523" i="1"/>
  <c r="E522" i="1"/>
  <c r="H522" i="1" s="1"/>
  <c r="H519" i="1"/>
  <c r="H518" i="1"/>
  <c r="H517" i="1"/>
  <c r="E516" i="1"/>
  <c r="H516" i="1" s="1"/>
  <c r="J112" i="2" l="1"/>
  <c r="K112" i="2" s="1"/>
  <c r="X25" i="3" s="1"/>
  <c r="H633" i="1"/>
  <c r="H709" i="1"/>
  <c r="H561" i="1"/>
  <c r="H704" i="1"/>
  <c r="H689" i="1"/>
  <c r="H60" i="1"/>
  <c r="F17" i="2" s="1"/>
  <c r="J17" i="2" s="1"/>
  <c r="F15" i="2"/>
  <c r="J15" i="2" s="1"/>
  <c r="E93" i="1"/>
  <c r="H93" i="1" s="1"/>
  <c r="H695" i="1"/>
  <c r="H681" i="1"/>
  <c r="H385" i="1"/>
  <c r="H657" i="1"/>
  <c r="H676" i="1"/>
  <c r="H700" i="1"/>
  <c r="H672" i="1"/>
  <c r="H600" i="1"/>
  <c r="H662" i="1"/>
  <c r="H667" i="1"/>
  <c r="H653" i="1"/>
  <c r="H638" i="1"/>
  <c r="H648" i="1"/>
  <c r="H643" i="1"/>
  <c r="H607" i="1"/>
  <c r="H614" i="1"/>
  <c r="H580" i="1"/>
  <c r="H526" i="1"/>
  <c r="H593" i="1"/>
  <c r="H586" i="1"/>
  <c r="H540" i="1"/>
  <c r="H553" i="1"/>
  <c r="H574" i="1"/>
  <c r="H520" i="1"/>
  <c r="H533" i="1"/>
  <c r="H547" i="1"/>
  <c r="D18" i="5"/>
  <c r="J153" i="2"/>
  <c r="J155" i="2" s="1"/>
  <c r="B6" i="1"/>
  <c r="B7" i="3"/>
  <c r="B7" i="1"/>
  <c r="E39" i="3"/>
  <c r="E38" i="3"/>
  <c r="B5" i="1"/>
  <c r="B8" i="1"/>
  <c r="B6" i="3"/>
  <c r="B7" i="2"/>
  <c r="B5" i="3"/>
  <c r="H394" i="1" l="1"/>
  <c r="F120" i="2" s="1"/>
  <c r="J120" i="2" s="1"/>
  <c r="J122" i="2" s="1"/>
  <c r="K122" i="2" s="1"/>
  <c r="X27" i="3" s="1"/>
  <c r="H738" i="1"/>
  <c r="F143" i="2" s="1"/>
  <c r="J143" i="2" s="1"/>
  <c r="J150" i="2" s="1"/>
  <c r="J23" i="2"/>
  <c r="E94" i="1"/>
  <c r="H94" i="1" s="1"/>
  <c r="H97" i="1" s="1"/>
  <c r="J126" i="2"/>
  <c r="K23" i="2" l="1"/>
  <c r="K150" i="2"/>
  <c r="X31" i="3" s="1"/>
  <c r="K155" i="2"/>
  <c r="X32" i="3" s="1"/>
  <c r="K126" i="2"/>
  <c r="X28" i="3" s="1"/>
  <c r="F26" i="2"/>
  <c r="J26" i="2" s="1"/>
  <c r="J27" i="2" s="1"/>
  <c r="J157" i="2" s="1"/>
  <c r="X14" i="3" l="1"/>
  <c r="K27" i="2"/>
  <c r="K159" i="2" s="1"/>
  <c r="J158" i="2"/>
  <c r="J159" i="2" s="1"/>
  <c r="X15" i="3" l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3" i="3" l="1"/>
  <c r="Y33" i="3" s="1"/>
  <c r="E33" i="3" l="1"/>
  <c r="Y31" i="3"/>
  <c r="Y22" i="3"/>
  <c r="Y21" i="3"/>
  <c r="Y17" i="3"/>
  <c r="Y26" i="3"/>
  <c r="Y16" i="3"/>
  <c r="Y14" i="3"/>
  <c r="Y32" i="3"/>
  <c r="D33" i="3"/>
  <c r="Y24" i="3"/>
  <c r="Y25" i="3"/>
  <c r="Y29" i="3"/>
  <c r="Y19" i="3"/>
  <c r="Y27" i="3"/>
  <c r="Y28" i="3"/>
  <c r="Y15" i="3"/>
  <c r="Y23" i="3"/>
  <c r="Y20" i="3"/>
  <c r="Y18" i="3"/>
  <c r="F33" i="3"/>
  <c r="G33" i="3" l="1"/>
  <c r="H33" i="3" l="1"/>
  <c r="I33" i="3" l="1"/>
  <c r="J33" i="3" l="1"/>
  <c r="K33" i="3" l="1"/>
  <c r="L33" i="3" l="1"/>
  <c r="M33" i="3" l="1"/>
  <c r="N33" i="3" l="1"/>
  <c r="O33" i="3" l="1"/>
  <c r="P33" i="3" l="1"/>
  <c r="Q33" i="3" l="1"/>
  <c r="R33" i="3" l="1"/>
  <c r="S33" i="3" l="1"/>
  <c r="T33" i="3" l="1"/>
  <c r="U33" i="3" l="1"/>
  <c r="V33" i="3" l="1"/>
  <c r="W33" i="3"/>
</calcChain>
</file>

<file path=xl/sharedStrings.xml><?xml version="1.0" encoding="utf-8"?>
<sst xmlns="http://schemas.openxmlformats.org/spreadsheetml/2006/main" count="2339" uniqueCount="840">
  <si>
    <t>PREFEITURA MUNICIPAL DE CATALÃO - GO</t>
  </si>
  <si>
    <t>SECRETARIA DE OBRAS</t>
  </si>
  <si>
    <t xml:space="preserve">MEMÓRIA DE CALCULO </t>
  </si>
  <si>
    <t>ITEM</t>
  </si>
  <si>
    <t>DESCRIÇÃO</t>
  </si>
  <si>
    <t>UNIDADE</t>
  </si>
  <si>
    <t>MEMÓRIA DE CÁLCULO</t>
  </si>
  <si>
    <t>Grupo de Serviço: 164 - Serviços Preliminares</t>
  </si>
  <si>
    <t>Total</t>
  </si>
  <si>
    <t>TOTAL</t>
  </si>
  <si>
    <t>Grupo de Serviço: 165 - Transportes</t>
  </si>
  <si>
    <t>2.1</t>
  </si>
  <si>
    <t>Grupo de Serviço: 169 - Instalações Elét./Telefônica/Cabeamento Estruturado</t>
  </si>
  <si>
    <t>PREFEITURA MUNICIPAL DE CATALÃO</t>
  </si>
  <si>
    <t>ORÇAMENTO BÁSICO ESTIMADO</t>
  </si>
  <si>
    <t>CÓDIGO</t>
  </si>
  <si>
    <t>QUANT.</t>
  </si>
  <si>
    <t>UND.</t>
  </si>
  <si>
    <t>MATERIAL</t>
  </si>
  <si>
    <t>MÃO-DE-OBRA</t>
  </si>
  <si>
    <t>TOTAL C/ BDI</t>
  </si>
  <si>
    <t xml:space="preserve">m2 </t>
  </si>
  <si>
    <t>Grupo de Serviço: 188 - Pintura</t>
  </si>
  <si>
    <t xml:space="preserve">PINTURA LATEX ACRILICO 2 DEMAOS </t>
  </si>
  <si>
    <t>AGETOP</t>
  </si>
  <si>
    <t>Grupo de Serviço: 189 - Diversos</t>
  </si>
  <si>
    <t>CRONOGRAM FÍSICO FINANCEIRO</t>
  </si>
  <si>
    <t>DESCRIÇÃO DOS SERVIÇOS</t>
  </si>
  <si>
    <t>MÊS 1</t>
  </si>
  <si>
    <t>MÊS 2</t>
  </si>
  <si>
    <t>VALOR DOS SERVIÇOS (R$)</t>
  </si>
  <si>
    <t>% DOS SERVIÇOS</t>
  </si>
  <si>
    <t>PERCENTUAL DE EXECUÇÃO</t>
  </si>
  <si>
    <t>Tabela 128 - Custo Obras Civis - Novembro/2017 - Desonerada</t>
  </si>
  <si>
    <t>COMPOSIÇÃO DO BDI</t>
  </si>
  <si>
    <t>4.1</t>
  </si>
  <si>
    <t>4.2</t>
  </si>
  <si>
    <t>_____________________________________________________</t>
  </si>
  <si>
    <t>Leonardo Martins de Castro Teixeira</t>
  </si>
  <si>
    <t>Secretário Municipal de Obras</t>
  </si>
  <si>
    <t xml:space="preserve"> m2</t>
  </si>
  <si>
    <t>5.1</t>
  </si>
  <si>
    <t>LIMPEZA FINAL DE OBRA - (OBRAS CIVIS)</t>
  </si>
  <si>
    <t>Grupo de Serviço: 170 - Instalações hidro-sanitárias</t>
  </si>
  <si>
    <t>4.3</t>
  </si>
  <si>
    <t>SINAPI</t>
  </si>
  <si>
    <t>8.1</t>
  </si>
  <si>
    <t>Grupo de Serviço: 183 - Forros</t>
  </si>
  <si>
    <t>MÊS 3</t>
  </si>
  <si>
    <t>1.1</t>
  </si>
  <si>
    <t>1.2</t>
  </si>
  <si>
    <t>1.3</t>
  </si>
  <si>
    <t>1.4</t>
  </si>
  <si>
    <t>1.5</t>
  </si>
  <si>
    <t>1.6</t>
  </si>
  <si>
    <t>Subtotal</t>
  </si>
  <si>
    <t>Grupo de Serviço: 178 - Coberturas</t>
  </si>
  <si>
    <t>Grupo de Serviço: 180 - Esquadrias metálicas</t>
  </si>
  <si>
    <t>Depósito</t>
  </si>
  <si>
    <t>Grupo de Serviço: 182 -  Revestimento de paredes</t>
  </si>
  <si>
    <t>Desconto de vão de porta</t>
  </si>
  <si>
    <t>Desconto de vão de janela</t>
  </si>
  <si>
    <t>Grupo de Serviço: 184 - Revestimento de piso</t>
  </si>
  <si>
    <t>Teto</t>
  </si>
  <si>
    <t>Desconto de vão de portão</t>
  </si>
  <si>
    <t>Tabela SINAPI 12/2017 - Desonerada</t>
  </si>
  <si>
    <t>11.1</t>
  </si>
  <si>
    <t>MÊS 4</t>
  </si>
  <si>
    <t>MÊS 5</t>
  </si>
  <si>
    <t>Secretária de Obras</t>
  </si>
  <si>
    <t>SUBTOTAL DO ITEM</t>
  </si>
  <si>
    <t>BDI</t>
  </si>
  <si>
    <t>SEM 1</t>
  </si>
  <si>
    <t>SEM 2</t>
  </si>
  <si>
    <t>SEM 3</t>
  </si>
  <si>
    <t>SEM 4</t>
  </si>
  <si>
    <t>SECRETARIA MUNICIPAL DE OBRAS</t>
  </si>
  <si>
    <t>CALCULO DO BDI</t>
  </si>
  <si>
    <t xml:space="preserve">% </t>
  </si>
  <si>
    <t>ADMINISTRAÇÃO CENTRAL</t>
  </si>
  <si>
    <t>AC</t>
  </si>
  <si>
    <t>LUCRO</t>
  </si>
  <si>
    <t>L</t>
  </si>
  <si>
    <t>DESPESAS FINANCEIRAS</t>
  </si>
  <si>
    <t>DF</t>
  </si>
  <si>
    <t>SEGURO GARANTIA</t>
  </si>
  <si>
    <t>S+G</t>
  </si>
  <si>
    <t>RISCOS</t>
  </si>
  <si>
    <t>R</t>
  </si>
  <si>
    <t>TRIBUTOS</t>
  </si>
  <si>
    <t>I</t>
  </si>
  <si>
    <t>ISS</t>
  </si>
  <si>
    <t>PIS</t>
  </si>
  <si>
    <t>COFINS</t>
  </si>
  <si>
    <t>CPRB</t>
  </si>
  <si>
    <t>RESULTADO</t>
  </si>
  <si>
    <t>________________________________</t>
  </si>
  <si>
    <t>_________________________________________________</t>
  </si>
  <si>
    <t>COMPRIMENTO</t>
  </si>
  <si>
    <t>QUANTIDADE</t>
  </si>
  <si>
    <t>ÁREA TOTAL</t>
  </si>
  <si>
    <t>Banheiro 1</t>
  </si>
  <si>
    <t>Paredes (5,50+2,50+5,50+2,50=16,00)</t>
  </si>
  <si>
    <t>LARGURA/     ALTURA MÉDIA</t>
  </si>
  <si>
    <t>Banheiro 2</t>
  </si>
  <si>
    <t xml:space="preserve">Sala 1 </t>
  </si>
  <si>
    <t>Paredes (5,50+6,00+5,50+6,00=23,00)</t>
  </si>
  <si>
    <t>Sala de vídeo</t>
  </si>
  <si>
    <t>Biblioteca</t>
  </si>
  <si>
    <t>DML/Didático</t>
  </si>
  <si>
    <t>Paredes (3,35+2,50+3,35+2,50=11,70)</t>
  </si>
  <si>
    <t>Coordenação/profes.</t>
  </si>
  <si>
    <t>Lavabo 1</t>
  </si>
  <si>
    <t>Lavabo 2</t>
  </si>
  <si>
    <t>Diretoria 1</t>
  </si>
  <si>
    <t>Paredes (2,80+5,00+2,80+5,00=15,60)</t>
  </si>
  <si>
    <t>Secretária</t>
  </si>
  <si>
    <t>Paredes (3,05+5,00+3,05+5,00=16,10)</t>
  </si>
  <si>
    <t>Hall</t>
  </si>
  <si>
    <t>Paredes (5,50+5,20+5,50+5,20=21,40)</t>
  </si>
  <si>
    <t xml:space="preserve">Sala 5 </t>
  </si>
  <si>
    <t xml:space="preserve">Sala 4 </t>
  </si>
  <si>
    <t>Sala 3</t>
  </si>
  <si>
    <t>Sala 2</t>
  </si>
  <si>
    <t>Circulação 1</t>
  </si>
  <si>
    <t>Desconto de vão de vão livre</t>
  </si>
  <si>
    <t>Paredes (6,00+5,00+1,30+0,15+1,35+1,00+1,35+1,90+5,00=27,55)</t>
  </si>
  <si>
    <t>W.C.1</t>
  </si>
  <si>
    <t>Paredes (2,97+2,00+2,97+2,00=9,94)</t>
  </si>
  <si>
    <t>W.C.2</t>
  </si>
  <si>
    <t>Monitoria</t>
  </si>
  <si>
    <t>Paredes (2,97+5,20+2,97+5,20=16,34)</t>
  </si>
  <si>
    <t>Sala audio/video</t>
  </si>
  <si>
    <t>Paredes (2,97+6,00+2,97+6,00=17,94)</t>
  </si>
  <si>
    <t>Paredes (2,97+2,00+2,00+1,62+0,15=8,74)</t>
  </si>
  <si>
    <t>Diretoria 2</t>
  </si>
  <si>
    <t>Paredes (1,62+3,89+2,97+3,89=12,37)</t>
  </si>
  <si>
    <t>Sala 7</t>
  </si>
  <si>
    <t>Paredes (6,00+5,94+6,00+5,94=23,88)</t>
  </si>
  <si>
    <t>Sala 6</t>
  </si>
  <si>
    <t>Sala</t>
  </si>
  <si>
    <t>Paredes (4,11+3,15+4,11+3,15=14,52)</t>
  </si>
  <si>
    <t>Trocador</t>
  </si>
  <si>
    <t>Paredes (1,80+3,15+1,80+3,15=9,90)</t>
  </si>
  <si>
    <t>Berçário</t>
  </si>
  <si>
    <t>Circulação 2</t>
  </si>
  <si>
    <t>Pilares (0,10+0,10+0,10+0,10=0,40)</t>
  </si>
  <si>
    <t>Paredes (21,30)</t>
  </si>
  <si>
    <t>Refeitório 1</t>
  </si>
  <si>
    <t>Refeitório 2</t>
  </si>
  <si>
    <t>Paredes (4,55+4,80+4,55+4,80=18,70)</t>
  </si>
  <si>
    <t>Despensa</t>
  </si>
  <si>
    <t>Paredes (2,05+4,80+2,05+4,80=13,70)</t>
  </si>
  <si>
    <t>Área de serviço</t>
  </si>
  <si>
    <t>Paredes (2,20+3,40+2,20=7,80)</t>
  </si>
  <si>
    <t>Circulação 3</t>
  </si>
  <si>
    <t>Área externa</t>
  </si>
  <si>
    <t>Paredes</t>
  </si>
  <si>
    <t>Paredes(21,30+21,30=42,60)</t>
  </si>
  <si>
    <t>Paredes(3,54+2,90=6,44)</t>
  </si>
  <si>
    <t>Paredes  (2,90+3,53=6,43)</t>
  </si>
  <si>
    <t>Paredes (2,78+3,58= 6,36)</t>
  </si>
  <si>
    <t>Arco (1,70+4,35+7,15+1,05+4,71=18,96)</t>
  </si>
  <si>
    <t>Pilares (0,40+0,40+0,40+0,40=1,60)</t>
  </si>
  <si>
    <t>Detalhe  (2,02+0,15+0,15+0,40=2,72)</t>
  </si>
  <si>
    <t>Detalhe teto (8,15+8,15+0,15+0,15=16,60)</t>
  </si>
  <si>
    <t xml:space="preserve">RETIRADA DE JANELAS OU PORTAIS C/ TRANSP. ATÉ CB. E CARGA </t>
  </si>
  <si>
    <t>ALTURA</t>
  </si>
  <si>
    <t>Sala de aula 6</t>
  </si>
  <si>
    <t>Sala de aula 7</t>
  </si>
  <si>
    <t>Sala audio/vídeo</t>
  </si>
  <si>
    <t xml:space="preserve">DEMOLIÇÃO DE REVEST. C/ AZULEJOS C/TRANSP.ATE CB. E CARGA </t>
  </si>
  <si>
    <t>DEMOL.REVEST.C/ARGAMASSA C/TR.ATE CB.E CARGA</t>
  </si>
  <si>
    <t xml:space="preserve"> m2 </t>
  </si>
  <si>
    <t xml:space="preserve">DEMOLIÇAO BACIA SANITARIA C/ TRANSP. ATÉ CB. E CARGA </t>
  </si>
  <si>
    <t xml:space="preserve">Un </t>
  </si>
  <si>
    <t xml:space="preserve">PLACA DE OBRA EM CHAPA METÁLICA 26 COM PINTURA, AFIXADA EM CAVALETES DE MADEIRA DE LEI (VIGOTAS 6X12CM) - PADRÃO AGETOP
</t>
  </si>
  <si>
    <t>PLACA DE OBRA EM CHAPA METÁLICA 26 COM PINTURA, AFIXADA EM CAVALETES DE MADEIRA DE LEI (VIGOTAS 6X12CM) - PADRÃO AGETOP</t>
  </si>
  <si>
    <t>2,00*1,50</t>
  </si>
  <si>
    <t xml:space="preserve"> TRANSPORTE DE ENTULHO EM CAMINHÃO SEM CARGA </t>
  </si>
  <si>
    <t xml:space="preserve">m3 </t>
  </si>
  <si>
    <t xml:space="preserve">Retirada de janelas e portais </t>
  </si>
  <si>
    <t>Demolição de revestimento de azulejo</t>
  </si>
  <si>
    <t>Demolição de revestimento de argamass</t>
  </si>
  <si>
    <t>INSTALAÇÕES HIDROSSANITÁRIAS</t>
  </si>
  <si>
    <t>L O U C A S E M E T A I S</t>
  </si>
  <si>
    <t xml:space="preserve"> V A S O S A N I T A R I O / A C E S S O R I O S</t>
  </si>
  <si>
    <t>VASO SANITARIO</t>
  </si>
  <si>
    <t xml:space="preserve"> Un </t>
  </si>
  <si>
    <t xml:space="preserve">ASSENTO PARA VASO SANITÁRIO </t>
  </si>
  <si>
    <t xml:space="preserve"> F I L T R O / C H U V E I R O</t>
  </si>
  <si>
    <t xml:space="preserve">CHUVEIRO ELÉTRICO EM PVC COM BRAÇO METÁLICO </t>
  </si>
  <si>
    <t xml:space="preserve">COB.C/TELHA FIBER-GLASS C/VÉU PROTEÇÃO/ACESSÓRIOS-1MM </t>
  </si>
  <si>
    <t>ESQUADRIAS METÁLICAS - ( OBS.: OS VIDROS NÃO ESTÃO INCLUSOS NAS ESQUADRIAS )</t>
  </si>
  <si>
    <t xml:space="preserve">PORTA DE ABRIR EM CHAPA PF-1A C/FERRAGENS </t>
  </si>
  <si>
    <t>m2</t>
  </si>
  <si>
    <t xml:space="preserve"> REVESTIMENTO DE PAREDES</t>
  </si>
  <si>
    <t xml:space="preserve">REBOCO PAULISTA A-14 (1CALH:4ARMLC+100kgCI/M3) </t>
  </si>
  <si>
    <t xml:space="preserve"> REVESTIMENTO COM CERÂMICA </t>
  </si>
  <si>
    <t xml:space="preserve">FORRO DE PVC COM ESTRUTURA EM METALON PINTADA COM TINTA ALQUÍDICA D.F. </t>
  </si>
  <si>
    <t xml:space="preserve">PISO EM CERÂMICA PEI MAIOR OU IGUAL A 4 COM CONTRA PISO (1CI:3ARML) E ARGAMASSA COLANTE
</t>
  </si>
  <si>
    <t xml:space="preserve">REMOCAO DE PINTURA ANTIGA A LATEX </t>
  </si>
  <si>
    <t>PINTURA</t>
  </si>
  <si>
    <t>REVESTIMENTO DE PISO</t>
  </si>
  <si>
    <t xml:space="preserve">EMASSAMENTO COM MASSA PVA DUAS DEMAOS </t>
  </si>
  <si>
    <t xml:space="preserve">PINT.ESMALTE/ESQUAD.FERRO C/FUNDO ANTICOR. </t>
  </si>
  <si>
    <t>PINTURA DE QUADRO NEGRO COM EMASSAMENTO (INCLUSIVE MOLDURA/PORTA GIZ) - 5,00X1,20M</t>
  </si>
  <si>
    <t xml:space="preserve">74245/001 </t>
  </si>
  <si>
    <t xml:space="preserve">PINTURA ACRILICA EM PISO CIMENTADO DUAS DEMAOS </t>
  </si>
  <si>
    <t>FORROS</t>
  </si>
  <si>
    <t>LARGURA</t>
  </si>
  <si>
    <t>Calçada de transição (21,30)</t>
  </si>
  <si>
    <t>Calçada de transição (6,35+3,20=9,55)</t>
  </si>
  <si>
    <t>Sala  de aula 7</t>
  </si>
  <si>
    <t xml:space="preserve">COMPRIMENTO </t>
  </si>
  <si>
    <t xml:space="preserve">LARGURA </t>
  </si>
  <si>
    <t xml:space="preserve"> DEM.PISO CIMENT.SOBRE LASTRO CONC.C/TR.ATE CB. E CARGA </t>
  </si>
  <si>
    <t>Demolição de piso cimentado</t>
  </si>
  <si>
    <t>Portas</t>
  </si>
  <si>
    <t>Janelas</t>
  </si>
  <si>
    <t xml:space="preserve">DEM.PISO CIMENT.SOBRE LASTRO CONC.C/TR.ATE CB. E CARGA </t>
  </si>
  <si>
    <t xml:space="preserve">TRANSPORTE DE ENTULHO EM CAMINHÃO SEM CARGA </t>
  </si>
  <si>
    <t>V A S O S A N I T A R I O / A C E S S O R I O S</t>
  </si>
  <si>
    <t xml:space="preserve">ÁREA TOTAL </t>
  </si>
  <si>
    <t>Sala de aula 1</t>
  </si>
  <si>
    <t>Coordenação/Professores</t>
  </si>
  <si>
    <t>Portão</t>
  </si>
  <si>
    <t>Sala de Aula 5</t>
  </si>
  <si>
    <t>Sala de Aula 4</t>
  </si>
  <si>
    <t>Sala de Aula 3</t>
  </si>
  <si>
    <t>Sala de Aula 2</t>
  </si>
  <si>
    <t xml:space="preserve">Portão </t>
  </si>
  <si>
    <t>Paredes (9,05+4,80+9,05+4,80+0,45=28,15)</t>
  </si>
  <si>
    <t>Paredes (9,05+4,80+5,25+0,45=19,55)</t>
  </si>
  <si>
    <t>A. de serviço-parte externa</t>
  </si>
  <si>
    <t>Paredes (2,00)</t>
  </si>
  <si>
    <t>ALTURA MÉDIA</t>
  </si>
  <si>
    <t>LARGURA/ALTURA MÉDIA</t>
  </si>
  <si>
    <t xml:space="preserve">Banheiro 1 </t>
  </si>
  <si>
    <t>Paredes (1,00+1,50=2,50)</t>
  </si>
  <si>
    <t>Paredes (1,25+1,50=2,75)</t>
  </si>
  <si>
    <t>Paredes (0,60)</t>
  </si>
  <si>
    <t xml:space="preserve">CHAPISCO COMUM </t>
  </si>
  <si>
    <t>D I V E R S O S</t>
  </si>
  <si>
    <t xml:space="preserve">TAMPA EM CONCRETO ARMADO 25 MPA E=5CM PARA A CAIXA DE PASSAGEM 60X60CM </t>
  </si>
  <si>
    <t>REFORMA DA ESCOLA MARIA CONCEIÇÃO</t>
  </si>
  <si>
    <t>SERVIÇOS PRELIMINARES</t>
  </si>
  <si>
    <t>TRANSPORTES</t>
  </si>
  <si>
    <t>Circulação 2 (2,00+4,97=6,97)</t>
  </si>
  <si>
    <t>3.1</t>
  </si>
  <si>
    <t xml:space="preserve"> COBERTURAS</t>
  </si>
  <si>
    <t>6.1</t>
  </si>
  <si>
    <t>7.1</t>
  </si>
  <si>
    <t>7.2</t>
  </si>
  <si>
    <t>7.3</t>
  </si>
  <si>
    <t>10.1</t>
  </si>
  <si>
    <t>DIVERSOS</t>
  </si>
  <si>
    <t>TOTAIS</t>
  </si>
  <si>
    <t xml:space="preserve">LASTRO DE BRITA PARA PISO - (OBRAS CIVIS) </t>
  </si>
  <si>
    <t>m3</t>
  </si>
  <si>
    <t>9.2</t>
  </si>
  <si>
    <t>ESPESSURA</t>
  </si>
  <si>
    <t>VOLUME TOTAL</t>
  </si>
  <si>
    <t>Área de recreação</t>
  </si>
  <si>
    <t xml:space="preserve">AGUA FRIA </t>
  </si>
  <si>
    <t xml:space="preserve"> T U B O S DE P V C S O L D A V E L</t>
  </si>
  <si>
    <t xml:space="preserve">TUBO SOLDAVEL PVC MARROM DIAM.(40 mm) </t>
  </si>
  <si>
    <t xml:space="preserve">m </t>
  </si>
  <si>
    <t>J O E L H O S</t>
  </si>
  <si>
    <t xml:space="preserve"> JOELHO 90 GRAUS SOLDAVEL DIAMETRO 40 mm (1.1/4")</t>
  </si>
  <si>
    <t xml:space="preserve">DEMOLIÇÃO DAS INSTALAÇÕES HIDROSANITÁRIAS E AFINS C/ TRANSP. ATÉ CB. E CARGA </t>
  </si>
  <si>
    <t xml:space="preserve">H </t>
  </si>
  <si>
    <t xml:space="preserve"> CAIXA DE GORDURA E INSPEÇÃO EM PVC/ABS 19 LITROS COM TAMPA E PORTA TAMPA E CESTO DE LIMPEZA REMOVÍVEL
</t>
  </si>
  <si>
    <t xml:space="preserve">un </t>
  </si>
  <si>
    <t>1.7</t>
  </si>
  <si>
    <t>Paredes (2,20+3,40+2,20+3,40=7,80)</t>
  </si>
  <si>
    <t>Paredes (5,40+0,45+3,95+0,45+4,70+7,30+0,15+5,10+2,20+5,40+5,10+3,40=43,60)</t>
  </si>
  <si>
    <t>A. de serviço</t>
  </si>
  <si>
    <t>INST. ELET./TELEFONICA/CABEAMENTO ESTRUTURADO</t>
  </si>
  <si>
    <t xml:space="preserve">ELETRODUTO PVC FLEXÍVEL - MANGUEIRA CORRUGADA LEVE - DIAM. 20MM </t>
  </si>
  <si>
    <t>m</t>
  </si>
  <si>
    <t xml:space="preserve">FIO ISOLADO PVC 750 V, No. 2,5 MM2 </t>
  </si>
  <si>
    <t xml:space="preserve">INTERRUPTOR PARALELO SIMPLES (1 SECAO) </t>
  </si>
  <si>
    <t xml:space="preserve">LÂMPADA FLUORESCENTE TUBULAR T5 DE 28 W </t>
  </si>
  <si>
    <t xml:space="preserve">LAMPADA COMPACTA ELETRÔNICA COM REATOR INTEGRADO 15 W </t>
  </si>
  <si>
    <t xml:space="preserve">LUMINÁRIA DE SOBREPOR COM REFLETOR DE ALUMÍNIO E ALETAS 2X14W </t>
  </si>
  <si>
    <t xml:space="preserve">TOMADA HEXAGONAL 2P + T - 10A - 250V </t>
  </si>
  <si>
    <t>Instalações elétricas da brinquedoteca</t>
  </si>
  <si>
    <t>Reposição de lâmpadas</t>
  </si>
  <si>
    <t>Torre de água</t>
  </si>
  <si>
    <t>Coluna</t>
  </si>
  <si>
    <t>Cone</t>
  </si>
  <si>
    <t>Taça</t>
  </si>
  <si>
    <t>Área</t>
  </si>
  <si>
    <t>Área total</t>
  </si>
  <si>
    <t>3,14*0,57*(0,955+0,55)</t>
  </si>
  <si>
    <t>2,00*3,14*0,55*6,00</t>
  </si>
  <si>
    <t>2,00*3,14*0,955*3,00</t>
  </si>
  <si>
    <t xml:space="preserve">PINTURA ESMALTE 1 DEMÃO EM PAREDE SEM SELADOR </t>
  </si>
  <si>
    <t xml:space="preserve">DEMOLICAO COBERTURA TELHA CERAMICA C/ TRANSP. ATÉ CB. E CARGA </t>
  </si>
  <si>
    <t xml:space="preserve">DEMOLIÇÃO ESTRUTURA EM MADEIRA TELHADO C/ TRANSP. ATÉ CB. E CARGA </t>
  </si>
  <si>
    <t xml:space="preserve">DEM.PILAR CONC.ARM.MANUAL C/TR.ATE CB.E CARGA(OC) </t>
  </si>
  <si>
    <t>Brinquedoteca</t>
  </si>
  <si>
    <t>ÁREA</t>
  </si>
  <si>
    <t>Brinquedoteca (0,10*0,10=0,01)</t>
  </si>
  <si>
    <t>1.8</t>
  </si>
  <si>
    <t>1.9</t>
  </si>
  <si>
    <t>1.10</t>
  </si>
  <si>
    <t>Demolição de cobertura cerâmica</t>
  </si>
  <si>
    <t xml:space="preserve">Demolição de estrutura de madeira de telhado </t>
  </si>
  <si>
    <t xml:space="preserve">CUMEEIRA P/ TELHA PLAN RESINADA COR VERMELHA </t>
  </si>
  <si>
    <t xml:space="preserve">COBERTURA COM TELHA PLAN RESINADA COR VERMELHA </t>
  </si>
  <si>
    <t xml:space="preserve">EMBOCAMENTO LATERAL (OITOES) </t>
  </si>
  <si>
    <t xml:space="preserve">EMBOCAMENTO DE BEIRAL </t>
  </si>
  <si>
    <t>COMPRIMENTO TOTAL</t>
  </si>
  <si>
    <t>3,60+0,50</t>
  </si>
  <si>
    <t>3,60+3,60</t>
  </si>
  <si>
    <t>4,18+4,18</t>
  </si>
  <si>
    <t>5.2</t>
  </si>
  <si>
    <t>5.3</t>
  </si>
  <si>
    <t>5.4</t>
  </si>
  <si>
    <t xml:space="preserve">RODAPÉ DE CERÂMICA COM ARGAMASSA COLANTE </t>
  </si>
  <si>
    <t xml:space="preserve">Circulação 2 </t>
  </si>
  <si>
    <t>2,00+2,97+2,00+2,97</t>
  </si>
  <si>
    <t>2,00+2,97+2,00+2,987</t>
  </si>
  <si>
    <t>6,00+5,94+6,00+5,94</t>
  </si>
  <si>
    <t>1,80+3,15+1,80+3,15</t>
  </si>
  <si>
    <t>4,11+3,15+4,11+3,15</t>
  </si>
  <si>
    <t>5,20+2,97+5,20+2,97</t>
  </si>
  <si>
    <t>6,00+2,97+6,00+2,97</t>
  </si>
  <si>
    <t>3,88+2,97+3,88+2,97</t>
  </si>
  <si>
    <t>21,30+21,30+22,00*0,10</t>
  </si>
  <si>
    <t>0,70*1,00</t>
  </si>
  <si>
    <t>0,90*1,00</t>
  </si>
  <si>
    <t>0,90*3,00</t>
  </si>
  <si>
    <t>2,00+2,97+1,62+0,15</t>
  </si>
  <si>
    <t>0,90*7,00+0,70*2,00</t>
  </si>
  <si>
    <t xml:space="preserve">GRANITINA 8MM FUNDIDA COM CONTRAPISO (1CI:3ARML) E=2CM E JUNTA PLASTICA 27MM </t>
  </si>
  <si>
    <t>RODAPÉ FUNDIDO DE GRANITINA 7CM</t>
  </si>
  <si>
    <t xml:space="preserve"> m </t>
  </si>
  <si>
    <t>3,60+7,50+3,60+7,50</t>
  </si>
  <si>
    <t>Grupo de Serviço: 176 - Estrutura de madeira</t>
  </si>
  <si>
    <t>ESTRUTURA DE MADEIRA</t>
  </si>
  <si>
    <t xml:space="preserve">ESTRUTURA-TELHA CERAMICA V=7 A 10 M C/FERRAGENS </t>
  </si>
  <si>
    <t>Grupo de Serviço: 166 - Serviço em terra</t>
  </si>
  <si>
    <t>SERVICO EM TERRA</t>
  </si>
  <si>
    <t>PROFUNDIDADE</t>
  </si>
  <si>
    <t>Blocos (0,50*0,50*3,00=0,75)</t>
  </si>
  <si>
    <t xml:space="preserve"> ESCAVAÇAO MANUAL DE VALAS PROF. 2 A 4 M </t>
  </si>
  <si>
    <t>Grupo de Serviço: 167 - Fundações e sondagens</t>
  </si>
  <si>
    <t>FUNDACOES E SONDAGENS</t>
  </si>
  <si>
    <t xml:space="preserve">ESTACA A TRADO DIAM.25 CM SEM FERRO </t>
  </si>
  <si>
    <t xml:space="preserve">ESCAVACAO MANUAL DE VALAS (SAPATAS/BLOCOS) </t>
  </si>
  <si>
    <t xml:space="preserve">APILOAMENTO (BLOCOS/SAPATAS) </t>
  </si>
  <si>
    <t xml:space="preserve">Blocos </t>
  </si>
  <si>
    <t>Grupo de Serviço: 168 - Estrutura</t>
  </si>
  <si>
    <t>ESTRUTURA</t>
  </si>
  <si>
    <t xml:space="preserve">VERGA/CONTRAVERGA EM CONCRETO ARMADO FCK = 20 MPA </t>
  </si>
  <si>
    <t xml:space="preserve">ESQ.DE CORRER CHAPA/VIDRO J9/J10/J12/J13 C/FERRAGENS </t>
  </si>
  <si>
    <t>6.2</t>
  </si>
  <si>
    <t>Grupo de Serviço: 181 - Vidros</t>
  </si>
  <si>
    <t>VIDROS</t>
  </si>
  <si>
    <t xml:space="preserve">VIDRO CANELADO - COLOCADO </t>
  </si>
  <si>
    <t>Brinquedoteca - esquadrias</t>
  </si>
  <si>
    <t>Área externa (7,80+3,90+3,90+2,00=17,60)</t>
  </si>
  <si>
    <t>Área interna (7,50+3,60+3,60+2,00=16,60)</t>
  </si>
  <si>
    <t>Paredes (11,60+26,75+12,30+8,50+2,00=61,15)</t>
  </si>
  <si>
    <t>Paredes (7,50+3,60+7,50+3,60=22,20)</t>
  </si>
  <si>
    <t>Paredes (11,60+26,75+12,30+8,50+5,80+5,80+2,85+2,00=75,55)</t>
  </si>
  <si>
    <t>Rua Juraci Rosa Pontes, Quadra 06, Lote 07 - Santo Antônio do Rio Verde - Catalão-GO</t>
  </si>
  <si>
    <t>Grupo de Serviço: 172 - Alvenarias e divisórias</t>
  </si>
  <si>
    <t>ALVENARIAS E DIVISORIAS</t>
  </si>
  <si>
    <t xml:space="preserve">ALVENARIA DE TIJOLO FURADO 1/2 VEZ 14X29X9 - 6 FUROS - ARG. (1CALH:4ARML+100KG DE CI/M3)
</t>
  </si>
  <si>
    <t>Paredes (3,90+3,90+7,50=15,30)</t>
  </si>
  <si>
    <t xml:space="preserve">Desconto de vão de porta </t>
  </si>
  <si>
    <t xml:space="preserve">Desconto de vão de janela </t>
  </si>
  <si>
    <t>Paredes(5,65+2,95+3,90+7,80+2,65=22,95)</t>
  </si>
  <si>
    <t>Paredes(30,40+5,80+30,10+5,15+3,90+7,80+3,90=87,05)</t>
  </si>
  <si>
    <t>Grupo de Serviço: 174 - Impermeabilização</t>
  </si>
  <si>
    <t>IMPERMEABILIZACAO</t>
  </si>
  <si>
    <t xml:space="preserve">IMPERMEABILIZACAO VIGAS BALDRAMES E=2,0 CM </t>
  </si>
  <si>
    <t>6.3</t>
  </si>
  <si>
    <t>6.4</t>
  </si>
  <si>
    <t>6.5</t>
  </si>
  <si>
    <t>6.6</t>
  </si>
  <si>
    <t>6.7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</si>
  <si>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</si>
  <si>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</si>
  <si>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</si>
  <si>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</si>
  <si>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</si>
  <si>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</si>
  <si>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</si>
  <si>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</si>
  <si>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</si>
  <si>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</si>
  <si>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</si>
  <si>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11.2</t>
  </si>
  <si>
    <t>11.3</t>
  </si>
  <si>
    <t>11.4</t>
  </si>
  <si>
    <t>11.5</t>
  </si>
  <si>
    <t>12.1</t>
  </si>
  <si>
    <t>12.2</t>
  </si>
  <si>
    <t>13.1</t>
  </si>
  <si>
    <t>14.2</t>
  </si>
  <si>
    <t>14.3</t>
  </si>
  <si>
    <t>15.1</t>
  </si>
  <si>
    <t>16.1</t>
  </si>
  <si>
    <t>16.2</t>
  </si>
  <si>
    <t>16.3</t>
  </si>
  <si>
    <t>16.4</t>
  </si>
  <si>
    <t>16.5</t>
  </si>
  <si>
    <t>17.1</t>
  </si>
  <si>
    <t>17.2</t>
  </si>
  <si>
    <t>18.1</t>
  </si>
  <si>
    <t>Pedro Silva de Souza</t>
  </si>
  <si>
    <t>Engenheiro Civil - CREA 1016279248/D - GO</t>
  </si>
  <si>
    <t>Pilares circulares (2,00*3,14*0,125=0,75)</t>
  </si>
  <si>
    <t>Pilar retangular (0,30+0,15+0,30+0,15=0,90)</t>
  </si>
  <si>
    <t>Calçada de proteção (19,00+21,80+18+15,45+8,00+10,05+2,20+5,40+6,50+21,15+2,65+34,15+20,10+3,75+34,75=222,95)</t>
  </si>
  <si>
    <t xml:space="preserve">PASSEIO PROTECAO EM CONC.DESEMPEN.5 CM 1:2,5:3,5 ( INCLUSO ESPELHO DE 30CM/ESCAVAÇÃO/REATERRO/APILOAMENTO/ATERRO INTERNO)
</t>
  </si>
  <si>
    <t>Calçada de proteção (3,75+7,80+3,75=15,30)</t>
  </si>
  <si>
    <t>Paredes (2,97+2,00+2,97+2,00+1,86+1,20+1,17+1,17+0,90+1,17+0,90=18,31)</t>
  </si>
  <si>
    <t xml:space="preserve">PREPARO COM BETONEIRA E TRANSPORTE MANUAL DE CONCRETO FCK=25 MPA </t>
  </si>
  <si>
    <t xml:space="preserve">ACO CA 50-A - 8,0 MM (5/16") - (OBRAS CIVIS) </t>
  </si>
  <si>
    <t>Kg</t>
  </si>
  <si>
    <t xml:space="preserve">LANÇAMENTO/APLICAÇÃO/ADENSAMENTO MANUAL DE CONCRETO - (O.C.) </t>
  </si>
  <si>
    <t>4.4</t>
  </si>
  <si>
    <t>4.5</t>
  </si>
  <si>
    <t>4.6</t>
  </si>
  <si>
    <t>VB1</t>
  </si>
  <si>
    <t>VB3</t>
  </si>
  <si>
    <t>VB4</t>
  </si>
  <si>
    <t xml:space="preserve">ACO CA 60-B 4,2 MM - (OBRAS CIVIS) </t>
  </si>
  <si>
    <t>Verga-esquadrias (3,60*2,00=7,20)</t>
  </si>
  <si>
    <t>Contraverga-esquadrias (3,60*2,00=7,20)</t>
  </si>
  <si>
    <t>Verga-portas (0,80+0,10+0,10=1,00)</t>
  </si>
  <si>
    <t xml:space="preserve">FORMA DE TABUA CINTA BALDRAME U=8 VEZES </t>
  </si>
  <si>
    <t xml:space="preserve">FORMA DE TABUA CINTA/PILAR SOBRE/ENTRE ALVENARIA U=8 VEZES </t>
  </si>
  <si>
    <t>Bl1</t>
  </si>
  <si>
    <t>Bl2</t>
  </si>
  <si>
    <t>Brocas (3,14*0,125*0,125*3,00=0,147)</t>
  </si>
  <si>
    <t>Brocas</t>
  </si>
  <si>
    <t xml:space="preserve">ACO CA-50A - 10,0 MM (3/8") - (OBRAS CIVIS) </t>
  </si>
  <si>
    <t xml:space="preserve">Kg </t>
  </si>
  <si>
    <t xml:space="preserve">ACO CA-50 A - 8,0 MM (5/16") - (OBRAS CIVIS) </t>
  </si>
  <si>
    <t xml:space="preserve">ACO CA-60B - 4,2 MM - (OBRAS CIVIS) </t>
  </si>
  <si>
    <t>5.5</t>
  </si>
  <si>
    <t>5.6</t>
  </si>
  <si>
    <t>4.7</t>
  </si>
  <si>
    <t xml:space="preserve">LANÇAMENTO/APLICAÇÃO/ADENSAMENTO DE CONCRETO EM ESTRUTURA - (O.C.) </t>
  </si>
  <si>
    <t>5.7</t>
  </si>
  <si>
    <t>5.8</t>
  </si>
  <si>
    <t>V1</t>
  </si>
  <si>
    <t>V3</t>
  </si>
  <si>
    <t>V4</t>
  </si>
  <si>
    <t>P1</t>
  </si>
  <si>
    <t>P2</t>
  </si>
  <si>
    <t>P3</t>
  </si>
  <si>
    <t>DENSIDADE</t>
  </si>
  <si>
    <t xml:space="preserve">PESO TOTAL </t>
  </si>
  <si>
    <t>VB1 (0,30+0,30+0,15=0,75)</t>
  </si>
  <si>
    <t>VB3 (0,30+0,30+0,15=0,75)</t>
  </si>
  <si>
    <t>VB4 (0,30+0,30+0,15=0,75)</t>
  </si>
  <si>
    <t>16.6</t>
  </si>
  <si>
    <t>1.</t>
  </si>
  <si>
    <t>1.1.1</t>
  </si>
  <si>
    <t>1.2.1</t>
  </si>
  <si>
    <t>1.3.1</t>
  </si>
  <si>
    <t>1.3.2</t>
  </si>
  <si>
    <t>1.3.3</t>
  </si>
  <si>
    <t>1.3.4</t>
  </si>
  <si>
    <t>1.3.5</t>
  </si>
  <si>
    <t>1.3.7</t>
  </si>
  <si>
    <t>1.3.8</t>
  </si>
  <si>
    <t>1.3.9</t>
  </si>
  <si>
    <t>1.4.1</t>
  </si>
  <si>
    <t>1.4.2</t>
  </si>
  <si>
    <t>1.4.3</t>
  </si>
  <si>
    <t>1.4.4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</si>
  <si>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</si>
  <si>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</si>
  <si>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</si>
  <si>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</si>
  <si>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</si>
  <si>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</si>
  <si>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</si>
  <si>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</si>
  <si>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1.5.1</t>
  </si>
  <si>
    <t>1.5.2</t>
  </si>
  <si>
    <t>1.5.3</t>
  </si>
  <si>
    <t>1.6.1</t>
  </si>
  <si>
    <t>1.7.1</t>
  </si>
  <si>
    <t>1.8.1</t>
  </si>
  <si>
    <t>2.1.1</t>
  </si>
  <si>
    <t>2.1.3</t>
  </si>
  <si>
    <t>2.1.4</t>
  </si>
  <si>
    <t>2.1.5</t>
  </si>
  <si>
    <t>2.1.6</t>
  </si>
  <si>
    <t>ESCAVACAO MANUAL DE VALAS &lt; 1 MTS. (OBRAS CIVIS)</t>
  </si>
  <si>
    <t xml:space="preserve"> m3 </t>
  </si>
  <si>
    <t>3.2</t>
  </si>
  <si>
    <t>VB1 (0,15+0,15+0,15=0,45)</t>
  </si>
  <si>
    <t>VB3 (0,15+0,15+0,15=0,45)</t>
  </si>
  <si>
    <t>VB4 (0,15+0,15+0,15=0,45)</t>
  </si>
  <si>
    <t xml:space="preserve"> APILOAMENTO </t>
  </si>
  <si>
    <t>3.3</t>
  </si>
  <si>
    <t xml:space="preserve">VB3 </t>
  </si>
  <si>
    <t>3.1.2</t>
  </si>
  <si>
    <t>3.1.3</t>
  </si>
  <si>
    <t>3.2.1</t>
  </si>
  <si>
    <t>3.3.2</t>
  </si>
  <si>
    <t>3.3.3</t>
  </si>
  <si>
    <t>4.2.1</t>
  </si>
  <si>
    <t>4.3.1</t>
  </si>
  <si>
    <t>4.4.1</t>
  </si>
  <si>
    <t>4.4.5</t>
  </si>
  <si>
    <t>4.4.2</t>
  </si>
  <si>
    <t>4.4.3</t>
  </si>
  <si>
    <t>4.4.4</t>
  </si>
  <si>
    <t>4.4.6</t>
  </si>
  <si>
    <t>4.5.1</t>
  </si>
  <si>
    <t>4.5.5</t>
  </si>
  <si>
    <t>4.5.3</t>
  </si>
  <si>
    <t>4.5.4</t>
  </si>
  <si>
    <t>4.5.6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</si>
  <si>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</si>
  <si>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</si>
  <si>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</si>
  <si>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</si>
  <si>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</si>
  <si>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</si>
  <si>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</si>
  <si>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</si>
  <si>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4.7.1</t>
  </si>
  <si>
    <t>4.7.2</t>
  </si>
  <si>
    <t>4.7.3</t>
  </si>
  <si>
    <t>4.7.4</t>
  </si>
  <si>
    <t>5.1.1</t>
  </si>
  <si>
    <t>5.1.2</t>
  </si>
  <si>
    <t>5.1.3</t>
  </si>
  <si>
    <t>5.2.1</t>
  </si>
  <si>
    <t>5.2.2</t>
  </si>
  <si>
    <t>5.2.3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</si>
  <si>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</si>
  <si>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</si>
  <si>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</si>
  <si>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</si>
  <si>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</si>
  <si>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</si>
  <si>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</si>
  <si>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</si>
  <si>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</si>
  <si>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</si>
  <si>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</si>
  <si>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</si>
  <si>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 xml:space="preserve">FORMA-TABUA C/REAPROV. 2 VEZES - (OBRAS CIVIS) </t>
  </si>
  <si>
    <t>5.9</t>
  </si>
  <si>
    <t>Blocos ((0,50+0,50+0,50+0,50)*3,00=6)</t>
  </si>
  <si>
    <t>Tabela SINAPI 01/2018 - Desonerada</t>
  </si>
  <si>
    <t>3,00*1,85+3,00*1,15+3,00*1,40+5,00*1,15+5,00*1,25+3,00*1,35+3,00*1,65</t>
  </si>
  <si>
    <t>1,85+1,15+1,40+1,15+1,25+1,35+1,65</t>
  </si>
  <si>
    <t xml:space="preserve">REVESTIMENTO COM CERÂMICA </t>
  </si>
  <si>
    <t>1.6.3</t>
  </si>
  <si>
    <t>1.6.4</t>
  </si>
  <si>
    <t>Varanda</t>
  </si>
  <si>
    <t>18.2</t>
  </si>
  <si>
    <t xml:space="preserve"> PLACA DE INAUGURACAO ACO ESCOVADO 80 X 60 CM </t>
  </si>
  <si>
    <t>EMPOLAMENTO</t>
  </si>
  <si>
    <t xml:space="preserve">REATERRO COM APILOAMENTO </t>
  </si>
  <si>
    <t>3.4</t>
  </si>
  <si>
    <t>Lateral esquerda</t>
  </si>
  <si>
    <t>Lateral direita</t>
  </si>
  <si>
    <t>3.4.1</t>
  </si>
  <si>
    <t>3.4.3</t>
  </si>
  <si>
    <t xml:space="preserve">TUBO SOLDAVEL PVC MARROM DIAMETRO 25 mm </t>
  </si>
  <si>
    <t>7.15</t>
  </si>
  <si>
    <t>L U V A S DE P V C</t>
  </si>
  <si>
    <t>7.16</t>
  </si>
  <si>
    <t>7.17</t>
  </si>
  <si>
    <t xml:space="preserve"> LUVA SOLDAVEL DIAMETRO 25 mm </t>
  </si>
  <si>
    <t>5.4.1</t>
  </si>
  <si>
    <t>5.5.1</t>
  </si>
  <si>
    <t>5.5.2</t>
  </si>
  <si>
    <t>5.5.3</t>
  </si>
  <si>
    <t>5.6.1</t>
  </si>
  <si>
    <t>5.6.2</t>
  </si>
  <si>
    <t>5.6.3</t>
  </si>
  <si>
    <t>5.7.1</t>
  </si>
  <si>
    <t>5.7.2</t>
  </si>
  <si>
    <t>5.7.3</t>
  </si>
  <si>
    <t>5.7.4</t>
  </si>
  <si>
    <t>5.7.5</t>
  </si>
  <si>
    <t>5.7.6</t>
  </si>
  <si>
    <t>5.8.1</t>
  </si>
  <si>
    <t>5.8.2</t>
  </si>
  <si>
    <t>5.8.3</t>
  </si>
  <si>
    <t>5.8.4</t>
  </si>
  <si>
    <t>5.8.5</t>
  </si>
  <si>
    <t>5.8.6</t>
  </si>
  <si>
    <t>5.9.1</t>
  </si>
  <si>
    <t>5.9.2</t>
  </si>
  <si>
    <t>5.9.3</t>
  </si>
  <si>
    <t>5.9.4</t>
  </si>
  <si>
    <t>5.9.5</t>
  </si>
  <si>
    <t>5.9.6</t>
  </si>
  <si>
    <t>6.</t>
  </si>
  <si>
    <t>6.6.1</t>
  </si>
  <si>
    <t>6.1..1</t>
  </si>
  <si>
    <t>6.2.1</t>
  </si>
  <si>
    <t>6.3.1</t>
  </si>
  <si>
    <t>6.4.1</t>
  </si>
  <si>
    <t>6.5.1</t>
  </si>
  <si>
    <t>6..6</t>
  </si>
  <si>
    <t>6.7.1</t>
  </si>
  <si>
    <t>7.3.1</t>
  </si>
  <si>
    <t>7.4.1</t>
  </si>
  <si>
    <t>7.4.2</t>
  </si>
  <si>
    <t>7.4.3</t>
  </si>
  <si>
    <t>7.4.4</t>
  </si>
  <si>
    <t>7.6.1</t>
  </si>
  <si>
    <t>8.1.1</t>
  </si>
  <si>
    <t>8.1.2</t>
  </si>
  <si>
    <t>8.1.3</t>
  </si>
  <si>
    <t>8.1.4</t>
  </si>
  <si>
    <t>8.1.5</t>
  </si>
  <si>
    <t>9.1</t>
  </si>
  <si>
    <t>MANTA ASFALTICA TIPO III - B (4MM)</t>
  </si>
  <si>
    <t xml:space="preserve">Varanda </t>
  </si>
  <si>
    <t>9.1.1</t>
  </si>
  <si>
    <t>9.2.1</t>
  </si>
  <si>
    <t>9.2.2</t>
  </si>
  <si>
    <t>9.2.3</t>
  </si>
  <si>
    <t>10.1.1</t>
  </si>
  <si>
    <t>11.1.1</t>
  </si>
  <si>
    <t>11.2.1</t>
  </si>
  <si>
    <t>11.3.1</t>
  </si>
  <si>
    <t>11.4.1</t>
  </si>
  <si>
    <t>11.5.1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</si>
  <si>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</si>
  <si>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</si>
  <si>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</si>
  <si>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</si>
  <si>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</si>
  <si>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</si>
  <si>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</si>
  <si>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</si>
  <si>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</si>
  <si>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</si>
  <si>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</si>
  <si>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12.2.1</t>
  </si>
  <si>
    <t>13.1.1</t>
  </si>
  <si>
    <t>14.1</t>
  </si>
  <si>
    <t>14.1.1</t>
  </si>
  <si>
    <t>14.2.1</t>
  </si>
  <si>
    <t>14.3.1</t>
  </si>
  <si>
    <t>14.1.2</t>
  </si>
  <si>
    <t>14.1.3</t>
  </si>
  <si>
    <t>14.1.4</t>
  </si>
  <si>
    <t>14.1.5</t>
  </si>
  <si>
    <t>14.2.2</t>
  </si>
  <si>
    <t>14.2.3</t>
  </si>
  <si>
    <t>14.3.2</t>
  </si>
  <si>
    <t>14.3.3</t>
  </si>
  <si>
    <t>14.3.4</t>
  </si>
  <si>
    <t>14.3.5</t>
  </si>
  <si>
    <t>15.1.1</t>
  </si>
  <si>
    <t>15.1.2</t>
  </si>
  <si>
    <t>16.1.1</t>
  </si>
  <si>
    <t>16.2.1</t>
  </si>
  <si>
    <t>16.3.1</t>
  </si>
  <si>
    <t>16.3.2</t>
  </si>
  <si>
    <t>16.3.3</t>
  </si>
  <si>
    <t>16.3.4</t>
  </si>
  <si>
    <t>16.3.5</t>
  </si>
  <si>
    <t>16.3.6</t>
  </si>
  <si>
    <t>16.3.7</t>
  </si>
  <si>
    <t>16.3.8</t>
  </si>
  <si>
    <t>16.3.9</t>
  </si>
  <si>
    <t>16.3.10</t>
  </si>
  <si>
    <t>16.3.11</t>
  </si>
  <si>
    <t>16.3.12</t>
  </si>
  <si>
    <t>16.4.1</t>
  </si>
  <si>
    <t>16.4.2</t>
  </si>
  <si>
    <t>16.4.3</t>
  </si>
  <si>
    <t>16.4.4</t>
  </si>
  <si>
    <t>16.4.5</t>
  </si>
  <si>
    <t>16.4.6</t>
  </si>
  <si>
    <t>16.4.7</t>
  </si>
  <si>
    <t>16.4.8</t>
  </si>
  <si>
    <t>16.4.9</t>
  </si>
  <si>
    <t>16.4.10</t>
  </si>
  <si>
    <t>16.4.11</t>
  </si>
  <si>
    <t>16.5.1</t>
  </si>
  <si>
    <t>16.6.1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</si>
  <si>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</si>
  <si>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</si>
  <si>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</si>
  <si>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</si>
  <si>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</si>
  <si>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</si>
  <si>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</si>
  <si>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</si>
  <si>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</si>
  <si>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</si>
  <si>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</si>
  <si>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</si>
  <si>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</si>
  <si>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</si>
  <si>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</si>
  <si>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</si>
  <si>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Grupo de Serviço: 187 - Administração - Mensalistas</t>
  </si>
  <si>
    <t>ADMINISTRAÇÃO - MENSALISTAS</t>
  </si>
  <si>
    <t xml:space="preserve">ENCARREGADO - (OBRAS CIVIS) </t>
  </si>
  <si>
    <t xml:space="preserve">VIGIA DE OBRAS - (NOTURNO E NO SÁBADO/DOMINGO DIURNO) - O.C. </t>
  </si>
  <si>
    <t>Meses</t>
  </si>
  <si>
    <t xml:space="preserve">Dias </t>
  </si>
  <si>
    <t>Horas</t>
  </si>
  <si>
    <t>Encarregado</t>
  </si>
  <si>
    <t>Vigia - durante a semana</t>
  </si>
  <si>
    <t>Vigia - final de semana</t>
  </si>
  <si>
    <t>18.3</t>
  </si>
  <si>
    <t>18.4</t>
  </si>
  <si>
    <t>18.5</t>
  </si>
  <si>
    <t>18.6</t>
  </si>
  <si>
    <t>18.7</t>
  </si>
  <si>
    <t>19.</t>
  </si>
  <si>
    <t>19.1</t>
  </si>
  <si>
    <t>19.2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</si>
  <si>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</si>
  <si>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</si>
  <si>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</si>
  <si>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</si>
  <si>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</si>
  <si>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</si>
  <si>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</si>
  <si>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</si>
  <si>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</si>
  <si>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</si>
  <si>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</si>
  <si>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</si>
  <si>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</si>
  <si>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</si>
  <si>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</si>
  <si>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</si>
  <si>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</si>
  <si>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18.1.18</t>
  </si>
  <si>
    <t>18.1.19</t>
  </si>
  <si>
    <t>18.1.20</t>
  </si>
  <si>
    <t>18.1.21</t>
  </si>
  <si>
    <t>18.1.22</t>
  </si>
  <si>
    <t>18.1.23</t>
  </si>
  <si>
    <t>18.1.24</t>
  </si>
  <si>
    <t>18.1.25</t>
  </si>
  <si>
    <t>18.1.26</t>
  </si>
  <si>
    <t>18.1.27</t>
  </si>
  <si>
    <t>18.1.28</t>
  </si>
  <si>
    <t>18.1.29</t>
  </si>
  <si>
    <t>18.1.30</t>
  </si>
  <si>
    <t>18.1.31</t>
  </si>
  <si>
    <t>18.1.32</t>
  </si>
  <si>
    <t>18.1.33</t>
  </si>
  <si>
    <t>18.1.34</t>
  </si>
  <si>
    <t>18.1.35</t>
  </si>
  <si>
    <t>18.2.1</t>
  </si>
  <si>
    <t>18.2.2</t>
  </si>
  <si>
    <t>18.3.1</t>
  </si>
  <si>
    <t>18.3.2</t>
  </si>
  <si>
    <t>18.3.3</t>
  </si>
  <si>
    <t>18.3.4</t>
  </si>
  <si>
    <t>18.3.5</t>
  </si>
  <si>
    <t>18.3.6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</si>
  <si>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</si>
  <si>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</si>
  <si>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</si>
  <si>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</si>
  <si>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</si>
  <si>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</si>
  <si>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</si>
  <si>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</si>
  <si>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</si>
  <si>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</si>
  <si>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</si>
  <si>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18.4.12</t>
  </si>
  <si>
    <t>18.4.13</t>
  </si>
  <si>
    <t>18.4.14</t>
  </si>
  <si>
    <t>18.4.15</t>
  </si>
  <si>
    <t>18.4.16</t>
  </si>
  <si>
    <t>18.4.17</t>
  </si>
  <si>
    <t>18.4.18</t>
  </si>
  <si>
    <t>18.4.19</t>
  </si>
  <si>
    <t>18.4.20</t>
  </si>
  <si>
    <t>18.4.21</t>
  </si>
  <si>
    <t>18.4.22</t>
  </si>
  <si>
    <t>18.4.23</t>
  </si>
  <si>
    <t>18.4.24</t>
  </si>
  <si>
    <t>18.4.25</t>
  </si>
  <si>
    <t>18.4.26</t>
  </si>
  <si>
    <t>18.4.27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</si>
  <si>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</si>
  <si>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</si>
  <si>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</si>
  <si>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</si>
  <si>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</si>
  <si>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</si>
  <si>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</si>
  <si>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</si>
  <si>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</si>
  <si>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</si>
  <si>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</si>
  <si>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</si>
  <si>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</si>
  <si>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</si>
  <si>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</si>
  <si>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</si>
  <si>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18.5.17</t>
  </si>
  <si>
    <t>18.5.18</t>
  </si>
  <si>
    <t>18.5.19</t>
  </si>
  <si>
    <t>18.5.20</t>
  </si>
  <si>
    <t>18.5.21</t>
  </si>
  <si>
    <t>18.5.22</t>
  </si>
  <si>
    <t>18.5.23</t>
  </si>
  <si>
    <t>18.5.24</t>
  </si>
  <si>
    <t>18.5.25</t>
  </si>
  <si>
    <t>18.5.26</t>
  </si>
  <si>
    <t>18.5.27</t>
  </si>
  <si>
    <t>18.5.28</t>
  </si>
  <si>
    <t>18.5.29</t>
  </si>
  <si>
    <t>18.5.30</t>
  </si>
  <si>
    <t>18.5.31</t>
  </si>
  <si>
    <t>18.5.32</t>
  </si>
  <si>
    <t>18.5.33</t>
  </si>
  <si>
    <t>18.5.34</t>
  </si>
  <si>
    <t>18.6.1</t>
  </si>
  <si>
    <t>18.6.2</t>
  </si>
  <si>
    <t>18.6.3</t>
  </si>
  <si>
    <t>18.7.1</t>
  </si>
  <si>
    <t>18.7.2</t>
  </si>
  <si>
    <t>18.7.3</t>
  </si>
  <si>
    <t>Catalão, 28 de fevereiro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</si>
</sst>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  <numFmt numFmtId="166" formatCode="&quot;R$&quot;#,##0.00"/>
    <numFmt numFmtId="167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 tint="4.9989318521683403E-2"/>
      <name val="Arial Narrow"/>
      <family val="2"/>
    </font>
    <font>
      <b/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sz val="12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sz val="18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Border="1" applyAlignment="1"/>
    <xf numFmtId="0" fontId="8" fillId="0" borderId="0" xfId="0" applyFont="1" applyBorder="1"/>
    <xf numFmtId="0" fontId="8" fillId="2" borderId="0" xfId="0" applyFont="1" applyFill="1" applyBorder="1"/>
    <xf numFmtId="0" fontId="10" fillId="7" borderId="27" xfId="0" applyFont="1" applyFill="1" applyBorder="1" applyAlignment="1">
      <alignment horizontal="left" indent="2"/>
    </xf>
    <xf numFmtId="164" fontId="11" fillId="0" borderId="0" xfId="4" applyFont="1" applyBorder="1" applyAlignment="1"/>
    <xf numFmtId="0" fontId="8" fillId="0" borderId="0" xfId="0" applyFont="1" applyAlignment="1"/>
    <xf numFmtId="0" fontId="12" fillId="2" borderId="1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0" fontId="8" fillId="0" borderId="14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8" fillId="2" borderId="10" xfId="0" applyFont="1" applyFill="1" applyBorder="1"/>
    <xf numFmtId="0" fontId="9" fillId="7" borderId="27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10" fontId="8" fillId="2" borderId="2" xfId="3" applyNumberFormat="1" applyFont="1" applyFill="1" applyBorder="1"/>
    <xf numFmtId="0" fontId="9" fillId="2" borderId="2" xfId="0" applyFont="1" applyFill="1" applyBorder="1" applyAlignment="1">
      <alignment horizontal="center"/>
    </xf>
    <xf numFmtId="10" fontId="9" fillId="2" borderId="2" xfId="3" applyNumberFormat="1" applyFont="1" applyFill="1" applyBorder="1"/>
    <xf numFmtId="0" fontId="8" fillId="2" borderId="2" xfId="0" applyFont="1" applyFill="1" applyBorder="1" applyAlignment="1">
      <alignment horizontal="left" indent="2"/>
    </xf>
    <xf numFmtId="0" fontId="8" fillId="2" borderId="23" xfId="0" applyFont="1" applyFill="1" applyBorder="1" applyAlignment="1">
      <alignment horizontal="left" indent="2"/>
    </xf>
    <xf numFmtId="0" fontId="8" fillId="2" borderId="23" xfId="0" applyFont="1" applyFill="1" applyBorder="1" applyAlignment="1">
      <alignment horizontal="center"/>
    </xf>
    <xf numFmtId="10" fontId="8" fillId="2" borderId="23" xfId="3" applyNumberFormat="1" applyFont="1" applyFill="1" applyBorder="1"/>
    <xf numFmtId="0" fontId="8" fillId="0" borderId="0" xfId="0" applyFont="1" applyAlignment="1">
      <alignment vertical="center"/>
    </xf>
    <xf numFmtId="0" fontId="13" fillId="0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2" fontId="18" fillId="0" borderId="48" xfId="0" applyNumberFormat="1" applyFont="1" applyBorder="1" applyAlignment="1">
      <alignment horizontal="center" vertical="center" wrapText="1"/>
    </xf>
    <xf numFmtId="2" fontId="18" fillId="0" borderId="33" xfId="0" applyNumberFormat="1" applyFont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/>
    </xf>
    <xf numFmtId="0" fontId="8" fillId="0" borderId="2" xfId="0" applyFont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9" fillId="0" borderId="2" xfId="0" quotePrefix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horizontal="center"/>
    </xf>
    <xf numFmtId="0" fontId="19" fillId="0" borderId="2" xfId="0" applyFont="1" applyFill="1" applyBorder="1" applyAlignment="1">
      <alignment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2" fontId="9" fillId="0" borderId="23" xfId="0" applyNumberFormat="1" applyFont="1" applyBorder="1" applyAlignment="1">
      <alignment horizontal="center"/>
    </xf>
    <xf numFmtId="0" fontId="19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 wrapText="1"/>
    </xf>
    <xf numFmtId="2" fontId="19" fillId="0" borderId="18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8" xfId="0" applyFont="1" applyBorder="1"/>
    <xf numFmtId="0" fontId="8" fillId="0" borderId="23" xfId="0" applyFont="1" applyBorder="1"/>
    <xf numFmtId="0" fontId="9" fillId="0" borderId="2" xfId="0" applyFont="1" applyBorder="1" applyAlignment="1">
      <alignment horizontal="right"/>
    </xf>
    <xf numFmtId="167" fontId="8" fillId="0" borderId="2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2" fontId="8" fillId="0" borderId="6" xfId="0" applyNumberFormat="1" applyFont="1" applyBorder="1" applyAlignment="1"/>
    <xf numFmtId="2" fontId="8" fillId="0" borderId="6" xfId="0" applyNumberFormat="1" applyFont="1" applyBorder="1" applyAlignment="1">
      <alignment horizontal="center"/>
    </xf>
    <xf numFmtId="0" fontId="18" fillId="4" borderId="54" xfId="0" applyFont="1" applyFill="1" applyBorder="1" applyAlignment="1">
      <alignment horizontal="center"/>
    </xf>
    <xf numFmtId="0" fontId="18" fillId="4" borderId="55" xfId="0" applyFont="1" applyFill="1" applyBorder="1" applyAlignment="1">
      <alignment horizontal="center"/>
    </xf>
    <xf numFmtId="0" fontId="18" fillId="4" borderId="56" xfId="0" applyFont="1" applyFill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18" fillId="4" borderId="57" xfId="0" applyFont="1" applyFill="1" applyBorder="1" applyAlignment="1">
      <alignment horizontal="center"/>
    </xf>
    <xf numFmtId="0" fontId="14" fillId="0" borderId="36" xfId="0" applyFont="1" applyBorder="1" applyAlignment="1">
      <alignment vertical="center"/>
    </xf>
    <xf numFmtId="10" fontId="20" fillId="5" borderId="18" xfId="0" applyNumberFormat="1" applyFont="1" applyFill="1" applyBorder="1" applyAlignment="1">
      <alignment horizontal="center"/>
    </xf>
    <xf numFmtId="10" fontId="20" fillId="0" borderId="18" xfId="0" applyNumberFormat="1" applyFont="1" applyBorder="1" applyAlignment="1">
      <alignment horizontal="center"/>
    </xf>
    <xf numFmtId="165" fontId="19" fillId="0" borderId="51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10" fontId="20" fillId="5" borderId="2" xfId="0" applyNumberFormat="1" applyFont="1" applyFill="1" applyBorder="1" applyAlignment="1">
      <alignment horizontal="center"/>
    </xf>
    <xf numFmtId="165" fontId="19" fillId="0" borderId="4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 wrapText="1"/>
    </xf>
    <xf numFmtId="10" fontId="20" fillId="0" borderId="2" xfId="0" applyNumberFormat="1" applyFont="1" applyBorder="1" applyAlignment="1">
      <alignment horizontal="center"/>
    </xf>
    <xf numFmtId="10" fontId="20" fillId="0" borderId="2" xfId="0" applyNumberFormat="1" applyFont="1" applyFill="1" applyBorder="1" applyAlignment="1">
      <alignment horizontal="center"/>
    </xf>
    <xf numFmtId="10" fontId="19" fillId="0" borderId="2" xfId="3" applyNumberFormat="1" applyFont="1" applyBorder="1" applyAlignment="1">
      <alignment horizontal="center"/>
    </xf>
    <xf numFmtId="0" fontId="12" fillId="0" borderId="0" xfId="0" applyFont="1"/>
    <xf numFmtId="0" fontId="12" fillId="2" borderId="0" xfId="0" applyFont="1" applyFill="1" applyBorder="1"/>
    <xf numFmtId="0" fontId="21" fillId="2" borderId="0" xfId="0" applyFont="1" applyFill="1" applyBorder="1" applyAlignment="1">
      <alignment horizontal="left" vertical="center"/>
    </xf>
    <xf numFmtId="165" fontId="8" fillId="2" borderId="0" xfId="0" applyNumberFormat="1" applyFont="1" applyFill="1" applyBorder="1"/>
    <xf numFmtId="0" fontId="12" fillId="2" borderId="12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18" fillId="0" borderId="18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/>
    </xf>
    <xf numFmtId="0" fontId="19" fillId="0" borderId="18" xfId="0" applyFont="1" applyFill="1" applyBorder="1" applyAlignment="1">
      <alignment horizontal="left" vertical="center" wrapText="1"/>
    </xf>
    <xf numFmtId="0" fontId="19" fillId="0" borderId="2" xfId="0" quotePrefix="1" applyFont="1" applyFill="1" applyBorder="1" applyAlignment="1">
      <alignment horizontal="left" vertical="center" wrapText="1"/>
    </xf>
    <xf numFmtId="0" fontId="8" fillId="0" borderId="23" xfId="0" applyFont="1" applyFill="1" applyBorder="1"/>
    <xf numFmtId="0" fontId="8" fillId="0" borderId="23" xfId="0" applyFont="1" applyFill="1" applyBorder="1" applyAlignment="1">
      <alignment horizontal="center"/>
    </xf>
    <xf numFmtId="2" fontId="8" fillId="0" borderId="23" xfId="0" applyNumberFormat="1" applyFont="1" applyFill="1" applyBorder="1" applyAlignment="1">
      <alignment horizontal="center"/>
    </xf>
    <xf numFmtId="0" fontId="18" fillId="0" borderId="18" xfId="0" applyFont="1" applyFill="1" applyBorder="1" applyAlignment="1">
      <alignment horizontal="left" vertical="center" wrapText="1"/>
    </xf>
    <xf numFmtId="0" fontId="19" fillId="0" borderId="18" xfId="0" quotePrefix="1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9" fontId="8" fillId="0" borderId="18" xfId="3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18" fillId="0" borderId="35" xfId="0" applyNumberFormat="1" applyFont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8" fillId="0" borderId="18" xfId="0" applyFont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4" fillId="0" borderId="62" xfId="0" applyFont="1" applyBorder="1" applyAlignment="1">
      <alignment vertical="center"/>
    </xf>
    <xf numFmtId="10" fontId="20" fillId="0" borderId="23" xfId="0" applyNumberFormat="1" applyFont="1" applyBorder="1" applyAlignment="1">
      <alignment horizontal="center"/>
    </xf>
    <xf numFmtId="10" fontId="20" fillId="5" borderId="23" xfId="0" applyNumberFormat="1" applyFont="1" applyFill="1" applyBorder="1" applyAlignment="1">
      <alignment horizontal="center"/>
    </xf>
    <xf numFmtId="165" fontId="19" fillId="0" borderId="9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/>
    </xf>
    <xf numFmtId="0" fontId="18" fillId="0" borderId="17" xfId="0" applyNumberFormat="1" applyFont="1" applyBorder="1" applyAlignment="1">
      <alignment horizontal="center" vertical="center"/>
    </xf>
    <xf numFmtId="10" fontId="18" fillId="0" borderId="19" xfId="1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10" fontId="18" fillId="0" borderId="21" xfId="1" applyNumberFormat="1" applyFont="1" applyBorder="1" applyAlignment="1">
      <alignment horizontal="center" vertical="center"/>
    </xf>
    <xf numFmtId="0" fontId="18" fillId="0" borderId="61" xfId="0" applyNumberFormat="1" applyFont="1" applyBorder="1" applyAlignment="1">
      <alignment horizontal="center" vertical="center"/>
    </xf>
    <xf numFmtId="10" fontId="18" fillId="0" borderId="20" xfId="1" applyNumberFormat="1" applyFont="1" applyBorder="1" applyAlignment="1">
      <alignment horizontal="center" vertical="center"/>
    </xf>
    <xf numFmtId="166" fontId="13" fillId="0" borderId="64" xfId="3" applyNumberFormat="1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2" fontId="13" fillId="0" borderId="40" xfId="0" applyNumberFormat="1" applyFont="1" applyBorder="1" applyAlignment="1" applyProtection="1">
      <alignment horizontal="center" vertical="center" wrapText="1"/>
      <protection locked="0"/>
    </xf>
    <xf numFmtId="0" fontId="13" fillId="0" borderId="40" xfId="0" applyNumberFormat="1" applyFont="1" applyBorder="1" applyAlignment="1" applyProtection="1">
      <alignment horizontal="center" vertical="center" wrapText="1"/>
      <protection locked="0"/>
    </xf>
    <xf numFmtId="165" fontId="13" fillId="0" borderId="40" xfId="0" applyNumberFormat="1" applyFont="1" applyBorder="1" applyAlignment="1" applyProtection="1">
      <alignment horizontal="center" vertical="center" wrapText="1"/>
      <protection locked="0"/>
    </xf>
    <xf numFmtId="165" fontId="13" fillId="0" borderId="41" xfId="2" applyNumberFormat="1" applyFont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left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Border="1" applyAlignment="1" applyProtection="1">
      <alignment horizontal="right" vertical="center"/>
      <protection locked="0"/>
    </xf>
    <xf numFmtId="165" fontId="14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8" xfId="0" applyNumberFormat="1" applyFont="1" applyBorder="1" applyAlignment="1" applyProtection="1">
      <alignment horizontal="center" vertical="center"/>
      <protection locked="0"/>
    </xf>
    <xf numFmtId="165" fontId="14" fillId="0" borderId="2" xfId="0" applyNumberFormat="1" applyFont="1" applyBorder="1" applyAlignment="1" applyProtection="1">
      <alignment horizontal="center" vertical="center"/>
      <protection locked="0"/>
    </xf>
    <xf numFmtId="165" fontId="14" fillId="0" borderId="21" xfId="0" applyNumberFormat="1" applyFont="1" applyBorder="1" applyAlignment="1" applyProtection="1">
      <alignment horizontal="right" vertical="center"/>
      <protection locked="0"/>
    </xf>
    <xf numFmtId="165" fontId="15" fillId="0" borderId="20" xfId="2" applyNumberFormat="1" applyFont="1" applyBorder="1" applyAlignment="1" applyProtection="1">
      <alignment horizontal="center" vertical="center" wrapText="1"/>
      <protection locked="0"/>
    </xf>
    <xf numFmtId="165" fontId="15" fillId="0" borderId="59" xfId="0" applyNumberFormat="1" applyFont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165" fontId="15" fillId="0" borderId="21" xfId="2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2" fontId="14" fillId="0" borderId="2" xfId="0" applyNumberFormat="1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65" fontId="14" fillId="0" borderId="19" xfId="2" applyNumberFormat="1" applyFont="1" applyBorder="1" applyAlignment="1" applyProtection="1">
      <alignment horizontal="right" vertical="center" wrapText="1"/>
      <protection locked="0"/>
    </xf>
    <xf numFmtId="165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2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165" fontId="14" fillId="0" borderId="4" xfId="0" applyNumberFormat="1" applyFont="1" applyBorder="1" applyAlignment="1" applyProtection="1">
      <alignment horizontal="center" vertical="center" wrapText="1"/>
      <protection locked="0"/>
    </xf>
    <xf numFmtId="165" fontId="14" fillId="0" borderId="59" xfId="0" applyNumberFormat="1" applyFont="1" applyBorder="1" applyAlignment="1" applyProtection="1">
      <alignment horizontal="right" vertical="center"/>
      <protection locked="0"/>
    </xf>
    <xf numFmtId="165" fontId="15" fillId="0" borderId="50" xfId="2" applyNumberFormat="1" applyFont="1" applyBorder="1" applyAlignment="1" applyProtection="1">
      <alignment horizontal="center" vertical="center" wrapText="1"/>
      <protection locked="0"/>
    </xf>
    <xf numFmtId="0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quotePrefix="1" applyFont="1" applyBorder="1" applyAlignment="1" applyProtection="1">
      <alignment horizontal="left" vertical="center" wrapText="1"/>
      <protection locked="0"/>
    </xf>
    <xf numFmtId="165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65" fontId="14" fillId="0" borderId="21" xfId="2" applyNumberFormat="1" applyFont="1" applyBorder="1" applyAlignment="1" applyProtection="1">
      <alignment horizontal="right" vertical="center" wrapText="1"/>
      <protection locked="0"/>
    </xf>
    <xf numFmtId="165" fontId="15" fillId="0" borderId="21" xfId="2" applyNumberFormat="1" applyFont="1" applyBorder="1" applyAlignment="1" applyProtection="1">
      <alignment horizontal="center" vertical="center"/>
      <protection locked="0"/>
    </xf>
    <xf numFmtId="10" fontId="15" fillId="0" borderId="7" xfId="0" applyNumberFormat="1" applyFont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Border="1" applyAlignment="1" applyProtection="1">
      <alignment horizontal="center" vertical="center"/>
      <protection locked="0"/>
    </xf>
    <xf numFmtId="165" fontId="15" fillId="0" borderId="32" xfId="2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165" fontId="3" fillId="0" borderId="10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2" fontId="3" fillId="0" borderId="28" xfId="0" applyNumberFormat="1" applyFont="1" applyBorder="1" applyAlignment="1" applyProtection="1">
      <alignment horizontal="center" vertical="center"/>
      <protection locked="0"/>
    </xf>
    <xf numFmtId="165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2" fontId="3" fillId="0" borderId="18" xfId="0" applyNumberFormat="1" applyFont="1" applyFill="1" applyBorder="1" applyAlignment="1" applyProtection="1">
      <alignment horizontal="center" vertical="center"/>
      <protection locked="0"/>
    </xf>
    <xf numFmtId="165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</xf>
    <xf numFmtId="2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vertical="center"/>
    </xf>
    <xf numFmtId="2" fontId="14" fillId="0" borderId="18" xfId="0" applyNumberFormat="1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2" fontId="14" fillId="0" borderId="2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2" xfId="0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right" vertical="center" wrapText="1"/>
    </xf>
    <xf numFmtId="165" fontId="13" fillId="0" borderId="2" xfId="0" applyNumberFormat="1" applyFont="1" applyBorder="1" applyAlignment="1" applyProtection="1">
      <alignment horizontal="right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2" fontId="14" fillId="0" borderId="2" xfId="0" applyNumberFormat="1" applyFont="1" applyBorder="1" applyAlignment="1" applyProtection="1">
      <alignment horizontal="center" vertical="center" wrapText="1"/>
    </xf>
    <xf numFmtId="2" fontId="8" fillId="0" borderId="2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2" fontId="14" fillId="0" borderId="2" xfId="0" applyNumberFormat="1" applyFont="1" applyFill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 wrapText="1"/>
    </xf>
    <xf numFmtId="0" fontId="14" fillId="0" borderId="2" xfId="0" quotePrefix="1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8" xfId="0" quotePrefix="1" applyFont="1" applyBorder="1" applyAlignment="1" applyProtection="1">
      <alignment horizontal="left" vertical="center" wrapText="1"/>
    </xf>
    <xf numFmtId="2" fontId="14" fillId="0" borderId="18" xfId="0" applyNumberFormat="1" applyFont="1" applyBorder="1" applyAlignment="1" applyProtection="1">
      <alignment horizontal="center" vertical="center" wrapText="1"/>
    </xf>
    <xf numFmtId="0" fontId="14" fillId="0" borderId="17" xfId="0" applyNumberFormat="1" applyFont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left" vertical="center" wrapText="1"/>
    </xf>
    <xf numFmtId="4" fontId="14" fillId="0" borderId="2" xfId="0" applyNumberFormat="1" applyFont="1" applyBorder="1" applyAlignment="1" applyProtection="1">
      <alignment horizontal="center" vertical="center" wrapText="1"/>
    </xf>
    <xf numFmtId="2" fontId="14" fillId="0" borderId="6" xfId="0" applyNumberFormat="1" applyFont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4" fillId="0" borderId="59" xfId="0" applyNumberFormat="1" applyFont="1" applyBorder="1" applyAlignment="1" applyProtection="1">
      <alignment horizontal="center" vertical="center" wrapText="1"/>
      <protection locked="0"/>
    </xf>
    <xf numFmtId="2" fontId="14" fillId="0" borderId="2" xfId="0" applyNumberFormat="1" applyFont="1" applyBorder="1" applyAlignment="1" applyProtection="1">
      <alignment horizontal="center" vertical="center" wrapText="1"/>
      <protection locked="0"/>
    </xf>
    <xf numFmtId="2" fontId="14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3" fillId="0" borderId="22" xfId="0" applyFont="1" applyBorder="1" applyAlignment="1" applyProtection="1">
      <alignment horizontal="right" vertical="center" wrapText="1"/>
      <protection locked="0"/>
    </xf>
    <xf numFmtId="0" fontId="13" fillId="0" borderId="30" xfId="0" applyFont="1" applyBorder="1" applyAlignment="1" applyProtection="1">
      <alignment horizontal="right" vertical="center" wrapText="1"/>
      <protection locked="0"/>
    </xf>
    <xf numFmtId="0" fontId="13" fillId="0" borderId="42" xfId="0" applyFont="1" applyBorder="1" applyAlignment="1" applyProtection="1">
      <alignment horizontal="right" vertical="center" wrapText="1"/>
      <protection locked="0"/>
    </xf>
    <xf numFmtId="0" fontId="13" fillId="0" borderId="31" xfId="0" applyFont="1" applyBorder="1" applyAlignment="1" applyProtection="1">
      <alignment horizontal="right" vertical="center" wrapText="1"/>
      <protection locked="0"/>
    </xf>
    <xf numFmtId="0" fontId="13" fillId="3" borderId="27" xfId="0" applyFont="1" applyFill="1" applyBorder="1" applyAlignment="1" applyProtection="1">
      <alignment horizontal="left" vertical="center" wrapText="1"/>
      <protection locked="0"/>
    </xf>
    <xf numFmtId="0" fontId="13" fillId="3" borderId="28" xfId="0" applyFont="1" applyFill="1" applyBorder="1" applyAlignment="1" applyProtection="1">
      <alignment horizontal="left" vertical="center" wrapText="1"/>
      <protection locked="0"/>
    </xf>
    <xf numFmtId="0" fontId="13" fillId="3" borderId="29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Fill="1" applyBorder="1" applyAlignment="1" applyProtection="1">
      <alignment horizontal="center" vertical="center" wrapText="1"/>
      <protection locked="0"/>
    </xf>
    <xf numFmtId="0" fontId="14" fillId="0" borderId="60" xfId="0" applyFont="1" applyFill="1" applyBorder="1" applyAlignment="1" applyProtection="1">
      <alignment horizontal="center" vertical="center" wrapText="1"/>
      <protection locked="0"/>
    </xf>
    <xf numFmtId="2" fontId="14" fillId="0" borderId="52" xfId="0" applyNumberFormat="1" applyFont="1" applyBorder="1" applyAlignment="1" applyProtection="1">
      <alignment horizontal="center" vertical="center" wrapText="1"/>
      <protection locked="0"/>
    </xf>
    <xf numFmtId="2" fontId="14" fillId="0" borderId="34" xfId="0" applyNumberFormat="1" applyFont="1" applyBorder="1" applyAlignment="1" applyProtection="1">
      <alignment horizontal="center" vertical="center" wrapText="1"/>
      <protection locked="0"/>
    </xf>
    <xf numFmtId="2" fontId="14" fillId="0" borderId="43" xfId="0" applyNumberFormat="1" applyFont="1" applyBorder="1" applyAlignment="1" applyProtection="1">
      <alignment horizontal="center" vertical="center" wrapText="1"/>
      <protection locked="0"/>
    </xf>
    <xf numFmtId="166" fontId="14" fillId="0" borderId="6" xfId="2" applyNumberFormat="1" applyFont="1" applyBorder="1" applyAlignment="1" applyProtection="1">
      <alignment horizontal="center" vertical="center" wrapText="1"/>
      <protection locked="0"/>
    </xf>
    <xf numFmtId="166" fontId="14" fillId="0" borderId="7" xfId="2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59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 applyProtection="1">
      <alignment horizontal="right" vertical="center" wrapText="1"/>
      <protection locked="0"/>
    </xf>
    <xf numFmtId="0" fontId="15" fillId="0" borderId="44" xfId="0" applyFont="1" applyBorder="1" applyAlignment="1" applyProtection="1">
      <alignment horizontal="right" vertical="center" wrapText="1"/>
      <protection locked="0"/>
    </xf>
    <xf numFmtId="0" fontId="15" fillId="0" borderId="34" xfId="0" applyFont="1" applyBorder="1" applyAlignment="1" applyProtection="1">
      <alignment horizontal="right" vertical="center" wrapText="1"/>
      <protection locked="0"/>
    </xf>
    <xf numFmtId="0" fontId="15" fillId="0" borderId="26" xfId="0" applyFont="1" applyBorder="1" applyAlignment="1" applyProtection="1">
      <alignment horizontal="right"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6" fillId="6" borderId="28" xfId="0" applyFont="1" applyFill="1" applyBorder="1" applyAlignment="1" applyProtection="1">
      <alignment horizontal="center" vertical="center" wrapText="1"/>
      <protection locked="0"/>
    </xf>
    <xf numFmtId="0" fontId="16" fillId="6" borderId="29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  <protection locked="0"/>
    </xf>
    <xf numFmtId="0" fontId="13" fillId="4" borderId="28" xfId="0" applyFont="1" applyFill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Alignment="1" applyProtection="1">
      <alignment horizontal="right" vertical="center" wrapText="1"/>
      <protection locked="0"/>
    </xf>
    <xf numFmtId="0" fontId="15" fillId="0" borderId="42" xfId="0" applyFont="1" applyFill="1" applyBorder="1" applyAlignment="1" applyProtection="1">
      <alignment horizontal="right" vertical="center" wrapText="1"/>
      <protection locked="0"/>
    </xf>
    <xf numFmtId="0" fontId="15" fillId="0" borderId="31" xfId="0" applyFont="1" applyFill="1" applyBorder="1" applyAlignment="1" applyProtection="1">
      <alignment horizontal="right" vertical="center" wrapText="1"/>
      <protection locked="0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2" fontId="14" fillId="0" borderId="18" xfId="0" applyNumberFormat="1" applyFont="1" applyBorder="1" applyAlignment="1" applyProtection="1">
      <alignment horizontal="center" vertical="center" wrapText="1"/>
      <protection locked="0"/>
    </xf>
    <xf numFmtId="2" fontId="14" fillId="0" borderId="19" xfId="0" applyNumberFormat="1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right" vertical="center" wrapText="1"/>
      <protection locked="0"/>
    </xf>
    <xf numFmtId="0" fontId="13" fillId="0" borderId="23" xfId="0" applyFont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22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52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horizontal="right" vertical="center" wrapText="1"/>
      <protection locked="0"/>
    </xf>
    <xf numFmtId="0" fontId="13" fillId="0" borderId="28" xfId="0" applyFont="1" applyFill="1" applyBorder="1" applyAlignment="1" applyProtection="1">
      <alignment horizontal="right" vertical="center" wrapText="1"/>
      <protection locked="0"/>
    </xf>
    <xf numFmtId="0" fontId="13" fillId="0" borderId="29" xfId="0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Fill="1" applyBorder="1" applyAlignment="1" applyProtection="1">
      <alignment horizontal="center" vertical="center" wrapText="1"/>
      <protection locked="0"/>
    </xf>
    <xf numFmtId="0" fontId="13" fillId="0" borderId="51" xfId="0" applyFont="1" applyFill="1" applyBorder="1" applyAlignment="1" applyProtection="1">
      <alignment horizontal="center" vertical="center" wrapText="1"/>
      <protection locked="0"/>
    </xf>
    <xf numFmtId="0" fontId="13" fillId="0" borderId="60" xfId="0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4" fillId="0" borderId="36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18" fillId="3" borderId="37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8" fillId="0" borderId="5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3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36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18" fillId="3" borderId="37" xfId="0" applyFont="1" applyFill="1" applyBorder="1" applyAlignment="1">
      <alignment horizontal="left" vertical="center"/>
    </xf>
    <xf numFmtId="0" fontId="18" fillId="3" borderId="40" xfId="0" applyFont="1" applyFill="1" applyBorder="1" applyAlignment="1">
      <alignment horizontal="left" vertical="center"/>
    </xf>
    <xf numFmtId="0" fontId="18" fillId="3" borderId="4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2" fontId="18" fillId="0" borderId="35" xfId="0" applyNumberFormat="1" applyFont="1" applyBorder="1" applyAlignment="1">
      <alignment horizontal="center" vertical="center" wrapText="1"/>
    </xf>
    <xf numFmtId="2" fontId="18" fillId="0" borderId="49" xfId="0" applyNumberFormat="1" applyFont="1" applyBorder="1" applyAlignment="1">
      <alignment horizontal="center" vertical="center" wrapText="1"/>
    </xf>
    <xf numFmtId="2" fontId="18" fillId="0" borderId="45" xfId="0" applyNumberFormat="1" applyFont="1" applyBorder="1" applyAlignment="1">
      <alignment horizontal="center" vertical="center" wrapText="1"/>
    </xf>
    <xf numFmtId="2" fontId="18" fillId="0" borderId="33" xfId="0" applyNumberFormat="1" applyFont="1" applyBorder="1" applyAlignment="1">
      <alignment horizontal="center" vertical="center" wrapText="1"/>
    </xf>
    <xf numFmtId="43" fontId="18" fillId="4" borderId="37" xfId="1" applyFont="1" applyFill="1" applyBorder="1" applyAlignment="1">
      <alignment horizontal="left" vertical="center"/>
    </xf>
    <xf numFmtId="43" fontId="18" fillId="4" borderId="40" xfId="1" applyFont="1" applyFill="1" applyBorder="1" applyAlignment="1">
      <alignment horizontal="left" vertical="center"/>
    </xf>
    <xf numFmtId="43" fontId="18" fillId="4" borderId="41" xfId="1" applyFont="1" applyFill="1" applyBorder="1" applyAlignment="1">
      <alignment horizontal="left" vertical="center"/>
    </xf>
    <xf numFmtId="0" fontId="18" fillId="3" borderId="49" xfId="0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8" fillId="0" borderId="52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wrapText="1"/>
    </xf>
    <xf numFmtId="2" fontId="8" fillId="0" borderId="2" xfId="1" applyNumberFormat="1" applyFont="1" applyBorder="1" applyAlignment="1">
      <alignment horizont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2" fontId="8" fillId="0" borderId="47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165" fontId="14" fillId="0" borderId="64" xfId="0" applyNumberFormat="1" applyFont="1" applyBorder="1" applyAlignment="1">
      <alignment horizontal="center"/>
    </xf>
    <xf numFmtId="165" fontId="14" fillId="0" borderId="32" xfId="0" applyNumberFormat="1" applyFont="1" applyBorder="1" applyAlignment="1">
      <alignment horizontal="center"/>
    </xf>
    <xf numFmtId="0" fontId="18" fillId="4" borderId="27" xfId="0" applyNumberFormat="1" applyFont="1" applyFill="1" applyBorder="1" applyAlignment="1">
      <alignment horizontal="center" vertical="center"/>
    </xf>
    <xf numFmtId="0" fontId="18" fillId="4" borderId="28" xfId="0" applyNumberFormat="1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10" xfId="0" applyFont="1" applyFill="1" applyBorder="1" applyAlignment="1">
      <alignment horizontal="right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4" borderId="35" xfId="0" applyNumberFormat="1" applyFont="1" applyFill="1" applyBorder="1" applyAlignment="1">
      <alignment horizontal="center" vertical="center"/>
    </xf>
    <xf numFmtId="0" fontId="18" fillId="4" borderId="54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18" fillId="4" borderId="57" xfId="0" applyFont="1" applyFill="1" applyBorder="1" applyAlignment="1">
      <alignment horizontal="center" vertical="center"/>
    </xf>
    <xf numFmtId="165" fontId="18" fillId="4" borderId="46" xfId="0" applyNumberFormat="1" applyFont="1" applyFill="1" applyBorder="1" applyAlignment="1">
      <alignment horizontal="center" vertical="center" wrapText="1"/>
    </xf>
    <xf numFmtId="165" fontId="18" fillId="4" borderId="58" xfId="0" applyNumberFormat="1" applyFont="1" applyFill="1" applyBorder="1" applyAlignment="1">
      <alignment horizontal="center" vertical="center" wrapText="1"/>
    </xf>
    <xf numFmtId="43" fontId="18" fillId="4" borderId="33" xfId="1" applyFont="1" applyFill="1" applyBorder="1" applyAlignment="1">
      <alignment horizontal="center" vertical="center" wrapText="1"/>
    </xf>
    <xf numFmtId="43" fontId="18" fillId="4" borderId="56" xfId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0" fontId="10" fillId="7" borderId="28" xfId="0" applyNumberFormat="1" applyFont="1" applyFill="1" applyBorder="1" applyAlignment="1">
      <alignment horizontal="center"/>
    </xf>
    <xf numFmtId="10" fontId="10" fillId="7" borderId="29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11" fillId="0" borderId="15" xfId="4" applyFont="1" applyFill="1" applyBorder="1" applyAlignment="1">
      <alignment horizontal="center"/>
    </xf>
    <xf numFmtId="164" fontId="11" fillId="0" borderId="16" xfId="4" applyFont="1" applyFill="1" applyBorder="1" applyAlignment="1">
      <alignment horizontal="center"/>
    </xf>
    <xf numFmtId="164" fontId="11" fillId="0" borderId="0" xfId="4" applyFont="1" applyFill="1" applyBorder="1" applyAlignment="1">
      <alignment horizontal="center"/>
    </xf>
    <xf numFmtId="164" fontId="11" fillId="0" borderId="10" xfId="4" applyFont="1" applyFill="1" applyBorder="1" applyAlignment="1">
      <alignment horizontal="center"/>
    </xf>
  </cellXfs>
  <cellStyles count="5">
    <cellStyle name="Moeda" xfId="2" builtinId="4"/>
    <cellStyle name="Moeda 2" xf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1</xdr:row>
      <xdr:rowOff>147638</xdr:rowOff>
    </xdr:from>
    <xdr:to>
      <xdr:col>4</xdr:col>
      <xdr:colOff>1287530</xdr:colOff>
      <xdr:row>5</xdr:row>
      <xdr:rowOff>125214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06" y="350838"/>
          <a:ext cx="3048794" cy="829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44564</xdr:colOff>
      <xdr:row>1</xdr:row>
      <xdr:rowOff>86755</xdr:rowOff>
    </xdr:from>
    <xdr:to>
      <xdr:col>2</xdr:col>
      <xdr:colOff>2254364</xdr:colOff>
      <xdr:row>6</xdr:row>
      <xdr:rowOff>55120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638596" y="291594"/>
          <a:ext cx="2619478" cy="94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96745</xdr:colOff>
      <xdr:row>1</xdr:row>
      <xdr:rowOff>101786</xdr:rowOff>
    </xdr:from>
    <xdr:to>
      <xdr:col>2</xdr:col>
      <xdr:colOff>3175001</xdr:colOff>
      <xdr:row>7</xdr:row>
      <xdr:rowOff>63499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769845" y="304986"/>
          <a:ext cx="3522756" cy="110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954089</xdr:colOff>
      <xdr:row>18</xdr:row>
      <xdr:rowOff>141287</xdr:rowOff>
    </xdr:from>
    <xdr:to>
      <xdr:col>4</xdr:col>
      <xdr:colOff>522288</xdr:colOff>
      <xdr:row>24</xdr:row>
      <xdr:rowOff>175394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67"/>
        <a:stretch/>
      </xdr:blipFill>
      <xdr:spPr>
        <a:xfrm>
          <a:off x="2128839" y="3959225"/>
          <a:ext cx="3933824" cy="1272357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</xdr:row>
      <xdr:rowOff>65088</xdr:rowOff>
    </xdr:from>
    <xdr:to>
      <xdr:col>2</xdr:col>
      <xdr:colOff>1793875</xdr:colOff>
      <xdr:row>3</xdr:row>
      <xdr:rowOff>163651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7338"/>
          <a:ext cx="1749425" cy="511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71"/>
  <sheetViews>
    <sheetView showGridLines="0" tabSelected="1" view="pageBreakPreview" zoomScaleSheetLayoutView="100" workbookViewId="0">
      <selection activeCell="G14" sqref="G14"/>
    </sheetView>
  </sheetViews>
  <sheetFormatPr defaultColWidth="8.85546875" defaultRowHeight="15" x14ac:dyDescent="0.25"/>
  <cols>
    <col min="1" max="1" width="8.85546875" style="251"/>
    <col min="2" max="2" width="5.140625" style="240" customWidth="1"/>
    <col min="3" max="3" width="9.42578125" style="240" bestFit="1" customWidth="1"/>
    <col min="4" max="4" width="10.140625" style="240" bestFit="1" customWidth="1"/>
    <col min="5" max="5" width="77.42578125" style="241" customWidth="1"/>
    <col min="6" max="6" width="7.85546875" style="242" bestFit="1" customWidth="1"/>
    <col min="7" max="7" width="5.85546875" style="240" customWidth="1"/>
    <col min="8" max="8" width="10.28515625" style="243" bestFit="1" customWidth="1"/>
    <col min="9" max="9" width="12.140625" style="243" customWidth="1"/>
    <col min="10" max="10" width="18" style="243" bestFit="1" customWidth="1"/>
    <col min="11" max="11" width="15.42578125" style="251" customWidth="1"/>
    <col min="12" max="16384" width="8.85546875" style="251"/>
  </cols>
  <sheetData>
    <row r="1" spans="2:11" s="180" customFormat="1" ht="15.75" thickBot="1" x14ac:dyDescent="0.3">
      <c r="B1" s="176"/>
      <c r="C1" s="176"/>
      <c r="D1" s="176"/>
      <c r="E1" s="177"/>
      <c r="F1" s="178"/>
      <c r="G1" s="176"/>
      <c r="H1" s="179"/>
      <c r="I1" s="179"/>
      <c r="J1" s="179"/>
    </row>
    <row r="2" spans="2:11" s="180" customFormat="1" ht="16.5" x14ac:dyDescent="0.25">
      <c r="B2" s="381" t="s">
        <v>13</v>
      </c>
      <c r="C2" s="382"/>
      <c r="D2" s="382"/>
      <c r="E2" s="382"/>
      <c r="F2" s="382"/>
      <c r="G2" s="382"/>
      <c r="H2" s="382"/>
      <c r="I2" s="382"/>
      <c r="J2" s="383"/>
      <c r="K2" s="181"/>
    </row>
    <row r="3" spans="2:11" s="180" customFormat="1" ht="16.5" x14ac:dyDescent="0.25">
      <c r="B3" s="384" t="s">
        <v>1</v>
      </c>
      <c r="C3" s="385"/>
      <c r="D3" s="385"/>
      <c r="E3" s="385"/>
      <c r="F3" s="385"/>
      <c r="G3" s="385"/>
      <c r="H3" s="385"/>
      <c r="I3" s="385"/>
      <c r="J3" s="386"/>
      <c r="K3" s="181"/>
    </row>
    <row r="4" spans="2:11" s="180" customFormat="1" ht="16.5" x14ac:dyDescent="0.25">
      <c r="B4" s="384" t="s">
        <v>14</v>
      </c>
      <c r="C4" s="385"/>
      <c r="D4" s="385"/>
      <c r="E4" s="385"/>
      <c r="F4" s="385"/>
      <c r="G4" s="385"/>
      <c r="H4" s="385"/>
      <c r="I4" s="385"/>
      <c r="J4" s="386"/>
      <c r="K4" s="181"/>
    </row>
    <row r="5" spans="2:11" s="180" customFormat="1" ht="16.5" x14ac:dyDescent="0.25">
      <c r="B5" s="387" t="s">
        <v>245</v>
      </c>
      <c r="C5" s="388"/>
      <c r="D5" s="388"/>
      <c r="E5" s="388"/>
      <c r="F5" s="388"/>
      <c r="G5" s="388"/>
      <c r="H5" s="388"/>
      <c r="I5" s="388"/>
      <c r="J5" s="389"/>
      <c r="K5" s="181"/>
    </row>
    <row r="6" spans="2:11" s="180" customFormat="1" ht="15" customHeight="1" x14ac:dyDescent="0.25">
      <c r="B6" s="390" t="s">
        <v>369</v>
      </c>
      <c r="C6" s="391"/>
      <c r="D6" s="391"/>
      <c r="E6" s="391"/>
      <c r="F6" s="391"/>
      <c r="G6" s="391"/>
      <c r="H6" s="391"/>
      <c r="I6" s="391"/>
      <c r="J6" s="392"/>
      <c r="K6" s="181"/>
    </row>
    <row r="7" spans="2:11" s="180" customFormat="1" ht="15" customHeight="1" x14ac:dyDescent="0.25">
      <c r="B7" s="398" t="str">
        <f>Cronograma!B8</f>
        <v>Tabela 128 - Custo Obras Civis - Novembro/2017 - Desonerada</v>
      </c>
      <c r="C7" s="399"/>
      <c r="D7" s="399"/>
      <c r="E7" s="399"/>
      <c r="F7" s="399"/>
      <c r="G7" s="399"/>
      <c r="H7" s="399"/>
      <c r="I7" s="399"/>
      <c r="J7" s="400"/>
      <c r="K7" s="181"/>
    </row>
    <row r="8" spans="2:11" s="180" customFormat="1" ht="16.5" customHeight="1" thickBot="1" x14ac:dyDescent="0.3">
      <c r="B8" s="401" t="s">
        <v>559</v>
      </c>
      <c r="C8" s="402"/>
      <c r="D8" s="402"/>
      <c r="E8" s="402"/>
      <c r="F8" s="402"/>
      <c r="G8" s="402"/>
      <c r="H8" s="402"/>
      <c r="I8" s="402"/>
      <c r="J8" s="403"/>
      <c r="K8" s="181"/>
    </row>
    <row r="9" spans="2:11" s="180" customFormat="1" ht="15.75" customHeight="1" thickBot="1" x14ac:dyDescent="0.3">
      <c r="B9" s="404" t="s">
        <v>839</v>
      </c>
      <c r="C9" s="405"/>
      <c r="D9" s="405"/>
      <c r="E9" s="405"/>
      <c r="F9" s="405"/>
      <c r="G9" s="405"/>
      <c r="H9" s="405"/>
      <c r="I9" s="405"/>
      <c r="J9" s="406"/>
      <c r="K9" s="181"/>
    </row>
    <row r="10" spans="2:11" s="180" customFormat="1" ht="17.25" thickBot="1" x14ac:dyDescent="0.3">
      <c r="B10" s="182" t="s">
        <v>3</v>
      </c>
      <c r="C10" s="393" t="s">
        <v>15</v>
      </c>
      <c r="D10" s="394"/>
      <c r="E10" s="183" t="s">
        <v>4</v>
      </c>
      <c r="F10" s="184" t="s">
        <v>16</v>
      </c>
      <c r="G10" s="185" t="s">
        <v>17</v>
      </c>
      <c r="H10" s="186" t="s">
        <v>18</v>
      </c>
      <c r="I10" s="186" t="s">
        <v>19</v>
      </c>
      <c r="J10" s="187" t="s">
        <v>9</v>
      </c>
      <c r="K10" s="181"/>
    </row>
    <row r="11" spans="2:11" s="180" customFormat="1" ht="15.95" customHeight="1" thickBot="1" x14ac:dyDescent="0.3">
      <c r="B11" s="333" t="s">
        <v>7</v>
      </c>
      <c r="C11" s="334"/>
      <c r="D11" s="334"/>
      <c r="E11" s="334"/>
      <c r="F11" s="334"/>
      <c r="G11" s="334"/>
      <c r="H11" s="334"/>
      <c r="I11" s="334"/>
      <c r="J11" s="335"/>
      <c r="K11" s="181"/>
    </row>
    <row r="12" spans="2:11" s="180" customFormat="1" ht="15.95" customHeight="1" x14ac:dyDescent="0.25">
      <c r="B12" s="188" t="s">
        <v>465</v>
      </c>
      <c r="C12" s="189" t="s">
        <v>24</v>
      </c>
      <c r="D12" s="190">
        <v>20000</v>
      </c>
      <c r="E12" s="191" t="s">
        <v>246</v>
      </c>
      <c r="F12" s="407"/>
      <c r="G12" s="408"/>
      <c r="H12" s="408"/>
      <c r="I12" s="408"/>
      <c r="J12" s="409"/>
      <c r="K12" s="181"/>
    </row>
    <row r="13" spans="2:11" s="180" customFormat="1" ht="15.95" customHeight="1" x14ac:dyDescent="0.25">
      <c r="B13" s="268" t="s">
        <v>49</v>
      </c>
      <c r="C13" s="269" t="s">
        <v>24</v>
      </c>
      <c r="D13" s="270">
        <v>20101</v>
      </c>
      <c r="E13" s="271" t="s">
        <v>299</v>
      </c>
      <c r="F13" s="272">
        <f>'Memória de cálculo'!H15</f>
        <v>27</v>
      </c>
      <c r="G13" s="273" t="s">
        <v>21</v>
      </c>
      <c r="H13" s="195"/>
      <c r="I13" s="195"/>
      <c r="J13" s="196">
        <f t="shared" ref="J13:J19" si="0">(I13+H13)*F13</f>
        <v>0</v>
      </c>
      <c r="K13" s="181"/>
    </row>
    <row r="14" spans="2:11" s="180" customFormat="1" ht="15.95" customHeight="1" x14ac:dyDescent="0.25">
      <c r="B14" s="268" t="s">
        <v>50</v>
      </c>
      <c r="C14" s="269" t="s">
        <v>24</v>
      </c>
      <c r="D14" s="270">
        <v>20103</v>
      </c>
      <c r="E14" s="271" t="s">
        <v>300</v>
      </c>
      <c r="F14" s="275">
        <f>'Memória de cálculo'!H18</f>
        <v>27</v>
      </c>
      <c r="G14" s="270" t="s">
        <v>21</v>
      </c>
      <c r="H14" s="197"/>
      <c r="I14" s="197"/>
      <c r="J14" s="196">
        <f t="shared" si="0"/>
        <v>0</v>
      </c>
      <c r="K14" s="181"/>
    </row>
    <row r="15" spans="2:11" s="180" customFormat="1" ht="16.5" x14ac:dyDescent="0.25">
      <c r="B15" s="268" t="s">
        <v>51</v>
      </c>
      <c r="C15" s="269" t="s">
        <v>24</v>
      </c>
      <c r="D15" s="276">
        <v>20106</v>
      </c>
      <c r="E15" s="277" t="s">
        <v>166</v>
      </c>
      <c r="F15" s="278">
        <f>'Memória de cálculo'!H30</f>
        <v>19.950000000000003</v>
      </c>
      <c r="G15" s="276" t="s">
        <v>21</v>
      </c>
      <c r="H15" s="198"/>
      <c r="I15" s="198"/>
      <c r="J15" s="196">
        <f t="shared" si="0"/>
        <v>0</v>
      </c>
      <c r="K15" s="181"/>
    </row>
    <row r="16" spans="2:11" s="180" customFormat="1" ht="16.5" x14ac:dyDescent="0.25">
      <c r="B16" s="268" t="s">
        <v>52</v>
      </c>
      <c r="C16" s="269" t="s">
        <v>24</v>
      </c>
      <c r="D16" s="279">
        <v>20109</v>
      </c>
      <c r="E16" s="280" t="s">
        <v>216</v>
      </c>
      <c r="F16" s="281">
        <f>'Memória de cálculo'!H45</f>
        <v>361.25880000000001</v>
      </c>
      <c r="G16" s="279" t="s">
        <v>21</v>
      </c>
      <c r="H16" s="199"/>
      <c r="I16" s="199"/>
      <c r="J16" s="200">
        <f t="shared" si="0"/>
        <v>0</v>
      </c>
      <c r="K16" s="181"/>
    </row>
    <row r="17" spans="2:11" s="180" customFormat="1" ht="16.5" x14ac:dyDescent="0.25">
      <c r="B17" s="268" t="s">
        <v>53</v>
      </c>
      <c r="C17" s="269" t="s">
        <v>24</v>
      </c>
      <c r="D17" s="279">
        <v>20115</v>
      </c>
      <c r="E17" s="280" t="s">
        <v>171</v>
      </c>
      <c r="F17" s="281">
        <f>'Memória de cálculo'!H60</f>
        <v>51.531999999999982</v>
      </c>
      <c r="G17" s="279" t="s">
        <v>21</v>
      </c>
      <c r="H17" s="199"/>
      <c r="I17" s="199"/>
      <c r="J17" s="200">
        <f t="shared" si="0"/>
        <v>0</v>
      </c>
      <c r="K17" s="181"/>
    </row>
    <row r="18" spans="2:11" s="180" customFormat="1" ht="16.5" x14ac:dyDescent="0.25">
      <c r="B18" s="268" t="s">
        <v>54</v>
      </c>
      <c r="C18" s="269" t="s">
        <v>24</v>
      </c>
      <c r="D18" s="279">
        <v>20117</v>
      </c>
      <c r="E18" s="280" t="s">
        <v>172</v>
      </c>
      <c r="F18" s="281">
        <f>'Memória de cálculo'!H77</f>
        <v>17.7</v>
      </c>
      <c r="G18" s="279" t="s">
        <v>173</v>
      </c>
      <c r="H18" s="199"/>
      <c r="I18" s="199"/>
      <c r="J18" s="200">
        <f t="shared" si="0"/>
        <v>0</v>
      </c>
      <c r="K18" s="181"/>
    </row>
    <row r="19" spans="2:11" s="180" customFormat="1" ht="15.95" customHeight="1" x14ac:dyDescent="0.25">
      <c r="B19" s="268" t="s">
        <v>274</v>
      </c>
      <c r="C19" s="269" t="s">
        <v>24</v>
      </c>
      <c r="D19" s="270">
        <v>20128</v>
      </c>
      <c r="E19" s="271" t="s">
        <v>301</v>
      </c>
      <c r="F19" s="275">
        <f>'Memória de cálculo'!H80</f>
        <v>0.12500000000000003</v>
      </c>
      <c r="G19" s="270" t="s">
        <v>180</v>
      </c>
      <c r="H19" s="197"/>
      <c r="I19" s="197"/>
      <c r="J19" s="196">
        <f t="shared" si="0"/>
        <v>0</v>
      </c>
      <c r="K19" s="181"/>
    </row>
    <row r="20" spans="2:11" s="180" customFormat="1" ht="16.5" x14ac:dyDescent="0.25">
      <c r="B20" s="268" t="s">
        <v>305</v>
      </c>
      <c r="C20" s="269" t="s">
        <v>24</v>
      </c>
      <c r="D20" s="279">
        <v>20137</v>
      </c>
      <c r="E20" s="280" t="s">
        <v>174</v>
      </c>
      <c r="F20" s="281">
        <f>'Memória de cálculo'!H83</f>
        <v>1</v>
      </c>
      <c r="G20" s="279" t="s">
        <v>175</v>
      </c>
      <c r="H20" s="199"/>
      <c r="I20" s="199"/>
      <c r="J20" s="200">
        <f t="shared" ref="J20:J22" si="1">(I20+H20)*F20</f>
        <v>0</v>
      </c>
      <c r="K20" s="181"/>
    </row>
    <row r="21" spans="2:11" s="180" customFormat="1" ht="16.5" x14ac:dyDescent="0.25">
      <c r="B21" s="268" t="s">
        <v>306</v>
      </c>
      <c r="C21" s="269" t="s">
        <v>24</v>
      </c>
      <c r="D21" s="279">
        <v>20163</v>
      </c>
      <c r="E21" s="280" t="s">
        <v>270</v>
      </c>
      <c r="F21" s="281">
        <f>'Memória de cálculo'!H85</f>
        <v>8</v>
      </c>
      <c r="G21" s="279" t="s">
        <v>271</v>
      </c>
      <c r="H21" s="199"/>
      <c r="I21" s="199"/>
      <c r="J21" s="200">
        <f t="shared" si="1"/>
        <v>0</v>
      </c>
      <c r="K21" s="181"/>
    </row>
    <row r="22" spans="2:11" s="180" customFormat="1" ht="38.25" x14ac:dyDescent="0.25">
      <c r="B22" s="268" t="s">
        <v>307</v>
      </c>
      <c r="C22" s="269" t="s">
        <v>24</v>
      </c>
      <c r="D22" s="279">
        <v>21301</v>
      </c>
      <c r="E22" s="283" t="s">
        <v>176</v>
      </c>
      <c r="F22" s="281">
        <f>'Memória de cálculo'!H87</f>
        <v>3</v>
      </c>
      <c r="G22" s="279" t="s">
        <v>21</v>
      </c>
      <c r="H22" s="199"/>
      <c r="I22" s="199"/>
      <c r="J22" s="200">
        <f t="shared" si="1"/>
        <v>0</v>
      </c>
      <c r="K22" s="181"/>
    </row>
    <row r="23" spans="2:11" s="180" customFormat="1" ht="16.5" thickBot="1" x14ac:dyDescent="0.3">
      <c r="B23" s="347" t="s">
        <v>70</v>
      </c>
      <c r="C23" s="348"/>
      <c r="D23" s="348"/>
      <c r="E23" s="348"/>
      <c r="F23" s="348"/>
      <c r="G23" s="348"/>
      <c r="H23" s="348"/>
      <c r="I23" s="349"/>
      <c r="J23" s="201">
        <f>SUM(J13:J22)</f>
        <v>0</v>
      </c>
      <c r="K23" s="202">
        <f>J23+J23*$I$158</f>
        <v>0</v>
      </c>
    </row>
    <row r="24" spans="2:11" s="180" customFormat="1" ht="17.25" thickBot="1" x14ac:dyDescent="0.3">
      <c r="B24" s="333" t="s">
        <v>10</v>
      </c>
      <c r="C24" s="334"/>
      <c r="D24" s="334"/>
      <c r="E24" s="334"/>
      <c r="F24" s="334"/>
      <c r="G24" s="334"/>
      <c r="H24" s="334"/>
      <c r="I24" s="334"/>
      <c r="J24" s="335"/>
      <c r="K24" s="181"/>
    </row>
    <row r="25" spans="2:11" s="180" customFormat="1" ht="16.5" x14ac:dyDescent="0.25">
      <c r="B25" s="203" t="s">
        <v>695</v>
      </c>
      <c r="C25" s="204" t="s">
        <v>24</v>
      </c>
      <c r="D25" s="190">
        <v>30000</v>
      </c>
      <c r="E25" s="191" t="s">
        <v>247</v>
      </c>
      <c r="F25" s="395"/>
      <c r="G25" s="396"/>
      <c r="H25" s="396"/>
      <c r="I25" s="396"/>
      <c r="J25" s="397"/>
      <c r="K25" s="181"/>
    </row>
    <row r="26" spans="2:11" s="180" customFormat="1" ht="16.5" x14ac:dyDescent="0.25">
      <c r="B26" s="284" t="s">
        <v>11</v>
      </c>
      <c r="C26" s="285" t="s">
        <v>24</v>
      </c>
      <c r="D26" s="273">
        <v>30106</v>
      </c>
      <c r="E26" s="286" t="s">
        <v>179</v>
      </c>
      <c r="F26" s="272">
        <f>'Memória de cálculo'!H97</f>
        <v>29.250988</v>
      </c>
      <c r="G26" s="273" t="s">
        <v>180</v>
      </c>
      <c r="H26" s="195"/>
      <c r="I26" s="195"/>
      <c r="J26" s="205">
        <f t="shared" ref="J26" si="2">(I26+H26)*F26</f>
        <v>0</v>
      </c>
      <c r="K26" s="181"/>
    </row>
    <row r="27" spans="2:11" s="180" customFormat="1" ht="14.1" customHeight="1" thickBot="1" x14ac:dyDescent="0.3">
      <c r="B27" s="347" t="s">
        <v>70</v>
      </c>
      <c r="C27" s="348"/>
      <c r="D27" s="348"/>
      <c r="E27" s="348"/>
      <c r="F27" s="348"/>
      <c r="G27" s="348"/>
      <c r="H27" s="348"/>
      <c r="I27" s="349"/>
      <c r="J27" s="201">
        <f>SUM(J26)</f>
        <v>0</v>
      </c>
      <c r="K27" s="202">
        <f>J27+J27*$I$158</f>
        <v>0</v>
      </c>
    </row>
    <row r="28" spans="2:11" s="180" customFormat="1" ht="14.1" customHeight="1" thickBot="1" x14ac:dyDescent="0.3">
      <c r="B28" s="333" t="s">
        <v>344</v>
      </c>
      <c r="C28" s="334"/>
      <c r="D28" s="334"/>
      <c r="E28" s="334"/>
      <c r="F28" s="334"/>
      <c r="G28" s="334"/>
      <c r="H28" s="334"/>
      <c r="I28" s="334"/>
      <c r="J28" s="335"/>
      <c r="K28" s="181"/>
    </row>
    <row r="29" spans="2:11" s="180" customFormat="1" ht="14.1" customHeight="1" x14ac:dyDescent="0.25">
      <c r="B29" s="287" t="s">
        <v>696</v>
      </c>
      <c r="C29" s="288" t="s">
        <v>24</v>
      </c>
      <c r="D29" s="289">
        <v>40000</v>
      </c>
      <c r="E29" s="290" t="s">
        <v>345</v>
      </c>
      <c r="F29" s="289"/>
      <c r="G29" s="291"/>
      <c r="H29" s="292"/>
      <c r="I29" s="292"/>
      <c r="J29" s="209"/>
      <c r="K29" s="181"/>
    </row>
    <row r="30" spans="2:11" s="180" customFormat="1" ht="14.1" customHeight="1" x14ac:dyDescent="0.25">
      <c r="B30" s="293" t="s">
        <v>249</v>
      </c>
      <c r="C30" s="294" t="s">
        <v>24</v>
      </c>
      <c r="D30" s="295">
        <v>40101</v>
      </c>
      <c r="E30" s="296" t="s">
        <v>499</v>
      </c>
      <c r="F30" s="297">
        <f>'Memória de cálculo'!H104</f>
        <v>2.0452499999999998</v>
      </c>
      <c r="G30" s="295" t="s">
        <v>500</v>
      </c>
      <c r="H30" s="212"/>
      <c r="I30" s="212"/>
      <c r="J30" s="200">
        <f t="shared" ref="J30:J33" si="3">(I30+H30)*F30</f>
        <v>0</v>
      </c>
      <c r="K30" s="181"/>
    </row>
    <row r="31" spans="2:11" s="214" customFormat="1" ht="14.25" customHeight="1" x14ac:dyDescent="0.25">
      <c r="B31" s="293" t="s">
        <v>501</v>
      </c>
      <c r="C31" s="294" t="s">
        <v>24</v>
      </c>
      <c r="D31" s="295">
        <v>40104</v>
      </c>
      <c r="E31" s="296" t="s">
        <v>348</v>
      </c>
      <c r="F31" s="297">
        <f>'Memória de cálculo'!H107</f>
        <v>0.48571874999999998</v>
      </c>
      <c r="G31" s="295" t="s">
        <v>180</v>
      </c>
      <c r="H31" s="212"/>
      <c r="I31" s="212"/>
      <c r="J31" s="200">
        <f t="shared" si="3"/>
        <v>0</v>
      </c>
      <c r="K31" s="213"/>
    </row>
    <row r="32" spans="2:11" s="214" customFormat="1" ht="14.25" customHeight="1" x14ac:dyDescent="0.25">
      <c r="B32" s="293" t="s">
        <v>506</v>
      </c>
      <c r="C32" s="294" t="s">
        <v>24</v>
      </c>
      <c r="D32" s="295">
        <v>40902</v>
      </c>
      <c r="E32" s="296" t="s">
        <v>569</v>
      </c>
      <c r="F32" s="297">
        <f>'Memória de cálculo'!H121</f>
        <v>4.5449999999999999</v>
      </c>
      <c r="G32" s="295" t="s">
        <v>180</v>
      </c>
      <c r="H32" s="212"/>
      <c r="I32" s="212"/>
      <c r="J32" s="200">
        <f t="shared" si="3"/>
        <v>0</v>
      </c>
      <c r="K32" s="213"/>
    </row>
    <row r="33" spans="2:11" s="214" customFormat="1" ht="14.25" customHeight="1" x14ac:dyDescent="0.25">
      <c r="B33" s="293" t="s">
        <v>570</v>
      </c>
      <c r="C33" s="294" t="s">
        <v>24</v>
      </c>
      <c r="D33" s="295">
        <v>41002</v>
      </c>
      <c r="E33" s="296" t="s">
        <v>505</v>
      </c>
      <c r="F33" s="297">
        <f>'Memória de cálculo'!H126</f>
        <v>2.2725</v>
      </c>
      <c r="G33" s="295" t="s">
        <v>21</v>
      </c>
      <c r="H33" s="212"/>
      <c r="I33" s="212"/>
      <c r="J33" s="200">
        <f t="shared" si="3"/>
        <v>0</v>
      </c>
      <c r="K33" s="213"/>
    </row>
    <row r="34" spans="2:11" s="180" customFormat="1" ht="14.1" customHeight="1" thickBot="1" x14ac:dyDescent="0.3">
      <c r="B34" s="347" t="s">
        <v>70</v>
      </c>
      <c r="C34" s="348"/>
      <c r="D34" s="348"/>
      <c r="E34" s="348"/>
      <c r="F34" s="348"/>
      <c r="G34" s="348"/>
      <c r="H34" s="348"/>
      <c r="I34" s="349"/>
      <c r="J34" s="201">
        <f>SUM(J30:J33)</f>
        <v>0</v>
      </c>
      <c r="K34" s="202">
        <f>J34+J34*$I$158</f>
        <v>0</v>
      </c>
    </row>
    <row r="35" spans="2:11" s="180" customFormat="1" ht="14.1" customHeight="1" thickBot="1" x14ac:dyDescent="0.3">
      <c r="B35" s="333" t="s">
        <v>349</v>
      </c>
      <c r="C35" s="334"/>
      <c r="D35" s="334"/>
      <c r="E35" s="334"/>
      <c r="F35" s="334"/>
      <c r="G35" s="334"/>
      <c r="H35" s="334"/>
      <c r="I35" s="334"/>
      <c r="J35" s="335"/>
      <c r="K35" s="181"/>
    </row>
    <row r="36" spans="2:11" s="180" customFormat="1" ht="14.1" customHeight="1" x14ac:dyDescent="0.25">
      <c r="B36" s="287" t="s">
        <v>697</v>
      </c>
      <c r="C36" s="288" t="s">
        <v>24</v>
      </c>
      <c r="D36" s="289">
        <v>50000</v>
      </c>
      <c r="E36" s="290" t="s">
        <v>350</v>
      </c>
      <c r="F36" s="289"/>
      <c r="G36" s="291"/>
      <c r="H36" s="292"/>
      <c r="I36" s="292"/>
      <c r="J36" s="209"/>
      <c r="K36" s="181"/>
    </row>
    <row r="37" spans="2:11" s="214" customFormat="1" ht="14.1" customHeight="1" x14ac:dyDescent="0.25">
      <c r="B37" s="293" t="s">
        <v>35</v>
      </c>
      <c r="C37" s="294" t="s">
        <v>24</v>
      </c>
      <c r="D37" s="295">
        <v>50301</v>
      </c>
      <c r="E37" s="296" t="s">
        <v>351</v>
      </c>
      <c r="F37" s="297">
        <f>'Memória de cálculo'!H130</f>
        <v>15</v>
      </c>
      <c r="G37" s="295" t="s">
        <v>280</v>
      </c>
      <c r="H37" s="212"/>
      <c r="I37" s="212"/>
      <c r="J37" s="200">
        <f t="shared" ref="J37:J43" si="4">(I37+H37)*F37</f>
        <v>0</v>
      </c>
      <c r="K37" s="213"/>
    </row>
    <row r="38" spans="2:11" s="214" customFormat="1" ht="14.1" customHeight="1" x14ac:dyDescent="0.25">
      <c r="B38" s="293" t="s">
        <v>36</v>
      </c>
      <c r="C38" s="294" t="s">
        <v>24</v>
      </c>
      <c r="D38" s="295">
        <v>50901</v>
      </c>
      <c r="E38" s="296" t="s">
        <v>352</v>
      </c>
      <c r="F38" s="297">
        <f>'Memória de cálculo'!H133</f>
        <v>0.41249999999999998</v>
      </c>
      <c r="G38" s="295" t="s">
        <v>180</v>
      </c>
      <c r="H38" s="212"/>
      <c r="I38" s="212"/>
      <c r="J38" s="200">
        <f t="shared" si="4"/>
        <v>0</v>
      </c>
      <c r="K38" s="213"/>
    </row>
    <row r="39" spans="2:11" s="214" customFormat="1" ht="14.1" customHeight="1" x14ac:dyDescent="0.25">
      <c r="B39" s="293" t="s">
        <v>44</v>
      </c>
      <c r="C39" s="294" t="s">
        <v>24</v>
      </c>
      <c r="D39" s="295">
        <v>50902</v>
      </c>
      <c r="E39" s="296" t="s">
        <v>353</v>
      </c>
      <c r="F39" s="297">
        <f>'Memória de cálculo'!H136</f>
        <v>0.75</v>
      </c>
      <c r="G39" s="295" t="s">
        <v>21</v>
      </c>
      <c r="H39" s="212"/>
      <c r="I39" s="212"/>
      <c r="J39" s="200">
        <f t="shared" si="4"/>
        <v>0</v>
      </c>
      <c r="K39" s="213"/>
    </row>
    <row r="40" spans="2:11" s="214" customFormat="1" ht="14.1" customHeight="1" x14ac:dyDescent="0.25">
      <c r="B40" s="293" t="s">
        <v>427</v>
      </c>
      <c r="C40" s="294" t="s">
        <v>24</v>
      </c>
      <c r="D40" s="295">
        <v>51030</v>
      </c>
      <c r="E40" s="296" t="s">
        <v>423</v>
      </c>
      <c r="F40" s="298">
        <f>'Memória de cálculo'!H144</f>
        <v>1.4174687499999998</v>
      </c>
      <c r="G40" s="297" t="s">
        <v>180</v>
      </c>
      <c r="H40" s="210"/>
      <c r="I40" s="212"/>
      <c r="J40" s="200">
        <f t="shared" si="4"/>
        <v>0</v>
      </c>
      <c r="K40" s="213"/>
    </row>
    <row r="41" spans="2:11" s="214" customFormat="1" ht="14.1" customHeight="1" x14ac:dyDescent="0.25">
      <c r="B41" s="293" t="s">
        <v>428</v>
      </c>
      <c r="C41" s="294" t="s">
        <v>24</v>
      </c>
      <c r="D41" s="295">
        <v>51055</v>
      </c>
      <c r="E41" s="296" t="s">
        <v>426</v>
      </c>
      <c r="F41" s="298">
        <f>'Memória de cálculo'!H152</f>
        <v>1.4174687499999998</v>
      </c>
      <c r="G41" s="297" t="s">
        <v>180</v>
      </c>
      <c r="H41" s="210"/>
      <c r="I41" s="212"/>
      <c r="J41" s="200">
        <f t="shared" si="4"/>
        <v>0</v>
      </c>
      <c r="K41" s="213"/>
    </row>
    <row r="42" spans="2:11" s="214" customFormat="1" ht="14.1" customHeight="1" x14ac:dyDescent="0.25">
      <c r="B42" s="293" t="s">
        <v>429</v>
      </c>
      <c r="C42" s="294" t="s">
        <v>24</v>
      </c>
      <c r="D42" s="295">
        <v>52004</v>
      </c>
      <c r="E42" s="296" t="s">
        <v>424</v>
      </c>
      <c r="F42" s="298">
        <f>'Memória de cálculo'!H162</f>
        <v>44.556000000000004</v>
      </c>
      <c r="G42" s="297" t="s">
        <v>425</v>
      </c>
      <c r="H42" s="210"/>
      <c r="I42" s="212"/>
      <c r="J42" s="200">
        <f t="shared" si="4"/>
        <v>0</v>
      </c>
      <c r="K42" s="213"/>
    </row>
    <row r="43" spans="2:11" s="214" customFormat="1" ht="14.1" customHeight="1" x14ac:dyDescent="0.25">
      <c r="B43" s="293" t="s">
        <v>449</v>
      </c>
      <c r="C43" s="294" t="s">
        <v>24</v>
      </c>
      <c r="D43" s="295">
        <v>52012</v>
      </c>
      <c r="E43" s="296" t="s">
        <v>433</v>
      </c>
      <c r="F43" s="298">
        <f>'Memória de cálculo'!H168</f>
        <v>24.4664</v>
      </c>
      <c r="G43" s="297" t="s">
        <v>425</v>
      </c>
      <c r="H43" s="210"/>
      <c r="I43" s="212"/>
      <c r="J43" s="200">
        <f t="shared" si="4"/>
        <v>0</v>
      </c>
      <c r="K43" s="213"/>
    </row>
    <row r="44" spans="2:11" s="180" customFormat="1" ht="14.1" customHeight="1" thickBot="1" x14ac:dyDescent="0.3">
      <c r="B44" s="376" t="s">
        <v>70</v>
      </c>
      <c r="C44" s="377"/>
      <c r="D44" s="377"/>
      <c r="E44" s="377"/>
      <c r="F44" s="377"/>
      <c r="G44" s="377"/>
      <c r="H44" s="377"/>
      <c r="I44" s="377"/>
      <c r="J44" s="201">
        <f>SUM(J37:J43)</f>
        <v>0</v>
      </c>
      <c r="K44" s="202">
        <f>J44+J44*$I$158</f>
        <v>0</v>
      </c>
    </row>
    <row r="45" spans="2:11" s="180" customFormat="1" ht="14.1" customHeight="1" thickBot="1" x14ac:dyDescent="0.3">
      <c r="B45" s="333" t="s">
        <v>355</v>
      </c>
      <c r="C45" s="334"/>
      <c r="D45" s="334"/>
      <c r="E45" s="334"/>
      <c r="F45" s="334"/>
      <c r="G45" s="334"/>
      <c r="H45" s="334"/>
      <c r="I45" s="334"/>
      <c r="J45" s="335"/>
      <c r="K45" s="181"/>
    </row>
    <row r="46" spans="2:11" s="180" customFormat="1" ht="14.1" customHeight="1" x14ac:dyDescent="0.25">
      <c r="B46" s="287" t="s">
        <v>698</v>
      </c>
      <c r="C46" s="288" t="s">
        <v>24</v>
      </c>
      <c r="D46" s="289">
        <v>60000</v>
      </c>
      <c r="E46" s="290" t="s">
        <v>356</v>
      </c>
      <c r="F46" s="289"/>
      <c r="G46" s="291"/>
      <c r="H46" s="292"/>
      <c r="I46" s="292"/>
      <c r="J46" s="209"/>
      <c r="K46" s="181"/>
    </row>
    <row r="47" spans="2:11" s="214" customFormat="1" ht="14.1" customHeight="1" x14ac:dyDescent="0.25">
      <c r="B47" s="293" t="s">
        <v>41</v>
      </c>
      <c r="C47" s="294" t="s">
        <v>24</v>
      </c>
      <c r="D47" s="295">
        <v>60010</v>
      </c>
      <c r="E47" s="296" t="s">
        <v>357</v>
      </c>
      <c r="F47" s="297">
        <f>'Memória de cálculo'!H175</f>
        <v>0.23099999999999998</v>
      </c>
      <c r="G47" s="295" t="s">
        <v>180</v>
      </c>
      <c r="H47" s="212"/>
      <c r="I47" s="212"/>
      <c r="J47" s="200">
        <f t="shared" ref="J47:J55" si="5">(I47+H47)*F47</f>
        <v>0</v>
      </c>
      <c r="K47" s="213"/>
    </row>
    <row r="48" spans="2:11" s="214" customFormat="1" ht="14.1" customHeight="1" x14ac:dyDescent="0.25">
      <c r="B48" s="293" t="s">
        <v>318</v>
      </c>
      <c r="C48" s="294" t="s">
        <v>24</v>
      </c>
      <c r="D48" s="295">
        <v>60191</v>
      </c>
      <c r="E48" s="296" t="s">
        <v>437</v>
      </c>
      <c r="F48" s="297">
        <f>'Memória de cálculo'!H180</f>
        <v>9.09</v>
      </c>
      <c r="G48" s="295" t="s">
        <v>21</v>
      </c>
      <c r="H48" s="212"/>
      <c r="I48" s="212"/>
      <c r="J48" s="200">
        <f t="shared" si="5"/>
        <v>0</v>
      </c>
      <c r="K48" s="213"/>
    </row>
    <row r="49" spans="2:11" s="214" customFormat="1" ht="14.1" customHeight="1" x14ac:dyDescent="0.25">
      <c r="B49" s="293" t="s">
        <v>319</v>
      </c>
      <c r="C49" s="294" t="s">
        <v>24</v>
      </c>
      <c r="D49" s="295">
        <v>60192</v>
      </c>
      <c r="E49" s="296" t="s">
        <v>438</v>
      </c>
      <c r="F49" s="297">
        <f>'Memória de cálculo'!H194</f>
        <v>17.805</v>
      </c>
      <c r="G49" s="295" t="s">
        <v>21</v>
      </c>
      <c r="H49" s="212"/>
      <c r="I49" s="212"/>
      <c r="J49" s="200">
        <f t="shared" si="5"/>
        <v>0</v>
      </c>
      <c r="K49" s="213"/>
    </row>
    <row r="50" spans="2:11" s="214" customFormat="1" ht="14.1" customHeight="1" x14ac:dyDescent="0.25">
      <c r="B50" s="293" t="s">
        <v>320</v>
      </c>
      <c r="C50" s="294" t="s">
        <v>24</v>
      </c>
      <c r="D50" s="295">
        <v>60202</v>
      </c>
      <c r="E50" s="296" t="s">
        <v>556</v>
      </c>
      <c r="F50" s="297">
        <f>'Memória de cálculo'!H197</f>
        <v>9</v>
      </c>
      <c r="G50" s="295" t="s">
        <v>21</v>
      </c>
      <c r="H50" s="212"/>
      <c r="I50" s="212"/>
      <c r="J50" s="200">
        <f t="shared" si="5"/>
        <v>0</v>
      </c>
      <c r="K50" s="213"/>
    </row>
    <row r="51" spans="2:11" s="214" customFormat="1" ht="14.1" customHeight="1" x14ac:dyDescent="0.25">
      <c r="B51" s="293" t="s">
        <v>447</v>
      </c>
      <c r="C51" s="294" t="s">
        <v>24</v>
      </c>
      <c r="D51" s="295">
        <v>60304</v>
      </c>
      <c r="E51" s="296" t="s">
        <v>445</v>
      </c>
      <c r="F51" s="297">
        <f>'Memória de cálculo'!H202</f>
        <v>23.937000000000001</v>
      </c>
      <c r="G51" s="295" t="s">
        <v>444</v>
      </c>
      <c r="H51" s="212"/>
      <c r="I51" s="212"/>
      <c r="J51" s="200">
        <f t="shared" si="5"/>
        <v>0</v>
      </c>
      <c r="K51" s="213"/>
    </row>
    <row r="52" spans="2:11" s="214" customFormat="1" ht="14.1" customHeight="1" x14ac:dyDescent="0.25">
      <c r="B52" s="293" t="s">
        <v>448</v>
      </c>
      <c r="C52" s="294" t="s">
        <v>24</v>
      </c>
      <c r="D52" s="295">
        <v>60305</v>
      </c>
      <c r="E52" s="296" t="s">
        <v>443</v>
      </c>
      <c r="F52" s="297">
        <f>'Memória de cálculo'!H207</f>
        <v>22.212</v>
      </c>
      <c r="G52" s="295" t="s">
        <v>444</v>
      </c>
      <c r="H52" s="212"/>
      <c r="I52" s="212"/>
      <c r="J52" s="200">
        <f t="shared" si="5"/>
        <v>0</v>
      </c>
      <c r="K52" s="213"/>
    </row>
    <row r="53" spans="2:11" s="214" customFormat="1" ht="14.1" customHeight="1" x14ac:dyDescent="0.25">
      <c r="B53" s="293" t="s">
        <v>451</v>
      </c>
      <c r="C53" s="294" t="s">
        <v>24</v>
      </c>
      <c r="D53" s="295">
        <v>60312</v>
      </c>
      <c r="E53" s="296" t="s">
        <v>446</v>
      </c>
      <c r="F53" s="297">
        <f>'Memória de cálculo'!H215</f>
        <v>13.16175</v>
      </c>
      <c r="G53" s="295" t="s">
        <v>444</v>
      </c>
      <c r="H53" s="212"/>
      <c r="I53" s="212"/>
      <c r="J53" s="200">
        <f t="shared" si="5"/>
        <v>0</v>
      </c>
      <c r="K53" s="213"/>
    </row>
    <row r="54" spans="2:11" s="214" customFormat="1" ht="14.1" customHeight="1" x14ac:dyDescent="0.25">
      <c r="B54" s="293" t="s">
        <v>452</v>
      </c>
      <c r="C54" s="294" t="s">
        <v>24</v>
      </c>
      <c r="D54" s="295">
        <v>60517</v>
      </c>
      <c r="E54" s="296" t="s">
        <v>423</v>
      </c>
      <c r="F54" s="297">
        <f>'Memória de cálculo'!H223</f>
        <v>0.72449999999999992</v>
      </c>
      <c r="G54" s="295" t="s">
        <v>180</v>
      </c>
      <c r="H54" s="212"/>
      <c r="I54" s="212"/>
      <c r="J54" s="200">
        <f t="shared" si="5"/>
        <v>0</v>
      </c>
      <c r="K54" s="213"/>
    </row>
    <row r="55" spans="2:11" s="214" customFormat="1" ht="14.1" customHeight="1" x14ac:dyDescent="0.25">
      <c r="B55" s="293" t="s">
        <v>557</v>
      </c>
      <c r="C55" s="294" t="s">
        <v>24</v>
      </c>
      <c r="D55" s="295">
        <v>60802</v>
      </c>
      <c r="E55" s="296" t="s">
        <v>450</v>
      </c>
      <c r="F55" s="297">
        <f>'Memória de cálculo'!H231</f>
        <v>0.72449999999999992</v>
      </c>
      <c r="G55" s="295" t="s">
        <v>180</v>
      </c>
      <c r="H55" s="212"/>
      <c r="I55" s="212"/>
      <c r="J55" s="200">
        <f t="shared" si="5"/>
        <v>0</v>
      </c>
      <c r="K55" s="213"/>
    </row>
    <row r="56" spans="2:11" s="180" customFormat="1" ht="14.1" customHeight="1" thickBot="1" x14ac:dyDescent="0.3">
      <c r="B56" s="347" t="s">
        <v>70</v>
      </c>
      <c r="C56" s="348"/>
      <c r="D56" s="348"/>
      <c r="E56" s="348"/>
      <c r="F56" s="348"/>
      <c r="G56" s="348"/>
      <c r="H56" s="348"/>
      <c r="I56" s="349"/>
      <c r="J56" s="201">
        <f>SUM(J47:J55)</f>
        <v>0</v>
      </c>
      <c r="K56" s="202">
        <f>J56+J56*$I$158</f>
        <v>0</v>
      </c>
    </row>
    <row r="57" spans="2:11" s="180" customFormat="1" ht="17.25" thickBot="1" x14ac:dyDescent="0.3">
      <c r="B57" s="333" t="s">
        <v>12</v>
      </c>
      <c r="C57" s="334"/>
      <c r="D57" s="334"/>
      <c r="E57" s="334"/>
      <c r="F57" s="334"/>
      <c r="G57" s="334"/>
      <c r="H57" s="334"/>
      <c r="I57" s="334"/>
      <c r="J57" s="335"/>
      <c r="K57" s="181"/>
    </row>
    <row r="58" spans="2:11" s="180" customFormat="1" ht="16.5" x14ac:dyDescent="0.25">
      <c r="B58" s="299" t="s">
        <v>606</v>
      </c>
      <c r="C58" s="279" t="s">
        <v>24</v>
      </c>
      <c r="D58" s="279">
        <v>70000</v>
      </c>
      <c r="E58" s="280" t="s">
        <v>278</v>
      </c>
      <c r="F58" s="281"/>
      <c r="G58" s="279"/>
      <c r="H58" s="282"/>
      <c r="I58" s="282"/>
      <c r="J58" s="215"/>
      <c r="K58" s="181"/>
    </row>
    <row r="59" spans="2:11" s="180" customFormat="1" ht="15.95" customHeight="1" x14ac:dyDescent="0.25">
      <c r="B59" s="300" t="s">
        <v>251</v>
      </c>
      <c r="C59" s="279" t="s">
        <v>24</v>
      </c>
      <c r="D59" s="279">
        <v>71193</v>
      </c>
      <c r="E59" s="301" t="s">
        <v>279</v>
      </c>
      <c r="F59" s="281">
        <f>'Memória de cálculo'!H236</f>
        <v>9.8000000000000007</v>
      </c>
      <c r="G59" s="279" t="s">
        <v>280</v>
      </c>
      <c r="H59" s="199"/>
      <c r="I59" s="199"/>
      <c r="J59" s="200">
        <f t="shared" ref="J59:J65" si="6">(I59+H59)*F59</f>
        <v>0</v>
      </c>
      <c r="K59" s="181"/>
    </row>
    <row r="60" spans="2:11" s="180" customFormat="1" ht="15" customHeight="1" x14ac:dyDescent="0.25">
      <c r="B60" s="300" t="s">
        <v>359</v>
      </c>
      <c r="C60" s="279" t="s">
        <v>24</v>
      </c>
      <c r="D60" s="279">
        <v>71291</v>
      </c>
      <c r="E60" s="302" t="s">
        <v>281</v>
      </c>
      <c r="F60" s="281">
        <f>'Memória de cálculo'!H239</f>
        <v>34.200000000000003</v>
      </c>
      <c r="G60" s="279" t="s">
        <v>280</v>
      </c>
      <c r="H60" s="199"/>
      <c r="I60" s="199"/>
      <c r="J60" s="200">
        <f t="shared" si="6"/>
        <v>0</v>
      </c>
      <c r="K60" s="181"/>
    </row>
    <row r="61" spans="2:11" s="180" customFormat="1" ht="16.5" x14ac:dyDescent="0.25">
      <c r="B61" s="303" t="s">
        <v>381</v>
      </c>
      <c r="C61" s="304" t="s">
        <v>24</v>
      </c>
      <c r="D61" s="304">
        <v>71431</v>
      </c>
      <c r="E61" s="302" t="s">
        <v>282</v>
      </c>
      <c r="F61" s="305">
        <f>'Memória de cálculo'!H242</f>
        <v>1</v>
      </c>
      <c r="G61" s="270" t="s">
        <v>175</v>
      </c>
      <c r="H61" s="216"/>
      <c r="I61" s="216"/>
      <c r="J61" s="200">
        <f t="shared" si="6"/>
        <v>0</v>
      </c>
      <c r="K61" s="181"/>
    </row>
    <row r="62" spans="2:11" s="180" customFormat="1" ht="15.95" customHeight="1" x14ac:dyDescent="0.25">
      <c r="B62" s="303" t="s">
        <v>382</v>
      </c>
      <c r="C62" s="304" t="s">
        <v>24</v>
      </c>
      <c r="D62" s="304">
        <v>71536</v>
      </c>
      <c r="E62" s="302" t="s">
        <v>283</v>
      </c>
      <c r="F62" s="305">
        <f>'Memória de cálculo'!H245</f>
        <v>15</v>
      </c>
      <c r="G62" s="270" t="s">
        <v>273</v>
      </c>
      <c r="H62" s="216"/>
      <c r="I62" s="216"/>
      <c r="J62" s="200">
        <f t="shared" si="6"/>
        <v>0</v>
      </c>
      <c r="K62" s="181"/>
    </row>
    <row r="63" spans="2:11" s="180" customFormat="1" ht="16.5" x14ac:dyDescent="0.25">
      <c r="B63" s="303" t="s">
        <v>383</v>
      </c>
      <c r="C63" s="304" t="s">
        <v>24</v>
      </c>
      <c r="D63" s="304">
        <v>71567</v>
      </c>
      <c r="E63" s="302" t="s">
        <v>284</v>
      </c>
      <c r="F63" s="305">
        <f>'Memória de cálculo'!H248</f>
        <v>5</v>
      </c>
      <c r="G63" s="304" t="s">
        <v>175</v>
      </c>
      <c r="H63" s="216"/>
      <c r="I63" s="216"/>
      <c r="J63" s="200">
        <f t="shared" si="6"/>
        <v>0</v>
      </c>
      <c r="K63" s="181"/>
    </row>
    <row r="64" spans="2:11" s="180" customFormat="1" ht="16.5" x14ac:dyDescent="0.25">
      <c r="B64" s="303" t="s">
        <v>384</v>
      </c>
      <c r="C64" s="304" t="s">
        <v>24</v>
      </c>
      <c r="D64" s="304">
        <v>71619</v>
      </c>
      <c r="E64" s="302" t="s">
        <v>285</v>
      </c>
      <c r="F64" s="305">
        <f>'Memória de cálculo'!H251</f>
        <v>3</v>
      </c>
      <c r="G64" s="304" t="s">
        <v>273</v>
      </c>
      <c r="H64" s="216"/>
      <c r="I64" s="216"/>
      <c r="J64" s="200">
        <f t="shared" si="6"/>
        <v>0</v>
      </c>
      <c r="K64" s="181"/>
    </row>
    <row r="65" spans="2:11" s="180" customFormat="1" ht="16.5" x14ac:dyDescent="0.25">
      <c r="B65" s="303" t="s">
        <v>385</v>
      </c>
      <c r="C65" s="304" t="s">
        <v>24</v>
      </c>
      <c r="D65" s="304">
        <v>72578</v>
      </c>
      <c r="E65" s="302" t="s">
        <v>286</v>
      </c>
      <c r="F65" s="305">
        <f>'Memória de cálculo'!H254</f>
        <v>4</v>
      </c>
      <c r="G65" s="304" t="s">
        <v>175</v>
      </c>
      <c r="H65" s="216"/>
      <c r="I65" s="216"/>
      <c r="J65" s="200">
        <f t="shared" si="6"/>
        <v>0</v>
      </c>
      <c r="K65" s="181"/>
    </row>
    <row r="66" spans="2:11" s="180" customFormat="1" ht="16.5" thickBot="1" x14ac:dyDescent="0.3">
      <c r="B66" s="378" t="s">
        <v>70</v>
      </c>
      <c r="C66" s="379"/>
      <c r="D66" s="379"/>
      <c r="E66" s="379"/>
      <c r="F66" s="379"/>
      <c r="G66" s="379"/>
      <c r="H66" s="379"/>
      <c r="I66" s="380"/>
      <c r="J66" s="201">
        <f>SUM(J59:J65)</f>
        <v>0</v>
      </c>
      <c r="K66" s="202">
        <f>J66+J66*$I$158</f>
        <v>0</v>
      </c>
    </row>
    <row r="67" spans="2:11" s="180" customFormat="1" ht="17.25" thickBot="1" x14ac:dyDescent="0.3">
      <c r="B67" s="333" t="s">
        <v>43</v>
      </c>
      <c r="C67" s="334"/>
      <c r="D67" s="334"/>
      <c r="E67" s="334"/>
      <c r="F67" s="334"/>
      <c r="G67" s="334"/>
      <c r="H67" s="334"/>
      <c r="I67" s="334"/>
      <c r="J67" s="335"/>
      <c r="K67" s="181"/>
    </row>
    <row r="68" spans="2:11" s="180" customFormat="1" ht="16.5" x14ac:dyDescent="0.25">
      <c r="B68" s="306" t="s">
        <v>699</v>
      </c>
      <c r="C68" s="307" t="s">
        <v>24</v>
      </c>
      <c r="D68" s="308">
        <v>80000</v>
      </c>
      <c r="E68" s="309" t="s">
        <v>184</v>
      </c>
      <c r="F68" s="374"/>
      <c r="G68" s="374"/>
      <c r="H68" s="374"/>
      <c r="I68" s="374"/>
      <c r="J68" s="375"/>
      <c r="K68" s="181"/>
    </row>
    <row r="69" spans="2:11" s="180" customFormat="1" ht="16.5" x14ac:dyDescent="0.25">
      <c r="B69" s="293" t="s">
        <v>252</v>
      </c>
      <c r="C69" s="279" t="s">
        <v>24</v>
      </c>
      <c r="D69" s="295">
        <v>80500</v>
      </c>
      <c r="E69" s="296" t="s">
        <v>185</v>
      </c>
      <c r="F69" s="325"/>
      <c r="G69" s="325"/>
      <c r="H69" s="325"/>
      <c r="I69" s="325"/>
      <c r="J69" s="326"/>
      <c r="K69" s="181"/>
    </row>
    <row r="70" spans="2:11" s="180" customFormat="1" ht="16.5" x14ac:dyDescent="0.25">
      <c r="B70" s="293" t="s">
        <v>253</v>
      </c>
      <c r="C70" s="279" t="s">
        <v>24</v>
      </c>
      <c r="D70" s="295">
        <v>80501</v>
      </c>
      <c r="E70" s="296" t="s">
        <v>186</v>
      </c>
      <c r="F70" s="325"/>
      <c r="G70" s="325"/>
      <c r="H70" s="325"/>
      <c r="I70" s="325"/>
      <c r="J70" s="326"/>
      <c r="K70" s="181"/>
    </row>
    <row r="71" spans="2:11" s="180" customFormat="1" ht="16.5" x14ac:dyDescent="0.25">
      <c r="B71" s="293" t="s">
        <v>254</v>
      </c>
      <c r="C71" s="279" t="s">
        <v>24</v>
      </c>
      <c r="D71" s="295">
        <v>80502</v>
      </c>
      <c r="E71" s="296" t="s">
        <v>187</v>
      </c>
      <c r="F71" s="297">
        <f>'Memória de cálculo'!H261</f>
        <v>1</v>
      </c>
      <c r="G71" s="279" t="s">
        <v>188</v>
      </c>
      <c r="H71" s="212"/>
      <c r="I71" s="212"/>
      <c r="J71" s="200">
        <f t="shared" ref="J71:J72" si="7">(I71+H71)*F71</f>
        <v>0</v>
      </c>
      <c r="K71" s="181"/>
    </row>
    <row r="72" spans="2:11" s="180" customFormat="1" ht="15.95" customHeight="1" x14ac:dyDescent="0.25">
      <c r="B72" s="293" t="s">
        <v>386</v>
      </c>
      <c r="C72" s="279" t="s">
        <v>24</v>
      </c>
      <c r="D72" s="295">
        <v>80526</v>
      </c>
      <c r="E72" s="296" t="s">
        <v>189</v>
      </c>
      <c r="F72" s="297">
        <f>'Memória de cálculo'!H267</f>
        <v>12</v>
      </c>
      <c r="G72" s="279" t="s">
        <v>175</v>
      </c>
      <c r="H72" s="212"/>
      <c r="I72" s="212"/>
      <c r="J72" s="200">
        <f t="shared" si="7"/>
        <v>0</v>
      </c>
      <c r="K72" s="181"/>
    </row>
    <row r="73" spans="2:11" s="180" customFormat="1" ht="16.5" x14ac:dyDescent="0.25">
      <c r="B73" s="293" t="s">
        <v>387</v>
      </c>
      <c r="C73" s="279" t="s">
        <v>24</v>
      </c>
      <c r="D73" s="295">
        <v>80720</v>
      </c>
      <c r="E73" s="296" t="s">
        <v>190</v>
      </c>
      <c r="F73" s="322"/>
      <c r="G73" s="323"/>
      <c r="H73" s="323"/>
      <c r="I73" s="323"/>
      <c r="J73" s="324"/>
      <c r="K73" s="181"/>
    </row>
    <row r="74" spans="2:11" s="180" customFormat="1" ht="16.5" x14ac:dyDescent="0.25">
      <c r="B74" s="293" t="s">
        <v>388</v>
      </c>
      <c r="C74" s="279" t="s">
        <v>24</v>
      </c>
      <c r="D74" s="295">
        <v>80721</v>
      </c>
      <c r="E74" s="296" t="s">
        <v>191</v>
      </c>
      <c r="F74" s="297">
        <f>'Memória de cálculo'!H271</f>
        <v>1</v>
      </c>
      <c r="G74" s="279" t="s">
        <v>175</v>
      </c>
      <c r="H74" s="212"/>
      <c r="I74" s="212"/>
      <c r="J74" s="200">
        <f t="shared" ref="J74:J85" si="8">(I74+H74)*F74</f>
        <v>0</v>
      </c>
      <c r="K74" s="181"/>
    </row>
    <row r="75" spans="2:11" s="180" customFormat="1" ht="16.5" x14ac:dyDescent="0.25">
      <c r="B75" s="293" t="s">
        <v>389</v>
      </c>
      <c r="C75" s="279" t="s">
        <v>24</v>
      </c>
      <c r="D75" s="295">
        <v>81000</v>
      </c>
      <c r="E75" s="296" t="s">
        <v>264</v>
      </c>
      <c r="F75" s="322"/>
      <c r="G75" s="323"/>
      <c r="H75" s="323"/>
      <c r="I75" s="323"/>
      <c r="J75" s="324"/>
      <c r="K75" s="181"/>
    </row>
    <row r="76" spans="2:11" s="180" customFormat="1" ht="16.5" x14ac:dyDescent="0.25">
      <c r="B76" s="293" t="s">
        <v>390</v>
      </c>
      <c r="C76" s="279" t="s">
        <v>24</v>
      </c>
      <c r="D76" s="295">
        <v>81001</v>
      </c>
      <c r="E76" s="296" t="s">
        <v>265</v>
      </c>
      <c r="F76" s="322"/>
      <c r="G76" s="323"/>
      <c r="H76" s="323"/>
      <c r="I76" s="323"/>
      <c r="J76" s="324"/>
      <c r="K76" s="181"/>
    </row>
    <row r="77" spans="2:11" s="180" customFormat="1" ht="16.5" x14ac:dyDescent="0.25">
      <c r="B77" s="293" t="s">
        <v>391</v>
      </c>
      <c r="C77" s="279" t="s">
        <v>24</v>
      </c>
      <c r="D77" s="295">
        <v>81003</v>
      </c>
      <c r="E77" s="296" t="s">
        <v>575</v>
      </c>
      <c r="F77" s="297">
        <f>'Memória de cálculo'!H275</f>
        <v>1</v>
      </c>
      <c r="G77" s="297" t="s">
        <v>280</v>
      </c>
      <c r="H77" s="211"/>
      <c r="I77" s="211"/>
      <c r="J77" s="200">
        <f t="shared" si="8"/>
        <v>0</v>
      </c>
      <c r="K77" s="181"/>
    </row>
    <row r="78" spans="2:11" s="180" customFormat="1" ht="16.5" x14ac:dyDescent="0.25">
      <c r="B78" s="293" t="s">
        <v>392</v>
      </c>
      <c r="C78" s="279" t="s">
        <v>24</v>
      </c>
      <c r="D78" s="295">
        <v>81005</v>
      </c>
      <c r="E78" s="296" t="s">
        <v>266</v>
      </c>
      <c r="F78" s="297">
        <f>'Memória de cálculo'!H277</f>
        <v>2</v>
      </c>
      <c r="G78" s="279" t="s">
        <v>267</v>
      </c>
      <c r="H78" s="212"/>
      <c r="I78" s="212"/>
      <c r="J78" s="200">
        <f t="shared" si="8"/>
        <v>0</v>
      </c>
      <c r="K78" s="181"/>
    </row>
    <row r="79" spans="2:11" s="180" customFormat="1" ht="16.5" x14ac:dyDescent="0.25">
      <c r="B79" s="293" t="s">
        <v>393</v>
      </c>
      <c r="C79" s="279" t="s">
        <v>24</v>
      </c>
      <c r="D79" s="295">
        <v>81100</v>
      </c>
      <c r="E79" s="296" t="s">
        <v>577</v>
      </c>
      <c r="F79" s="219"/>
      <c r="G79" s="220"/>
      <c r="H79" s="221"/>
      <c r="I79" s="221"/>
      <c r="J79" s="222"/>
      <c r="K79" s="181"/>
    </row>
    <row r="80" spans="2:11" s="180" customFormat="1" ht="16.5" x14ac:dyDescent="0.25">
      <c r="B80" s="293" t="s">
        <v>394</v>
      </c>
      <c r="C80" s="279" t="s">
        <v>24</v>
      </c>
      <c r="D80" s="295">
        <v>81102</v>
      </c>
      <c r="E80" s="296" t="s">
        <v>580</v>
      </c>
      <c r="F80" s="297">
        <f>'Memória de cálculo'!H280</f>
        <v>2</v>
      </c>
      <c r="G80" s="279" t="s">
        <v>188</v>
      </c>
      <c r="H80" s="212"/>
      <c r="I80" s="212"/>
      <c r="J80" s="200">
        <f t="shared" si="8"/>
        <v>0</v>
      </c>
      <c r="K80" s="181"/>
    </row>
    <row r="81" spans="2:11" s="180" customFormat="1" ht="16.5" x14ac:dyDescent="0.25">
      <c r="B81" s="293" t="s">
        <v>395</v>
      </c>
      <c r="C81" s="279" t="s">
        <v>24</v>
      </c>
      <c r="D81" s="295">
        <v>81300</v>
      </c>
      <c r="E81" s="296" t="s">
        <v>268</v>
      </c>
      <c r="F81" s="325"/>
      <c r="G81" s="325"/>
      <c r="H81" s="325"/>
      <c r="I81" s="325"/>
      <c r="J81" s="326"/>
      <c r="K81" s="181"/>
    </row>
    <row r="82" spans="2:11" s="180" customFormat="1" ht="16.5" x14ac:dyDescent="0.25">
      <c r="B82" s="293" t="s">
        <v>396</v>
      </c>
      <c r="C82" s="279" t="s">
        <v>24</v>
      </c>
      <c r="D82" s="295">
        <v>81323</v>
      </c>
      <c r="E82" s="296" t="s">
        <v>269</v>
      </c>
      <c r="F82" s="297">
        <f>'Memória de cálculo'!H283</f>
        <v>2</v>
      </c>
      <c r="G82" s="279" t="s">
        <v>188</v>
      </c>
      <c r="H82" s="212"/>
      <c r="I82" s="212"/>
      <c r="J82" s="200">
        <f t="shared" si="8"/>
        <v>0</v>
      </c>
      <c r="K82" s="181"/>
    </row>
    <row r="83" spans="2:11" s="180" customFormat="1" ht="16.5" x14ac:dyDescent="0.25">
      <c r="B83" s="293" t="s">
        <v>576</v>
      </c>
      <c r="C83" s="279" t="s">
        <v>24</v>
      </c>
      <c r="D83" s="295">
        <v>81810</v>
      </c>
      <c r="E83" s="296" t="s">
        <v>243</v>
      </c>
      <c r="F83" s="322"/>
      <c r="G83" s="323"/>
      <c r="H83" s="323"/>
      <c r="I83" s="323"/>
      <c r="J83" s="324"/>
      <c r="K83" s="181"/>
    </row>
    <row r="84" spans="2:11" s="180" customFormat="1" ht="16.5" x14ac:dyDescent="0.25">
      <c r="B84" s="293" t="s">
        <v>578</v>
      </c>
      <c r="C84" s="279" t="s">
        <v>24</v>
      </c>
      <c r="D84" s="273">
        <v>81826</v>
      </c>
      <c r="E84" s="286" t="s">
        <v>244</v>
      </c>
      <c r="F84" s="272">
        <f>'Memória de cálculo'!H286</f>
        <v>2</v>
      </c>
      <c r="G84" s="304" t="s">
        <v>175</v>
      </c>
      <c r="H84" s="195"/>
      <c r="I84" s="195"/>
      <c r="J84" s="200">
        <f t="shared" si="8"/>
        <v>0</v>
      </c>
      <c r="K84" s="181"/>
    </row>
    <row r="85" spans="2:11" s="180" customFormat="1" ht="38.25" x14ac:dyDescent="0.25">
      <c r="B85" s="293" t="s">
        <v>579</v>
      </c>
      <c r="C85" s="279" t="s">
        <v>24</v>
      </c>
      <c r="D85" s="273">
        <v>81846</v>
      </c>
      <c r="E85" s="286" t="s">
        <v>272</v>
      </c>
      <c r="F85" s="272">
        <f>'Memória de cálculo'!H288</f>
        <v>1</v>
      </c>
      <c r="G85" s="304" t="s">
        <v>273</v>
      </c>
      <c r="H85" s="195"/>
      <c r="I85" s="195"/>
      <c r="J85" s="200">
        <f t="shared" si="8"/>
        <v>0</v>
      </c>
      <c r="K85" s="181"/>
    </row>
    <row r="86" spans="2:11" s="180" customFormat="1" ht="16.5" thickBot="1" x14ac:dyDescent="0.3">
      <c r="B86" s="327" t="s">
        <v>70</v>
      </c>
      <c r="C86" s="328"/>
      <c r="D86" s="328"/>
      <c r="E86" s="328"/>
      <c r="F86" s="328"/>
      <c r="G86" s="328"/>
      <c r="H86" s="328"/>
      <c r="I86" s="329"/>
      <c r="J86" s="223">
        <f>SUM(J71:J85)</f>
        <v>0</v>
      </c>
      <c r="K86" s="202">
        <f>J86+J86*$I$158</f>
        <v>0</v>
      </c>
    </row>
    <row r="87" spans="2:11" s="180" customFormat="1" ht="17.25" thickBot="1" x14ac:dyDescent="0.3">
      <c r="B87" s="333" t="s">
        <v>370</v>
      </c>
      <c r="C87" s="334"/>
      <c r="D87" s="334"/>
      <c r="E87" s="334"/>
      <c r="F87" s="334"/>
      <c r="G87" s="334"/>
      <c r="H87" s="334"/>
      <c r="I87" s="334"/>
      <c r="J87" s="335"/>
      <c r="K87" s="181"/>
    </row>
    <row r="88" spans="2:11" s="180" customFormat="1" ht="16.5" x14ac:dyDescent="0.25">
      <c r="B88" s="203" t="s">
        <v>700</v>
      </c>
      <c r="C88" s="224" t="s">
        <v>24</v>
      </c>
      <c r="D88" s="190">
        <v>100000</v>
      </c>
      <c r="E88" s="191" t="s">
        <v>371</v>
      </c>
      <c r="F88" s="336"/>
      <c r="G88" s="337"/>
      <c r="H88" s="337"/>
      <c r="I88" s="337"/>
      <c r="J88" s="338"/>
      <c r="K88" s="181"/>
    </row>
    <row r="89" spans="2:11" s="180" customFormat="1" ht="38.25" x14ac:dyDescent="0.25">
      <c r="B89" s="310" t="s">
        <v>46</v>
      </c>
      <c r="C89" s="311" t="s">
        <v>24</v>
      </c>
      <c r="D89" s="270">
        <v>100160</v>
      </c>
      <c r="E89" s="286" t="s">
        <v>372</v>
      </c>
      <c r="F89" s="272">
        <f>'Memória de cálculo'!H297</f>
        <v>44.805</v>
      </c>
      <c r="G89" s="273" t="s">
        <v>21</v>
      </c>
      <c r="H89" s="195"/>
      <c r="I89" s="195"/>
      <c r="J89" s="200">
        <f t="shared" ref="J89" si="9">(I89+H89)*F89</f>
        <v>0</v>
      </c>
      <c r="K89" s="181"/>
    </row>
    <row r="90" spans="2:11" s="180" customFormat="1" ht="16.5" thickBot="1" x14ac:dyDescent="0.3">
      <c r="B90" s="330" t="s">
        <v>70</v>
      </c>
      <c r="C90" s="331"/>
      <c r="D90" s="331"/>
      <c r="E90" s="331"/>
      <c r="F90" s="331"/>
      <c r="G90" s="331"/>
      <c r="H90" s="331"/>
      <c r="I90" s="332"/>
      <c r="J90" s="201">
        <f>SUM(J89:J89)</f>
        <v>0</v>
      </c>
      <c r="K90" s="202">
        <f>J90+J90*$I$158</f>
        <v>0</v>
      </c>
    </row>
    <row r="91" spans="2:11" s="180" customFormat="1" ht="17.25" thickBot="1" x14ac:dyDescent="0.3">
      <c r="B91" s="333" t="s">
        <v>378</v>
      </c>
      <c r="C91" s="334"/>
      <c r="D91" s="334"/>
      <c r="E91" s="334"/>
      <c r="F91" s="334"/>
      <c r="G91" s="334"/>
      <c r="H91" s="334"/>
      <c r="I91" s="334"/>
      <c r="J91" s="335"/>
      <c r="K91" s="181"/>
    </row>
    <row r="92" spans="2:11" s="180" customFormat="1" ht="16.5" x14ac:dyDescent="0.25">
      <c r="B92" s="203" t="s">
        <v>701</v>
      </c>
      <c r="C92" s="224" t="s">
        <v>24</v>
      </c>
      <c r="D92" s="190">
        <v>120000</v>
      </c>
      <c r="E92" s="191" t="s">
        <v>379</v>
      </c>
      <c r="F92" s="336"/>
      <c r="G92" s="337"/>
      <c r="H92" s="337"/>
      <c r="I92" s="337"/>
      <c r="J92" s="338"/>
      <c r="K92" s="181"/>
    </row>
    <row r="93" spans="2:11" s="180" customFormat="1" ht="16.5" x14ac:dyDescent="0.25">
      <c r="B93" s="268" t="s">
        <v>626</v>
      </c>
      <c r="C93" s="285" t="s">
        <v>24</v>
      </c>
      <c r="D93" s="270">
        <v>120205</v>
      </c>
      <c r="E93" s="271" t="s">
        <v>627</v>
      </c>
      <c r="F93" s="272">
        <f>'Memória de cálculo'!H302</f>
        <v>30.53</v>
      </c>
      <c r="G93" s="273" t="s">
        <v>173</v>
      </c>
      <c r="H93" s="194"/>
      <c r="I93" s="193"/>
      <c r="J93" s="196">
        <f t="shared" ref="J93:J94" si="10">(I93+H93)*F93</f>
        <v>0</v>
      </c>
      <c r="K93" s="181"/>
    </row>
    <row r="94" spans="2:11" s="180" customFormat="1" ht="16.5" x14ac:dyDescent="0.25">
      <c r="B94" s="284" t="s">
        <v>260</v>
      </c>
      <c r="C94" s="285" t="s">
        <v>24</v>
      </c>
      <c r="D94" s="273">
        <v>120902</v>
      </c>
      <c r="E94" s="286" t="s">
        <v>380</v>
      </c>
      <c r="F94" s="312">
        <f>'Memória de cálculo'!H307</f>
        <v>11.362500000000001</v>
      </c>
      <c r="G94" s="275" t="s">
        <v>21</v>
      </c>
      <c r="H94" s="192"/>
      <c r="I94" s="197"/>
      <c r="J94" s="196">
        <f t="shared" si="10"/>
        <v>0</v>
      </c>
      <c r="K94" s="181"/>
    </row>
    <row r="95" spans="2:11" s="180" customFormat="1" ht="16.5" thickBot="1" x14ac:dyDescent="0.3">
      <c r="B95" s="330" t="s">
        <v>70</v>
      </c>
      <c r="C95" s="331"/>
      <c r="D95" s="331"/>
      <c r="E95" s="331"/>
      <c r="F95" s="331"/>
      <c r="G95" s="331"/>
      <c r="H95" s="331"/>
      <c r="I95" s="332"/>
      <c r="J95" s="201">
        <f>SUM(J93:J94)</f>
        <v>0</v>
      </c>
      <c r="K95" s="202">
        <f>J95+J95*$I$158</f>
        <v>0</v>
      </c>
    </row>
    <row r="96" spans="2:11" s="180" customFormat="1" ht="17.25" thickBot="1" x14ac:dyDescent="0.3">
      <c r="B96" s="333" t="s">
        <v>341</v>
      </c>
      <c r="C96" s="334"/>
      <c r="D96" s="334"/>
      <c r="E96" s="334"/>
      <c r="F96" s="334"/>
      <c r="G96" s="334"/>
      <c r="H96" s="334"/>
      <c r="I96" s="334"/>
      <c r="J96" s="335"/>
      <c r="K96" s="181"/>
    </row>
    <row r="97" spans="2:11" s="180" customFormat="1" ht="16.5" x14ac:dyDescent="0.25">
      <c r="B97" s="203" t="s">
        <v>702</v>
      </c>
      <c r="C97" s="224" t="s">
        <v>24</v>
      </c>
      <c r="D97" s="190">
        <v>140000</v>
      </c>
      <c r="E97" s="191" t="s">
        <v>342</v>
      </c>
      <c r="F97" s="336"/>
      <c r="G97" s="337"/>
      <c r="H97" s="337"/>
      <c r="I97" s="337"/>
      <c r="J97" s="338"/>
      <c r="K97" s="181"/>
    </row>
    <row r="98" spans="2:11" s="180" customFormat="1" ht="16.5" x14ac:dyDescent="0.25">
      <c r="B98" s="268" t="s">
        <v>255</v>
      </c>
      <c r="C98" s="311" t="s">
        <v>24</v>
      </c>
      <c r="D98" s="270">
        <v>140102</v>
      </c>
      <c r="E98" s="286" t="s">
        <v>343</v>
      </c>
      <c r="F98" s="272">
        <f>'Memória de cálculo'!H312</f>
        <v>27</v>
      </c>
      <c r="G98" s="273" t="s">
        <v>21</v>
      </c>
      <c r="H98" s="274"/>
      <c r="I98" s="274"/>
      <c r="J98" s="200">
        <f t="shared" ref="J98" si="11">(I98+H98)*F98</f>
        <v>0</v>
      </c>
      <c r="K98" s="181"/>
    </row>
    <row r="99" spans="2:11" s="180" customFormat="1" ht="16.5" customHeight="1" thickBot="1" x14ac:dyDescent="0.3">
      <c r="B99" s="330" t="s">
        <v>70</v>
      </c>
      <c r="C99" s="331"/>
      <c r="D99" s="331"/>
      <c r="E99" s="331"/>
      <c r="F99" s="331"/>
      <c r="G99" s="331"/>
      <c r="H99" s="331"/>
      <c r="I99" s="332"/>
      <c r="J99" s="201">
        <f>SUM(J98:J98)</f>
        <v>0</v>
      </c>
      <c r="K99" s="202">
        <f>J99+J99*$I$158</f>
        <v>0</v>
      </c>
    </row>
    <row r="100" spans="2:11" s="180" customFormat="1" ht="17.25" thickBot="1" x14ac:dyDescent="0.3">
      <c r="B100" s="333" t="s">
        <v>56</v>
      </c>
      <c r="C100" s="334"/>
      <c r="D100" s="334"/>
      <c r="E100" s="334"/>
      <c r="F100" s="334"/>
      <c r="G100" s="334"/>
      <c r="H100" s="334"/>
      <c r="I100" s="334"/>
      <c r="J100" s="335"/>
      <c r="K100" s="181"/>
    </row>
    <row r="101" spans="2:11" s="180" customFormat="1" ht="16.5" x14ac:dyDescent="0.25">
      <c r="B101" s="203" t="s">
        <v>703</v>
      </c>
      <c r="C101" s="224" t="s">
        <v>24</v>
      </c>
      <c r="D101" s="190">
        <v>160000</v>
      </c>
      <c r="E101" s="191" t="s">
        <v>250</v>
      </c>
      <c r="F101" s="336"/>
      <c r="G101" s="337"/>
      <c r="H101" s="337"/>
      <c r="I101" s="337"/>
      <c r="J101" s="338"/>
      <c r="K101" s="181"/>
    </row>
    <row r="102" spans="2:11" s="180" customFormat="1" ht="16.5" x14ac:dyDescent="0.25">
      <c r="B102" s="268" t="s">
        <v>66</v>
      </c>
      <c r="C102" s="311" t="s">
        <v>24</v>
      </c>
      <c r="D102" s="270">
        <v>160401</v>
      </c>
      <c r="E102" s="286" t="s">
        <v>311</v>
      </c>
      <c r="F102" s="272">
        <f>'Memória de cálculo'!H317</f>
        <v>34.849999999999994</v>
      </c>
      <c r="G102" s="273" t="s">
        <v>21</v>
      </c>
      <c r="H102" s="195"/>
      <c r="I102" s="195"/>
      <c r="J102" s="200">
        <f t="shared" ref="J102:J105" si="12">(I102+H102)*F102</f>
        <v>0</v>
      </c>
      <c r="K102" s="181"/>
    </row>
    <row r="103" spans="2:11" s="180" customFormat="1" ht="16.5" x14ac:dyDescent="0.25">
      <c r="B103" s="268" t="s">
        <v>397</v>
      </c>
      <c r="C103" s="311" t="s">
        <v>24</v>
      </c>
      <c r="D103" s="270">
        <v>160402</v>
      </c>
      <c r="E103" s="286" t="s">
        <v>310</v>
      </c>
      <c r="F103" s="272">
        <f>'Memória de cálculo'!H320</f>
        <v>4.0999999999999996</v>
      </c>
      <c r="G103" s="273" t="s">
        <v>267</v>
      </c>
      <c r="H103" s="195"/>
      <c r="I103" s="195"/>
      <c r="J103" s="200">
        <f t="shared" si="12"/>
        <v>0</v>
      </c>
      <c r="K103" s="181"/>
    </row>
    <row r="104" spans="2:11" s="180" customFormat="1" ht="16.5" x14ac:dyDescent="0.25">
      <c r="B104" s="268" t="s">
        <v>398</v>
      </c>
      <c r="C104" s="311" t="s">
        <v>24</v>
      </c>
      <c r="D104" s="270">
        <v>160403</v>
      </c>
      <c r="E104" s="286" t="s">
        <v>312</v>
      </c>
      <c r="F104" s="272">
        <f>'Memória de cálculo'!H323</f>
        <v>8.36</v>
      </c>
      <c r="G104" s="273" t="s">
        <v>267</v>
      </c>
      <c r="H104" s="225"/>
      <c r="I104" s="225"/>
      <c r="J104" s="200">
        <f t="shared" si="12"/>
        <v>0</v>
      </c>
      <c r="K104" s="181"/>
    </row>
    <row r="105" spans="2:11" s="180" customFormat="1" ht="16.5" x14ac:dyDescent="0.25">
      <c r="B105" s="268" t="s">
        <v>399</v>
      </c>
      <c r="C105" s="311" t="s">
        <v>24</v>
      </c>
      <c r="D105" s="270">
        <v>160404</v>
      </c>
      <c r="E105" s="286" t="s">
        <v>313</v>
      </c>
      <c r="F105" s="272">
        <f>'Memória de cálculo'!H326</f>
        <v>7.2</v>
      </c>
      <c r="G105" s="273" t="s">
        <v>267</v>
      </c>
      <c r="H105" s="225"/>
      <c r="I105" s="225"/>
      <c r="J105" s="200">
        <f t="shared" si="12"/>
        <v>0</v>
      </c>
      <c r="K105" s="181"/>
    </row>
    <row r="106" spans="2:11" s="180" customFormat="1" ht="16.5" x14ac:dyDescent="0.25">
      <c r="B106" s="268" t="s">
        <v>400</v>
      </c>
      <c r="C106" s="311" t="s">
        <v>24</v>
      </c>
      <c r="D106" s="279">
        <v>160906</v>
      </c>
      <c r="E106" s="280" t="s">
        <v>192</v>
      </c>
      <c r="F106" s="281">
        <f>'Memória de cálculo'!H329</f>
        <v>5</v>
      </c>
      <c r="G106" s="279" t="s">
        <v>21</v>
      </c>
      <c r="H106" s="226"/>
      <c r="I106" s="226"/>
      <c r="J106" s="200">
        <f t="shared" ref="J106" si="13">(I106+H106)*F106</f>
        <v>0</v>
      </c>
      <c r="K106" s="181"/>
    </row>
    <row r="107" spans="2:11" s="180" customFormat="1" ht="16.5" thickBot="1" x14ac:dyDescent="0.3">
      <c r="B107" s="330" t="s">
        <v>70</v>
      </c>
      <c r="C107" s="331"/>
      <c r="D107" s="331"/>
      <c r="E107" s="331"/>
      <c r="F107" s="331"/>
      <c r="G107" s="331"/>
      <c r="H107" s="331"/>
      <c r="I107" s="332"/>
      <c r="J107" s="201">
        <f>SUM(J102:J106)</f>
        <v>0</v>
      </c>
      <c r="K107" s="202">
        <f>J107+J107*$I$158</f>
        <v>0</v>
      </c>
    </row>
    <row r="108" spans="2:11" s="180" customFormat="1" ht="17.25" thickBot="1" x14ac:dyDescent="0.3">
      <c r="B108" s="333" t="s">
        <v>57</v>
      </c>
      <c r="C108" s="334"/>
      <c r="D108" s="334"/>
      <c r="E108" s="334"/>
      <c r="F108" s="334"/>
      <c r="G108" s="334"/>
      <c r="H108" s="334"/>
      <c r="I108" s="334"/>
      <c r="J108" s="335"/>
      <c r="K108" s="181"/>
    </row>
    <row r="109" spans="2:11" s="180" customFormat="1" ht="16.5" x14ac:dyDescent="0.25">
      <c r="B109" s="227" t="s">
        <v>704</v>
      </c>
      <c r="C109" s="228" t="s">
        <v>24</v>
      </c>
      <c r="D109" s="207">
        <v>180000</v>
      </c>
      <c r="E109" s="208" t="s">
        <v>193</v>
      </c>
      <c r="F109" s="339"/>
      <c r="G109" s="340"/>
      <c r="H109" s="340"/>
      <c r="I109" s="340"/>
      <c r="J109" s="341"/>
      <c r="K109" s="181"/>
    </row>
    <row r="110" spans="2:11" s="180" customFormat="1" ht="16.5" x14ac:dyDescent="0.25">
      <c r="B110" s="313" t="s">
        <v>401</v>
      </c>
      <c r="C110" s="285" t="s">
        <v>24</v>
      </c>
      <c r="D110" s="295">
        <v>180490</v>
      </c>
      <c r="E110" s="296" t="s">
        <v>194</v>
      </c>
      <c r="F110" s="297">
        <f>'Memória de cálculo'!H344</f>
        <v>21.840000000000003</v>
      </c>
      <c r="G110" s="295" t="s">
        <v>21</v>
      </c>
      <c r="H110" s="212"/>
      <c r="I110" s="212"/>
      <c r="J110" s="200">
        <f t="shared" ref="J110:J111" si="14">(I110+H110)*F110</f>
        <v>0</v>
      </c>
      <c r="K110" s="181"/>
    </row>
    <row r="111" spans="2:11" s="180" customFormat="1" ht="16.5" x14ac:dyDescent="0.25">
      <c r="B111" s="313" t="s">
        <v>402</v>
      </c>
      <c r="C111" s="285" t="s">
        <v>24</v>
      </c>
      <c r="D111" s="295">
        <v>180401</v>
      </c>
      <c r="E111" s="296" t="s">
        <v>358</v>
      </c>
      <c r="F111" s="297">
        <f>'Memória de cálculo'!H347</f>
        <v>7.5</v>
      </c>
      <c r="G111" s="295" t="s">
        <v>21</v>
      </c>
      <c r="H111" s="212"/>
      <c r="I111" s="212"/>
      <c r="J111" s="200">
        <f t="shared" si="14"/>
        <v>0</v>
      </c>
      <c r="K111" s="181"/>
    </row>
    <row r="112" spans="2:11" s="180" customFormat="1" ht="16.5" thickBot="1" x14ac:dyDescent="0.3">
      <c r="B112" s="330" t="s">
        <v>70</v>
      </c>
      <c r="C112" s="331"/>
      <c r="D112" s="331"/>
      <c r="E112" s="331"/>
      <c r="F112" s="331"/>
      <c r="G112" s="331"/>
      <c r="H112" s="331"/>
      <c r="I112" s="332"/>
      <c r="J112" s="201">
        <f>SUM(J110:J111)</f>
        <v>0</v>
      </c>
      <c r="K112" s="202">
        <f>J112+J112*$I$158</f>
        <v>0</v>
      </c>
    </row>
    <row r="113" spans="2:11" s="180" customFormat="1" ht="17.25" thickBot="1" x14ac:dyDescent="0.3">
      <c r="B113" s="333" t="s">
        <v>360</v>
      </c>
      <c r="C113" s="334"/>
      <c r="D113" s="334"/>
      <c r="E113" s="334"/>
      <c r="F113" s="334"/>
      <c r="G113" s="334"/>
      <c r="H113" s="334"/>
      <c r="I113" s="334"/>
      <c r="J113" s="335"/>
      <c r="K113" s="181"/>
    </row>
    <row r="114" spans="2:11" s="180" customFormat="1" ht="16.5" x14ac:dyDescent="0.25">
      <c r="B114" s="227" t="s">
        <v>705</v>
      </c>
      <c r="C114" s="228" t="s">
        <v>24</v>
      </c>
      <c r="D114" s="207">
        <v>190000</v>
      </c>
      <c r="E114" s="208" t="s">
        <v>361</v>
      </c>
      <c r="F114" s="339"/>
      <c r="G114" s="340"/>
      <c r="H114" s="340"/>
      <c r="I114" s="340"/>
      <c r="J114" s="341"/>
      <c r="K114" s="181"/>
    </row>
    <row r="115" spans="2:11" s="180" customFormat="1" ht="16.5" x14ac:dyDescent="0.25">
      <c r="B115" s="313" t="s">
        <v>403</v>
      </c>
      <c r="C115" s="285" t="s">
        <v>24</v>
      </c>
      <c r="D115" s="295">
        <v>190109</v>
      </c>
      <c r="E115" s="296" t="s">
        <v>362</v>
      </c>
      <c r="F115" s="297">
        <f>'Memória de cálculo'!H352</f>
        <v>7.5</v>
      </c>
      <c r="G115" s="295" t="s">
        <v>21</v>
      </c>
      <c r="H115" s="212"/>
      <c r="I115" s="212"/>
      <c r="J115" s="200">
        <f t="shared" ref="J115" si="15">(I115+H115)*F115</f>
        <v>0</v>
      </c>
      <c r="K115" s="181"/>
    </row>
    <row r="116" spans="2:11" s="180" customFormat="1" ht="16.5" thickBot="1" x14ac:dyDescent="0.3">
      <c r="B116" s="330" t="s">
        <v>70</v>
      </c>
      <c r="C116" s="331"/>
      <c r="D116" s="331"/>
      <c r="E116" s="331"/>
      <c r="F116" s="331"/>
      <c r="G116" s="331"/>
      <c r="H116" s="331"/>
      <c r="I116" s="332"/>
      <c r="J116" s="201">
        <f>SUM(J115)</f>
        <v>0</v>
      </c>
      <c r="K116" s="202">
        <f>J116+J116*$I$158</f>
        <v>0</v>
      </c>
    </row>
    <row r="117" spans="2:11" s="180" customFormat="1" ht="17.25" thickBot="1" x14ac:dyDescent="0.3">
      <c r="B117" s="333" t="s">
        <v>59</v>
      </c>
      <c r="C117" s="334"/>
      <c r="D117" s="334"/>
      <c r="E117" s="334"/>
      <c r="F117" s="334"/>
      <c r="G117" s="334"/>
      <c r="H117" s="334"/>
      <c r="I117" s="334"/>
      <c r="J117" s="335"/>
      <c r="K117" s="181"/>
    </row>
    <row r="118" spans="2:11" s="180" customFormat="1" ht="16.5" x14ac:dyDescent="0.25">
      <c r="B118" s="206" t="s">
        <v>706</v>
      </c>
      <c r="C118" s="207" t="s">
        <v>24</v>
      </c>
      <c r="D118" s="207">
        <v>200000</v>
      </c>
      <c r="E118" s="229" t="s">
        <v>196</v>
      </c>
      <c r="F118" s="344"/>
      <c r="G118" s="345"/>
      <c r="H118" s="345"/>
      <c r="I118" s="345"/>
      <c r="J118" s="346"/>
      <c r="K118" s="181"/>
    </row>
    <row r="119" spans="2:11" s="180" customFormat="1" ht="15.75" customHeight="1" x14ac:dyDescent="0.25">
      <c r="B119" s="293" t="s">
        <v>652</v>
      </c>
      <c r="C119" s="295" t="s">
        <v>24</v>
      </c>
      <c r="D119" s="295">
        <v>200101</v>
      </c>
      <c r="E119" s="314" t="s">
        <v>242</v>
      </c>
      <c r="F119" s="297">
        <f>'Memória de cálculo'!H379</f>
        <v>104.46</v>
      </c>
      <c r="G119" s="295" t="s">
        <v>21</v>
      </c>
      <c r="H119" s="212"/>
      <c r="I119" s="212"/>
      <c r="J119" s="200">
        <f t="shared" ref="J119:J121" si="16">(I119+H119)*F119</f>
        <v>0</v>
      </c>
      <c r="K119" s="181"/>
    </row>
    <row r="120" spans="2:11" s="180" customFormat="1" ht="16.5" x14ac:dyDescent="0.25">
      <c r="B120" s="293" t="s">
        <v>404</v>
      </c>
      <c r="C120" s="295" t="s">
        <v>24</v>
      </c>
      <c r="D120" s="295">
        <v>201302</v>
      </c>
      <c r="E120" s="314" t="s">
        <v>562</v>
      </c>
      <c r="F120" s="297">
        <f>'Memória de cálculo'!H394</f>
        <v>52.809000000000012</v>
      </c>
      <c r="G120" s="295" t="s">
        <v>21</v>
      </c>
      <c r="H120" s="212"/>
      <c r="I120" s="212"/>
      <c r="J120" s="200">
        <f>(I120+H120)*F120</f>
        <v>0</v>
      </c>
      <c r="K120" s="181"/>
    </row>
    <row r="121" spans="2:11" s="180" customFormat="1" ht="16.5" x14ac:dyDescent="0.25">
      <c r="B121" s="293" t="s">
        <v>405</v>
      </c>
      <c r="C121" s="295" t="s">
        <v>24</v>
      </c>
      <c r="D121" s="295">
        <v>200499</v>
      </c>
      <c r="E121" s="314" t="s">
        <v>197</v>
      </c>
      <c r="F121" s="297">
        <f>'Memória de cálculo'!H419</f>
        <v>104.46</v>
      </c>
      <c r="G121" s="295" t="s">
        <v>195</v>
      </c>
      <c r="H121" s="212"/>
      <c r="I121" s="212"/>
      <c r="J121" s="200">
        <f t="shared" si="16"/>
        <v>0</v>
      </c>
      <c r="K121" s="181"/>
    </row>
    <row r="122" spans="2:11" s="180" customFormat="1" ht="16.5" thickBot="1" x14ac:dyDescent="0.3">
      <c r="B122" s="330" t="s">
        <v>70</v>
      </c>
      <c r="C122" s="331"/>
      <c r="D122" s="331"/>
      <c r="E122" s="331"/>
      <c r="F122" s="331"/>
      <c r="G122" s="331"/>
      <c r="H122" s="331"/>
      <c r="I122" s="332"/>
      <c r="J122" s="201">
        <f>SUM(J119:J121)</f>
        <v>0</v>
      </c>
      <c r="K122" s="202">
        <f>J122+J122*$I$158</f>
        <v>0</v>
      </c>
    </row>
    <row r="123" spans="2:11" s="180" customFormat="1" ht="15.95" customHeight="1" thickBot="1" x14ac:dyDescent="0.3">
      <c r="B123" s="333" t="s">
        <v>47</v>
      </c>
      <c r="C123" s="334"/>
      <c r="D123" s="334"/>
      <c r="E123" s="334"/>
      <c r="F123" s="334"/>
      <c r="G123" s="334"/>
      <c r="H123" s="334"/>
      <c r="I123" s="334"/>
      <c r="J123" s="335"/>
      <c r="K123" s="181"/>
    </row>
    <row r="124" spans="2:11" s="180" customFormat="1" ht="16.5" x14ac:dyDescent="0.25">
      <c r="B124" s="217" t="s">
        <v>707</v>
      </c>
      <c r="C124" s="189" t="s">
        <v>24</v>
      </c>
      <c r="D124" s="190">
        <v>210000</v>
      </c>
      <c r="E124" s="191" t="s">
        <v>209</v>
      </c>
      <c r="F124" s="336"/>
      <c r="G124" s="337"/>
      <c r="H124" s="337"/>
      <c r="I124" s="337"/>
      <c r="J124" s="338"/>
      <c r="K124" s="181"/>
    </row>
    <row r="125" spans="2:11" s="180" customFormat="1" ht="16.5" x14ac:dyDescent="0.25">
      <c r="B125" s="315" t="s">
        <v>406</v>
      </c>
      <c r="C125" s="269" t="s">
        <v>24</v>
      </c>
      <c r="D125" s="269">
        <v>210460</v>
      </c>
      <c r="E125" s="316" t="s">
        <v>199</v>
      </c>
      <c r="F125" s="317">
        <f>'Memória de cálculo'!H425</f>
        <v>34.480000000000004</v>
      </c>
      <c r="G125" s="269" t="s">
        <v>21</v>
      </c>
      <c r="H125" s="230"/>
      <c r="I125" s="230"/>
      <c r="J125" s="200">
        <f t="shared" ref="J125" si="17">(I125+H125)*F125</f>
        <v>0</v>
      </c>
      <c r="K125" s="181"/>
    </row>
    <row r="126" spans="2:11" s="180" customFormat="1" ht="16.5" thickBot="1" x14ac:dyDescent="0.3">
      <c r="B126" s="330" t="s">
        <v>70</v>
      </c>
      <c r="C126" s="331"/>
      <c r="D126" s="331"/>
      <c r="E126" s="331"/>
      <c r="F126" s="331"/>
      <c r="G126" s="331"/>
      <c r="H126" s="331"/>
      <c r="I126" s="332"/>
      <c r="J126" s="201">
        <f>SUM(J125:J125)</f>
        <v>0</v>
      </c>
      <c r="K126" s="202">
        <f>J126+J126*$I$158</f>
        <v>0</v>
      </c>
    </row>
    <row r="127" spans="2:11" s="180" customFormat="1" ht="17.25" thickBot="1" x14ac:dyDescent="0.3">
      <c r="B127" s="333" t="s">
        <v>62</v>
      </c>
      <c r="C127" s="334"/>
      <c r="D127" s="334"/>
      <c r="E127" s="334"/>
      <c r="F127" s="334"/>
      <c r="G127" s="334"/>
      <c r="H127" s="334"/>
      <c r="I127" s="334"/>
      <c r="J127" s="335"/>
      <c r="K127" s="181"/>
    </row>
    <row r="128" spans="2:11" s="180" customFormat="1" ht="16.5" x14ac:dyDescent="0.25">
      <c r="B128" s="231" t="s">
        <v>708</v>
      </c>
      <c r="C128" s="189" t="s">
        <v>24</v>
      </c>
      <c r="D128" s="190">
        <v>220000</v>
      </c>
      <c r="E128" s="191" t="s">
        <v>203</v>
      </c>
      <c r="F128" s="336"/>
      <c r="G128" s="337"/>
      <c r="H128" s="337"/>
      <c r="I128" s="337"/>
      <c r="J128" s="338"/>
      <c r="K128" s="181"/>
    </row>
    <row r="129" spans="2:11" s="180" customFormat="1" ht="38.25" x14ac:dyDescent="0.25">
      <c r="B129" s="293" t="s">
        <v>407</v>
      </c>
      <c r="C129" s="295" t="s">
        <v>24</v>
      </c>
      <c r="D129" s="295">
        <v>220100</v>
      </c>
      <c r="E129" s="314" t="s">
        <v>420</v>
      </c>
      <c r="F129" s="272">
        <f>'Memória de cálculo'!H430</f>
        <v>7.65</v>
      </c>
      <c r="G129" s="273" t="s">
        <v>21</v>
      </c>
      <c r="H129" s="194"/>
      <c r="I129" s="194"/>
      <c r="J129" s="200">
        <f>(I129+H129)*F129</f>
        <v>0</v>
      </c>
      <c r="K129" s="181"/>
    </row>
    <row r="130" spans="2:11" s="180" customFormat="1" ht="16.5" x14ac:dyDescent="0.25">
      <c r="B130" s="293" t="s">
        <v>408</v>
      </c>
      <c r="C130" s="295" t="s">
        <v>24</v>
      </c>
      <c r="D130" s="273">
        <v>220107</v>
      </c>
      <c r="E130" s="286" t="s">
        <v>258</v>
      </c>
      <c r="F130" s="272">
        <f>'Memória de cálculo'!H433</f>
        <v>5.9375</v>
      </c>
      <c r="G130" s="273" t="s">
        <v>259</v>
      </c>
      <c r="H130" s="195"/>
      <c r="I130" s="195"/>
      <c r="J130" s="200">
        <f t="shared" ref="J130:J134" si="18">(I130+H130)*F130</f>
        <v>0</v>
      </c>
      <c r="K130" s="181"/>
    </row>
    <row r="131" spans="2:11" s="180" customFormat="1" ht="38.25" x14ac:dyDescent="0.25">
      <c r="B131" s="293" t="s">
        <v>409</v>
      </c>
      <c r="C131" s="295" t="s">
        <v>24</v>
      </c>
      <c r="D131" s="295">
        <v>220309</v>
      </c>
      <c r="E131" s="314" t="s">
        <v>200</v>
      </c>
      <c r="F131" s="297">
        <f>'Memória de cálculo'!H447</f>
        <v>334.25880000000001</v>
      </c>
      <c r="G131" s="295" t="s">
        <v>21</v>
      </c>
      <c r="H131" s="212"/>
      <c r="I131" s="212"/>
      <c r="J131" s="200">
        <f t="shared" si="18"/>
        <v>0</v>
      </c>
      <c r="K131" s="181"/>
    </row>
    <row r="132" spans="2:11" s="180" customFormat="1" ht="16.5" x14ac:dyDescent="0.25">
      <c r="B132" s="293" t="s">
        <v>410</v>
      </c>
      <c r="C132" s="295" t="s">
        <v>24</v>
      </c>
      <c r="D132" s="295">
        <v>220310</v>
      </c>
      <c r="E132" s="314" t="s">
        <v>321</v>
      </c>
      <c r="F132" s="297">
        <f>'Memória de cálculo'!H496</f>
        <v>197.36</v>
      </c>
      <c r="G132" s="295" t="s">
        <v>267</v>
      </c>
      <c r="H132" s="212"/>
      <c r="I132" s="212"/>
      <c r="J132" s="200">
        <f t="shared" si="18"/>
        <v>0</v>
      </c>
      <c r="K132" s="181"/>
    </row>
    <row r="133" spans="2:11" s="180" customFormat="1" ht="15.95" customHeight="1" x14ac:dyDescent="0.25">
      <c r="B133" s="293" t="s">
        <v>411</v>
      </c>
      <c r="C133" s="295" t="s">
        <v>24</v>
      </c>
      <c r="D133" s="295">
        <v>221101</v>
      </c>
      <c r="E133" s="314" t="s">
        <v>337</v>
      </c>
      <c r="F133" s="297">
        <f>'Memória de cálculo'!H499</f>
        <v>27</v>
      </c>
      <c r="G133" s="295" t="s">
        <v>21</v>
      </c>
      <c r="H133" s="212"/>
      <c r="I133" s="212"/>
      <c r="J133" s="200">
        <f t="shared" si="18"/>
        <v>0</v>
      </c>
      <c r="K133" s="181"/>
    </row>
    <row r="134" spans="2:11" s="180" customFormat="1" ht="15.95" customHeight="1" x14ac:dyDescent="0.25">
      <c r="B134" s="293" t="s">
        <v>464</v>
      </c>
      <c r="C134" s="295" t="s">
        <v>24</v>
      </c>
      <c r="D134" s="295">
        <v>221102</v>
      </c>
      <c r="E134" s="314" t="s">
        <v>338</v>
      </c>
      <c r="F134" s="297">
        <f>'Memória de cálculo'!H502</f>
        <v>22.2</v>
      </c>
      <c r="G134" s="295" t="s">
        <v>339</v>
      </c>
      <c r="H134" s="212"/>
      <c r="I134" s="212"/>
      <c r="J134" s="200">
        <f t="shared" si="18"/>
        <v>0</v>
      </c>
      <c r="K134" s="181"/>
    </row>
    <row r="135" spans="2:11" s="180" customFormat="1" ht="24" customHeight="1" thickBot="1" x14ac:dyDescent="0.3">
      <c r="B135" s="347" t="s">
        <v>70</v>
      </c>
      <c r="C135" s="348"/>
      <c r="D135" s="348"/>
      <c r="E135" s="348"/>
      <c r="F135" s="348"/>
      <c r="G135" s="348"/>
      <c r="H135" s="348"/>
      <c r="I135" s="349"/>
      <c r="J135" s="201">
        <f>SUM(J129:J134)</f>
        <v>0</v>
      </c>
      <c r="K135" s="202">
        <f>J135+J135*$I$158</f>
        <v>0</v>
      </c>
    </row>
    <row r="136" spans="2:11" s="180" customFormat="1" ht="17.25" thickBot="1" x14ac:dyDescent="0.3">
      <c r="B136" s="333" t="s">
        <v>711</v>
      </c>
      <c r="C136" s="334"/>
      <c r="D136" s="334"/>
      <c r="E136" s="334"/>
      <c r="F136" s="334"/>
      <c r="G136" s="334"/>
      <c r="H136" s="334"/>
      <c r="I136" s="334"/>
      <c r="J136" s="335"/>
      <c r="K136" s="181"/>
    </row>
    <row r="137" spans="2:11" s="180" customFormat="1" ht="16.5" x14ac:dyDescent="0.25">
      <c r="B137" s="203" t="s">
        <v>709</v>
      </c>
      <c r="C137" s="218" t="s">
        <v>24</v>
      </c>
      <c r="D137" s="190">
        <v>250000</v>
      </c>
      <c r="E137" s="191" t="s">
        <v>712</v>
      </c>
      <c r="F137" s="336"/>
      <c r="G137" s="337"/>
      <c r="H137" s="337"/>
      <c r="I137" s="337"/>
      <c r="J137" s="338"/>
      <c r="K137" s="181"/>
    </row>
    <row r="138" spans="2:11" s="180" customFormat="1" ht="16.5" x14ac:dyDescent="0.25">
      <c r="B138" s="318" t="s">
        <v>412</v>
      </c>
      <c r="C138" s="276" t="s">
        <v>24</v>
      </c>
      <c r="D138" s="319">
        <v>250103</v>
      </c>
      <c r="E138" s="320" t="s">
        <v>713</v>
      </c>
      <c r="F138" s="317">
        <f>'Memória de cálculo'!H507</f>
        <v>880</v>
      </c>
      <c r="G138" s="269" t="s">
        <v>271</v>
      </c>
      <c r="H138" s="230"/>
      <c r="I138" s="230"/>
      <c r="J138" s="200">
        <f t="shared" ref="J138:J139" si="19">(I138+H138)*F138</f>
        <v>0</v>
      </c>
      <c r="K138" s="181"/>
    </row>
    <row r="139" spans="2:11" s="180" customFormat="1" ht="16.5" x14ac:dyDescent="0.25">
      <c r="B139" s="318" t="s">
        <v>413</v>
      </c>
      <c r="C139" s="276" t="s">
        <v>24</v>
      </c>
      <c r="D139" s="285">
        <v>250110</v>
      </c>
      <c r="E139" s="296" t="s">
        <v>714</v>
      </c>
      <c r="F139" s="297">
        <f>'Memória de cálculo'!H511</f>
        <v>1370</v>
      </c>
      <c r="G139" s="295" t="s">
        <v>271</v>
      </c>
      <c r="H139" s="212"/>
      <c r="I139" s="212"/>
      <c r="J139" s="200">
        <f t="shared" si="19"/>
        <v>0</v>
      </c>
      <c r="K139" s="181"/>
    </row>
    <row r="140" spans="2:11" s="180" customFormat="1" ht="16.5" thickBot="1" x14ac:dyDescent="0.3">
      <c r="B140" s="347" t="s">
        <v>70</v>
      </c>
      <c r="C140" s="348"/>
      <c r="D140" s="348"/>
      <c r="E140" s="348"/>
      <c r="F140" s="348"/>
      <c r="G140" s="348"/>
      <c r="H140" s="348"/>
      <c r="I140" s="349"/>
      <c r="J140" s="201">
        <f>SUM(J138:J139)</f>
        <v>0</v>
      </c>
      <c r="K140" s="202">
        <f>J140+J140*$I$158</f>
        <v>0</v>
      </c>
    </row>
    <row r="141" spans="2:11" s="180" customFormat="1" ht="17.25" thickBot="1" x14ac:dyDescent="0.3">
      <c r="B141" s="333" t="s">
        <v>22</v>
      </c>
      <c r="C141" s="334"/>
      <c r="D141" s="334"/>
      <c r="E141" s="334"/>
      <c r="F141" s="334"/>
      <c r="G141" s="334"/>
      <c r="H141" s="334"/>
      <c r="I141" s="334"/>
      <c r="J141" s="335"/>
      <c r="K141" s="181"/>
    </row>
    <row r="142" spans="2:11" s="180" customFormat="1" ht="16.5" x14ac:dyDescent="0.25">
      <c r="B142" s="203" t="s">
        <v>710</v>
      </c>
      <c r="C142" s="218" t="s">
        <v>24</v>
      </c>
      <c r="D142" s="190">
        <v>260000</v>
      </c>
      <c r="E142" s="191" t="s">
        <v>202</v>
      </c>
      <c r="F142" s="336"/>
      <c r="G142" s="337"/>
      <c r="H142" s="337"/>
      <c r="I142" s="337"/>
      <c r="J142" s="338"/>
      <c r="K142" s="181"/>
    </row>
    <row r="143" spans="2:11" s="180" customFormat="1" ht="16.5" x14ac:dyDescent="0.25">
      <c r="B143" s="318" t="s">
        <v>414</v>
      </c>
      <c r="C143" s="276" t="s">
        <v>24</v>
      </c>
      <c r="D143" s="319">
        <v>261001</v>
      </c>
      <c r="E143" s="320" t="s">
        <v>23</v>
      </c>
      <c r="F143" s="317">
        <f>'Memória de cálculo'!H738</f>
        <v>1949.5042000000005</v>
      </c>
      <c r="G143" s="269" t="s">
        <v>21</v>
      </c>
      <c r="H143" s="230"/>
      <c r="I143" s="230"/>
      <c r="J143" s="200">
        <f t="shared" ref="J143:J149" si="20">(I143+H143)*F143</f>
        <v>0</v>
      </c>
      <c r="K143" s="181"/>
    </row>
    <row r="144" spans="2:11" s="180" customFormat="1" ht="16.5" x14ac:dyDescent="0.25">
      <c r="B144" s="318" t="s">
        <v>566</v>
      </c>
      <c r="C144" s="276" t="s">
        <v>24</v>
      </c>
      <c r="D144" s="285">
        <v>260104</v>
      </c>
      <c r="E144" s="296" t="s">
        <v>201</v>
      </c>
      <c r="F144" s="297">
        <f>'Memória de cálculo'!H747</f>
        <v>7.3</v>
      </c>
      <c r="G144" s="295" t="s">
        <v>195</v>
      </c>
      <c r="H144" s="212"/>
      <c r="I144" s="212"/>
      <c r="J144" s="200">
        <f>(I144+H144)*F144</f>
        <v>0</v>
      </c>
      <c r="K144" s="181"/>
    </row>
    <row r="145" spans="2:11" s="180" customFormat="1" ht="16.5" x14ac:dyDescent="0.25">
      <c r="B145" s="318" t="s">
        <v>721</v>
      </c>
      <c r="C145" s="276" t="s">
        <v>24</v>
      </c>
      <c r="D145" s="285">
        <v>261300</v>
      </c>
      <c r="E145" s="296" t="s">
        <v>204</v>
      </c>
      <c r="F145" s="297">
        <f>'Memória de cálculo'!H776</f>
        <v>107.25999999999999</v>
      </c>
      <c r="G145" s="295" t="s">
        <v>21</v>
      </c>
      <c r="H145" s="212"/>
      <c r="I145" s="212"/>
      <c r="J145" s="200">
        <f>(I145+H145)*F145</f>
        <v>0</v>
      </c>
      <c r="K145" s="181"/>
    </row>
    <row r="146" spans="2:11" s="180" customFormat="1" ht="16.5" x14ac:dyDescent="0.25">
      <c r="B146" s="318" t="s">
        <v>722</v>
      </c>
      <c r="C146" s="276" t="s">
        <v>24</v>
      </c>
      <c r="D146" s="319">
        <v>261548</v>
      </c>
      <c r="E146" s="320" t="s">
        <v>298</v>
      </c>
      <c r="F146" s="317">
        <f>'Memória de cálculo'!H915</f>
        <v>777.88300000000004</v>
      </c>
      <c r="G146" s="269" t="s">
        <v>21</v>
      </c>
      <c r="H146" s="230"/>
      <c r="I146" s="230"/>
      <c r="J146" s="200">
        <f t="shared" si="20"/>
        <v>0</v>
      </c>
      <c r="K146" s="181"/>
    </row>
    <row r="147" spans="2:11" s="180" customFormat="1" ht="16.5" x14ac:dyDescent="0.25">
      <c r="B147" s="318" t="s">
        <v>723</v>
      </c>
      <c r="C147" s="276" t="s">
        <v>24</v>
      </c>
      <c r="D147" s="285">
        <v>261602</v>
      </c>
      <c r="E147" s="296" t="s">
        <v>205</v>
      </c>
      <c r="F147" s="297">
        <f>'Memória de cálculo'!H1062</f>
        <v>582.81984900000009</v>
      </c>
      <c r="G147" s="295" t="s">
        <v>195</v>
      </c>
      <c r="H147" s="212"/>
      <c r="I147" s="212"/>
      <c r="J147" s="200">
        <f t="shared" si="20"/>
        <v>0</v>
      </c>
      <c r="K147" s="181"/>
    </row>
    <row r="148" spans="2:11" s="180" customFormat="1" ht="25.5" x14ac:dyDescent="0.25">
      <c r="B148" s="318" t="s">
        <v>724</v>
      </c>
      <c r="C148" s="276" t="s">
        <v>24</v>
      </c>
      <c r="D148" s="285">
        <v>261605</v>
      </c>
      <c r="E148" s="296" t="s">
        <v>206</v>
      </c>
      <c r="F148" s="297">
        <f>'Memória de cálculo'!H1067</f>
        <v>3</v>
      </c>
      <c r="G148" s="295" t="s">
        <v>175</v>
      </c>
      <c r="H148" s="212"/>
      <c r="I148" s="212"/>
      <c r="J148" s="200">
        <f t="shared" si="20"/>
        <v>0</v>
      </c>
      <c r="K148" s="181"/>
    </row>
    <row r="149" spans="2:11" s="180" customFormat="1" ht="15.95" customHeight="1" x14ac:dyDescent="0.25">
      <c r="B149" s="318" t="s">
        <v>725</v>
      </c>
      <c r="C149" s="279" t="s">
        <v>45</v>
      </c>
      <c r="D149" s="279" t="s">
        <v>207</v>
      </c>
      <c r="E149" s="280" t="s">
        <v>208</v>
      </c>
      <c r="F149" s="321">
        <f>'Memória de cálculo'!H1072</f>
        <v>176.995</v>
      </c>
      <c r="G149" s="279" t="s">
        <v>195</v>
      </c>
      <c r="H149" s="342"/>
      <c r="I149" s="343"/>
      <c r="J149" s="200">
        <f t="shared" si="20"/>
        <v>0</v>
      </c>
      <c r="K149" s="181"/>
    </row>
    <row r="150" spans="2:11" s="180" customFormat="1" ht="16.5" thickBot="1" x14ac:dyDescent="0.3">
      <c r="B150" s="347" t="s">
        <v>70</v>
      </c>
      <c r="C150" s="348"/>
      <c r="D150" s="348"/>
      <c r="E150" s="348"/>
      <c r="F150" s="348"/>
      <c r="G150" s="348"/>
      <c r="H150" s="348"/>
      <c r="I150" s="349"/>
      <c r="J150" s="201">
        <f>SUM(J143:J149)</f>
        <v>0</v>
      </c>
      <c r="K150" s="202">
        <f>J150+J150*$I$158</f>
        <v>0</v>
      </c>
    </row>
    <row r="151" spans="2:11" s="180" customFormat="1" ht="15.95" customHeight="1" thickBot="1" x14ac:dyDescent="0.3">
      <c r="B151" s="356" t="s">
        <v>25</v>
      </c>
      <c r="C151" s="357"/>
      <c r="D151" s="357"/>
      <c r="E151" s="357"/>
      <c r="F151" s="357"/>
      <c r="G151" s="357"/>
      <c r="H151" s="357"/>
      <c r="I151" s="357"/>
      <c r="J151" s="358"/>
      <c r="K151" s="181"/>
    </row>
    <row r="152" spans="2:11" s="180" customFormat="1" ht="16.5" x14ac:dyDescent="0.25">
      <c r="B152" s="232" t="s">
        <v>726</v>
      </c>
      <c r="C152" s="190" t="s">
        <v>24</v>
      </c>
      <c r="D152" s="190">
        <v>270000</v>
      </c>
      <c r="E152" s="191" t="s">
        <v>256</v>
      </c>
      <c r="F152" s="336"/>
      <c r="G152" s="337"/>
      <c r="H152" s="337"/>
      <c r="I152" s="337"/>
      <c r="J152" s="338"/>
      <c r="K152" s="181"/>
    </row>
    <row r="153" spans="2:11" s="180" customFormat="1" ht="16.5" x14ac:dyDescent="0.25">
      <c r="B153" s="300" t="s">
        <v>727</v>
      </c>
      <c r="C153" s="279" t="s">
        <v>24</v>
      </c>
      <c r="D153" s="279">
        <v>270501</v>
      </c>
      <c r="E153" s="280" t="s">
        <v>42</v>
      </c>
      <c r="F153" s="281">
        <f>'Memória de cálculo'!E1075</f>
        <v>1271.69</v>
      </c>
      <c r="G153" s="279" t="s">
        <v>40</v>
      </c>
      <c r="H153" s="199"/>
      <c r="I153" s="199"/>
      <c r="J153" s="233">
        <f>(H153+I153)*F153</f>
        <v>0</v>
      </c>
      <c r="K153" s="181"/>
    </row>
    <row r="154" spans="2:11" s="180" customFormat="1" ht="16.5" x14ac:dyDescent="0.25">
      <c r="B154" s="300" t="s">
        <v>728</v>
      </c>
      <c r="C154" s="279" t="s">
        <v>24</v>
      </c>
      <c r="D154" s="279">
        <v>270810</v>
      </c>
      <c r="E154" s="280" t="s">
        <v>567</v>
      </c>
      <c r="F154" s="281">
        <f>'Memória de cálculo'!E1076</f>
        <v>1</v>
      </c>
      <c r="G154" s="279" t="s">
        <v>175</v>
      </c>
      <c r="H154" s="199"/>
      <c r="I154" s="199"/>
      <c r="J154" s="233">
        <f>(H154+I154)*F154</f>
        <v>0</v>
      </c>
      <c r="K154" s="181"/>
    </row>
    <row r="155" spans="2:11" s="180" customFormat="1" ht="15.95" customHeight="1" thickBot="1" x14ac:dyDescent="0.3">
      <c r="B155" s="330" t="s">
        <v>70</v>
      </c>
      <c r="C155" s="331"/>
      <c r="D155" s="331"/>
      <c r="E155" s="331"/>
      <c r="F155" s="331"/>
      <c r="G155" s="331"/>
      <c r="H155" s="331"/>
      <c r="I155" s="332"/>
      <c r="J155" s="201">
        <f>SUM(J153:J154)</f>
        <v>0</v>
      </c>
      <c r="K155" s="202">
        <f>J155+J155*$I$158</f>
        <v>0</v>
      </c>
    </row>
    <row r="156" spans="2:11" s="180" customFormat="1" ht="17.25" thickBot="1" x14ac:dyDescent="0.3">
      <c r="B156" s="353" t="s">
        <v>257</v>
      </c>
      <c r="C156" s="354"/>
      <c r="D156" s="354"/>
      <c r="E156" s="354"/>
      <c r="F156" s="354"/>
      <c r="G156" s="354"/>
      <c r="H156" s="354"/>
      <c r="I156" s="354"/>
      <c r="J156" s="355"/>
      <c r="K156" s="181"/>
    </row>
    <row r="157" spans="2:11" s="180" customFormat="1" ht="16.5" x14ac:dyDescent="0.25">
      <c r="B157" s="350" t="s">
        <v>9</v>
      </c>
      <c r="C157" s="351"/>
      <c r="D157" s="351"/>
      <c r="E157" s="351"/>
      <c r="F157" s="351"/>
      <c r="G157" s="351"/>
      <c r="H157" s="351"/>
      <c r="I157" s="352"/>
      <c r="J157" s="234">
        <f>J155+J150+J135+J126+J122+J112+J107+J86+J66+J27+J23+J99+J34+J116+J56+J90+J44+J95+J140</f>
        <v>0</v>
      </c>
      <c r="K157" s="181"/>
    </row>
    <row r="158" spans="2:11" s="180" customFormat="1" ht="16.5" x14ac:dyDescent="0.25">
      <c r="B158" s="362" t="s">
        <v>71</v>
      </c>
      <c r="C158" s="363"/>
      <c r="D158" s="363"/>
      <c r="E158" s="363"/>
      <c r="F158" s="363"/>
      <c r="G158" s="363"/>
      <c r="H158" s="363"/>
      <c r="I158" s="235">
        <v>0.27300000000000002</v>
      </c>
      <c r="J158" s="236">
        <f>J157*I158</f>
        <v>0</v>
      </c>
      <c r="K158" s="181"/>
    </row>
    <row r="159" spans="2:11" s="180" customFormat="1" ht="12.95" customHeight="1" thickBot="1" x14ac:dyDescent="0.3">
      <c r="B159" s="367" t="s">
        <v>20</v>
      </c>
      <c r="C159" s="368"/>
      <c r="D159" s="368"/>
      <c r="E159" s="368"/>
      <c r="F159" s="368"/>
      <c r="G159" s="368"/>
      <c r="H159" s="368"/>
      <c r="I159" s="369"/>
      <c r="J159" s="237">
        <f>J158+J157</f>
        <v>0</v>
      </c>
      <c r="K159" s="238">
        <f>K155+K150+K135+K126+K122+K116+K112+K107+K99+K90+K86+K66+K56+K44+K34+K27+K23+K95+K140</f>
        <v>0</v>
      </c>
    </row>
    <row r="160" spans="2:11" s="180" customFormat="1" ht="12.95" customHeight="1" x14ac:dyDescent="0.25">
      <c r="B160" s="239"/>
      <c r="C160" s="240"/>
      <c r="D160" s="240"/>
      <c r="E160" s="241"/>
      <c r="F160" s="242"/>
      <c r="G160" s="240"/>
      <c r="H160" s="243"/>
      <c r="I160" s="243"/>
      <c r="J160" s="244"/>
    </row>
    <row r="161" spans="2:10" s="180" customFormat="1" x14ac:dyDescent="0.25">
      <c r="B161" s="239"/>
      <c r="C161" s="240"/>
      <c r="D161" s="240"/>
      <c r="E161" s="241"/>
      <c r="F161" s="242"/>
      <c r="G161" s="240"/>
      <c r="H161" s="243"/>
      <c r="I161" s="243"/>
      <c r="J161" s="244"/>
    </row>
    <row r="162" spans="2:10" s="180" customFormat="1" x14ac:dyDescent="0.25">
      <c r="B162" s="239"/>
      <c r="C162" s="240"/>
      <c r="D162" s="240"/>
      <c r="E162" s="241"/>
      <c r="F162" s="364"/>
      <c r="G162" s="364"/>
      <c r="H162" s="364"/>
      <c r="I162" s="364"/>
      <c r="J162" s="365"/>
    </row>
    <row r="163" spans="2:10" s="180" customFormat="1" ht="15.95" customHeight="1" x14ac:dyDescent="0.25">
      <c r="B163" s="239"/>
      <c r="C163" s="240"/>
      <c r="D163" s="245"/>
      <c r="E163" s="246"/>
      <c r="F163" s="364"/>
      <c r="G163" s="364"/>
      <c r="H163" s="364"/>
      <c r="I163" s="364"/>
      <c r="J163" s="365"/>
    </row>
    <row r="164" spans="2:10" s="180" customFormat="1" ht="15.95" customHeight="1" x14ac:dyDescent="0.25">
      <c r="B164" s="239"/>
      <c r="C164" s="240"/>
      <c r="D164" s="366" t="s">
        <v>37</v>
      </c>
      <c r="E164" s="366"/>
      <c r="F164" s="366" t="s">
        <v>37</v>
      </c>
      <c r="G164" s="366"/>
      <c r="H164" s="366"/>
      <c r="I164" s="366"/>
      <c r="J164" s="370"/>
    </row>
    <row r="165" spans="2:10" s="180" customFormat="1" x14ac:dyDescent="0.25">
      <c r="B165" s="239"/>
      <c r="C165" s="240"/>
      <c r="D165" s="371" t="s">
        <v>38</v>
      </c>
      <c r="E165" s="371"/>
      <c r="F165" s="372" t="s">
        <v>415</v>
      </c>
      <c r="G165" s="372"/>
      <c r="H165" s="372"/>
      <c r="I165" s="372"/>
      <c r="J165" s="373"/>
    </row>
    <row r="166" spans="2:10" s="180" customFormat="1" ht="15.75" thickBot="1" x14ac:dyDescent="0.3">
      <c r="B166" s="247"/>
      <c r="C166" s="248"/>
      <c r="D166" s="359" t="s">
        <v>39</v>
      </c>
      <c r="E166" s="359"/>
      <c r="F166" s="360" t="s">
        <v>416</v>
      </c>
      <c r="G166" s="360"/>
      <c r="H166" s="360"/>
      <c r="I166" s="360"/>
      <c r="J166" s="361"/>
    </row>
    <row r="167" spans="2:10" s="180" customFormat="1" x14ac:dyDescent="0.25">
      <c r="B167" s="176"/>
      <c r="C167" s="176"/>
      <c r="D167" s="240"/>
      <c r="E167" s="241"/>
      <c r="F167" s="242"/>
      <c r="G167" s="240"/>
      <c r="H167" s="243"/>
      <c r="I167" s="243"/>
      <c r="J167" s="243"/>
    </row>
    <row r="168" spans="2:10" s="180" customFormat="1" x14ac:dyDescent="0.25">
      <c r="B168" s="240"/>
      <c r="C168" s="240"/>
      <c r="D168" s="240"/>
      <c r="E168" s="241"/>
      <c r="F168" s="242"/>
      <c r="G168" s="240"/>
      <c r="H168" s="243"/>
      <c r="I168" s="243"/>
      <c r="J168" s="243"/>
    </row>
    <row r="169" spans="2:10" s="180" customFormat="1" x14ac:dyDescent="0.25">
      <c r="B169" s="240"/>
      <c r="C169" s="240"/>
      <c r="D169" s="240"/>
      <c r="E169" s="241"/>
      <c r="F169" s="242"/>
      <c r="G169" s="240"/>
      <c r="H169" s="243"/>
      <c r="I169" s="243"/>
      <c r="J169" s="243"/>
    </row>
    <row r="170" spans="2:10" s="180" customFormat="1" x14ac:dyDescent="0.25">
      <c r="B170" s="240"/>
      <c r="C170" s="240"/>
      <c r="D170" s="240"/>
      <c r="E170" s="241"/>
      <c r="F170" s="242"/>
      <c r="G170" s="240"/>
      <c r="H170" s="243"/>
      <c r="I170" s="243"/>
      <c r="J170" s="243"/>
    </row>
    <row r="171" spans="2:10" s="180" customFormat="1" x14ac:dyDescent="0.25">
      <c r="B171" s="240"/>
      <c r="C171" s="240"/>
      <c r="D171" s="240"/>
      <c r="E171" s="241"/>
      <c r="F171" s="242"/>
      <c r="G171" s="240"/>
      <c r="H171" s="243"/>
      <c r="I171" s="243"/>
      <c r="J171" s="243"/>
    </row>
    <row r="172" spans="2:10" s="180" customFormat="1" x14ac:dyDescent="0.25">
      <c r="B172" s="240"/>
      <c r="C172" s="240"/>
      <c r="D172" s="240"/>
      <c r="E172" s="241"/>
      <c r="F172" s="242"/>
      <c r="G172" s="240"/>
      <c r="H172" s="243"/>
      <c r="I172" s="243"/>
      <c r="J172" s="243"/>
    </row>
    <row r="173" spans="2:10" s="180" customFormat="1" ht="15.75" customHeight="1" x14ac:dyDescent="0.25">
      <c r="B173" s="240"/>
      <c r="C173" s="240"/>
      <c r="D173" s="240"/>
      <c r="E173" s="241"/>
      <c r="F173" s="242"/>
      <c r="G173" s="240"/>
      <c r="H173" s="243"/>
      <c r="I173" s="243"/>
      <c r="J173" s="243"/>
    </row>
    <row r="174" spans="2:10" s="180" customFormat="1" ht="15.75" customHeight="1" x14ac:dyDescent="0.25">
      <c r="B174" s="240"/>
      <c r="C174" s="240"/>
      <c r="D174" s="240"/>
      <c r="E174" s="241"/>
      <c r="F174" s="242"/>
      <c r="G174" s="240"/>
      <c r="H174" s="243"/>
      <c r="I174" s="243"/>
      <c r="J174" s="243"/>
    </row>
    <row r="175" spans="2:10" s="180" customFormat="1" ht="16.5" x14ac:dyDescent="0.25">
      <c r="B175" s="249"/>
      <c r="C175" s="240"/>
      <c r="D175" s="240"/>
      <c r="E175" s="241"/>
      <c r="F175" s="242"/>
      <c r="G175" s="240"/>
      <c r="H175" s="243"/>
      <c r="I175" s="243"/>
      <c r="J175" s="243"/>
    </row>
    <row r="176" spans="2:10" s="180" customFormat="1" ht="12.95" customHeight="1" x14ac:dyDescent="0.25">
      <c r="B176" s="240"/>
      <c r="C176" s="240"/>
      <c r="D176" s="240"/>
      <c r="E176" s="241"/>
      <c r="F176" s="242"/>
      <c r="G176" s="240"/>
      <c r="H176" s="243"/>
      <c r="I176" s="243"/>
      <c r="J176" s="243"/>
    </row>
    <row r="177" spans="2:10" s="180" customFormat="1" ht="12.95" customHeight="1" x14ac:dyDescent="0.25">
      <c r="B177" s="240"/>
      <c r="C177" s="240"/>
      <c r="D177" s="240"/>
      <c r="E177" s="241"/>
      <c r="F177" s="242"/>
      <c r="G177" s="240"/>
      <c r="H177" s="243"/>
      <c r="I177" s="243"/>
      <c r="J177" s="243"/>
    </row>
    <row r="178" spans="2:10" s="180" customFormat="1" ht="12.95" customHeight="1" x14ac:dyDescent="0.25">
      <c r="B178" s="240"/>
      <c r="C178" s="240"/>
      <c r="D178" s="240"/>
      <c r="E178" s="241"/>
      <c r="F178" s="242"/>
      <c r="G178" s="240"/>
      <c r="H178" s="243"/>
      <c r="I178" s="243"/>
      <c r="J178" s="243"/>
    </row>
    <row r="179" spans="2:10" s="180" customFormat="1" ht="12.95" customHeight="1" x14ac:dyDescent="0.25">
      <c r="B179" s="240"/>
      <c r="C179" s="240"/>
      <c r="D179" s="240"/>
      <c r="E179" s="241"/>
      <c r="F179" s="242"/>
      <c r="G179" s="240"/>
      <c r="H179" s="243"/>
      <c r="I179" s="243"/>
      <c r="J179" s="243"/>
    </row>
    <row r="180" spans="2:10" s="180" customFormat="1" ht="12.95" customHeight="1" x14ac:dyDescent="0.25">
      <c r="B180" s="240"/>
      <c r="C180" s="240"/>
      <c r="D180" s="240"/>
      <c r="E180" s="241"/>
      <c r="F180" s="242"/>
      <c r="G180" s="240"/>
      <c r="H180" s="243"/>
      <c r="I180" s="243"/>
      <c r="J180" s="243"/>
    </row>
    <row r="181" spans="2:10" s="180" customFormat="1" x14ac:dyDescent="0.25">
      <c r="B181" s="240"/>
      <c r="C181" s="240"/>
      <c r="D181" s="240"/>
      <c r="E181" s="241"/>
      <c r="F181" s="242"/>
      <c r="G181" s="240"/>
      <c r="H181" s="243"/>
      <c r="I181" s="243"/>
      <c r="J181" s="243"/>
    </row>
    <row r="182" spans="2:10" s="180" customFormat="1" x14ac:dyDescent="0.25">
      <c r="B182" s="240"/>
      <c r="C182" s="240"/>
      <c r="D182" s="240"/>
      <c r="E182" s="241"/>
      <c r="F182" s="242"/>
      <c r="G182" s="240"/>
      <c r="H182" s="243"/>
      <c r="I182" s="243"/>
      <c r="J182" s="243"/>
    </row>
    <row r="183" spans="2:10" s="180" customFormat="1" x14ac:dyDescent="0.25">
      <c r="B183" s="240"/>
      <c r="C183" s="240"/>
      <c r="D183" s="240"/>
      <c r="E183" s="241"/>
      <c r="F183" s="242"/>
      <c r="G183" s="240"/>
      <c r="H183" s="243"/>
      <c r="I183" s="243"/>
      <c r="J183" s="243"/>
    </row>
    <row r="184" spans="2:10" s="180" customFormat="1" ht="15.75" customHeight="1" x14ac:dyDescent="0.25">
      <c r="B184" s="240"/>
      <c r="C184" s="240"/>
      <c r="D184" s="240"/>
      <c r="E184" s="241"/>
      <c r="F184" s="242"/>
      <c r="G184" s="240"/>
      <c r="H184" s="243"/>
      <c r="I184" s="243"/>
      <c r="J184" s="243"/>
    </row>
    <row r="185" spans="2:10" s="180" customFormat="1" ht="6.95" customHeight="1" x14ac:dyDescent="0.25">
      <c r="B185" s="240"/>
      <c r="C185" s="240"/>
      <c r="D185" s="240"/>
      <c r="E185" s="241"/>
      <c r="F185" s="242"/>
      <c r="G185" s="240"/>
      <c r="H185" s="243"/>
      <c r="I185" s="243"/>
      <c r="J185" s="243"/>
    </row>
    <row r="186" spans="2:10" s="180" customFormat="1" ht="24.95" customHeight="1" x14ac:dyDescent="0.25">
      <c r="B186" s="240"/>
      <c r="C186" s="240"/>
      <c r="D186" s="240"/>
      <c r="E186" s="241"/>
      <c r="F186" s="242"/>
      <c r="G186" s="240"/>
      <c r="H186" s="243"/>
      <c r="I186" s="243"/>
      <c r="J186" s="243"/>
    </row>
    <row r="187" spans="2:10" s="180" customFormat="1" ht="15" customHeight="1" x14ac:dyDescent="0.25">
      <c r="B187" s="240"/>
      <c r="C187" s="240"/>
      <c r="D187" s="240"/>
      <c r="E187" s="241"/>
      <c r="F187" s="242"/>
      <c r="G187" s="240"/>
      <c r="H187" s="243"/>
      <c r="I187" s="243"/>
      <c r="J187" s="243"/>
    </row>
    <row r="188" spans="2:10" s="180" customFormat="1" ht="24.95" customHeight="1" x14ac:dyDescent="0.25">
      <c r="B188" s="240"/>
      <c r="C188" s="240"/>
      <c r="D188" s="240"/>
      <c r="E188" s="241"/>
      <c r="F188" s="242"/>
      <c r="G188" s="240"/>
      <c r="H188" s="243"/>
      <c r="I188" s="243"/>
      <c r="J188" s="243"/>
    </row>
    <row r="189" spans="2:10" s="180" customFormat="1" x14ac:dyDescent="0.25">
      <c r="B189" s="240"/>
      <c r="C189" s="240"/>
      <c r="D189" s="240"/>
      <c r="E189" s="241"/>
      <c r="F189" s="242"/>
      <c r="G189" s="240"/>
      <c r="H189" s="243"/>
      <c r="I189" s="243"/>
      <c r="J189" s="243"/>
    </row>
    <row r="190" spans="2:10" s="180" customFormat="1" x14ac:dyDescent="0.25">
      <c r="B190" s="240"/>
      <c r="C190" s="240"/>
      <c r="D190" s="240"/>
      <c r="E190" s="241"/>
      <c r="F190" s="242"/>
      <c r="G190" s="240"/>
      <c r="H190" s="243"/>
      <c r="I190" s="243"/>
      <c r="J190" s="243"/>
    </row>
    <row r="191" spans="2:10" s="180" customFormat="1" x14ac:dyDescent="0.25">
      <c r="B191" s="240"/>
      <c r="C191" s="240"/>
      <c r="D191" s="240"/>
      <c r="E191" s="241"/>
      <c r="F191" s="242"/>
      <c r="G191" s="240"/>
      <c r="H191" s="243"/>
      <c r="I191" s="243"/>
      <c r="J191" s="243"/>
    </row>
    <row r="192" spans="2:10" s="180" customFormat="1" x14ac:dyDescent="0.25">
      <c r="B192" s="240"/>
      <c r="C192" s="240"/>
      <c r="D192" s="240"/>
      <c r="E192" s="241"/>
      <c r="F192" s="242"/>
      <c r="G192" s="240"/>
      <c r="H192" s="243"/>
      <c r="I192" s="243"/>
      <c r="J192" s="243"/>
    </row>
    <row r="193" spans="2:10" s="180" customFormat="1" x14ac:dyDescent="0.25">
      <c r="B193" s="240"/>
      <c r="C193" s="240"/>
      <c r="D193" s="240"/>
      <c r="E193" s="241"/>
      <c r="F193" s="242"/>
      <c r="G193" s="240"/>
      <c r="H193" s="243"/>
      <c r="I193" s="243"/>
      <c r="J193" s="243"/>
    </row>
    <row r="194" spans="2:10" s="180" customFormat="1" x14ac:dyDescent="0.25">
      <c r="B194" s="240"/>
      <c r="C194" s="240"/>
      <c r="D194" s="240"/>
      <c r="E194" s="241"/>
      <c r="F194" s="242"/>
      <c r="G194" s="240"/>
      <c r="H194" s="243"/>
      <c r="I194" s="243"/>
      <c r="J194" s="243"/>
    </row>
    <row r="195" spans="2:10" s="180" customFormat="1" x14ac:dyDescent="0.25">
      <c r="B195" s="240"/>
      <c r="C195" s="240"/>
      <c r="D195" s="240"/>
      <c r="E195" s="241"/>
      <c r="F195" s="242"/>
      <c r="G195" s="240"/>
      <c r="H195" s="243"/>
      <c r="I195" s="243"/>
      <c r="J195" s="243"/>
    </row>
    <row r="196" spans="2:10" s="180" customFormat="1" x14ac:dyDescent="0.25">
      <c r="B196" s="240"/>
      <c r="C196" s="240"/>
      <c r="D196" s="240"/>
      <c r="E196" s="241"/>
      <c r="F196" s="242"/>
      <c r="G196" s="240"/>
      <c r="H196" s="243"/>
      <c r="I196" s="243"/>
      <c r="J196" s="243"/>
    </row>
    <row r="238" spans="2:3" x14ac:dyDescent="0.25">
      <c r="B238" s="250"/>
      <c r="C238" s="250"/>
    </row>
    <row r="261" spans="2:3" x14ac:dyDescent="0.25">
      <c r="B261" s="250" t="s">
        <v>699</v>
      </c>
      <c r="C261" s="250"/>
    </row>
    <row r="295" spans="2:2" x14ac:dyDescent="0.25">
      <c r="B295" s="240" t="s">
        <v>700</v>
      </c>
    </row>
    <row r="304" spans="2:2" x14ac:dyDescent="0.25">
      <c r="B304" s="240" t="s">
        <v>701</v>
      </c>
    </row>
    <row r="314" spans="2:2" x14ac:dyDescent="0.25">
      <c r="B314" s="240" t="s">
        <v>702</v>
      </c>
    </row>
    <row r="319" spans="2:2" x14ac:dyDescent="0.25">
      <c r="B319" s="240" t="s">
        <v>703</v>
      </c>
    </row>
    <row r="336" spans="2:3" ht="16.5" x14ac:dyDescent="0.25">
      <c r="B336" s="240" t="s">
        <v>704</v>
      </c>
      <c r="C336" s="252"/>
    </row>
    <row r="354" spans="2:2" x14ac:dyDescent="0.25">
      <c r="B354" s="240" t="s">
        <v>705</v>
      </c>
    </row>
    <row r="359" spans="2:2" x14ac:dyDescent="0.25">
      <c r="B359" s="240" t="s">
        <v>706</v>
      </c>
    </row>
    <row r="426" spans="2:3" ht="16.5" x14ac:dyDescent="0.25">
      <c r="B426" s="240" t="s">
        <v>707</v>
      </c>
      <c r="C426" s="252"/>
    </row>
    <row r="432" spans="2:3" ht="16.5" x14ac:dyDescent="0.25">
      <c r="B432" s="240" t="s">
        <v>708</v>
      </c>
      <c r="C432" s="252"/>
    </row>
    <row r="509" spans="2:3" x14ac:dyDescent="0.25">
      <c r="B509" s="240" t="s">
        <v>709</v>
      </c>
      <c r="C509" s="253"/>
    </row>
    <row r="1068" spans="2:8" ht="15.75" thickBot="1" x14ac:dyDescent="0.3"/>
    <row r="1069" spans="2:8" ht="15.75" thickBot="1" x14ac:dyDescent="0.3">
      <c r="B1069" s="254"/>
      <c r="C1069" s="255"/>
      <c r="D1069" s="255"/>
      <c r="E1069" s="256"/>
      <c r="F1069" s="257"/>
      <c r="G1069" s="255"/>
      <c r="H1069" s="258"/>
    </row>
    <row r="1070" spans="2:8" x14ac:dyDescent="0.25">
      <c r="B1070" s="259" t="s">
        <v>710</v>
      </c>
      <c r="C1070" s="260"/>
      <c r="D1070" s="260"/>
      <c r="E1070" s="261"/>
      <c r="F1070" s="262"/>
      <c r="G1070" s="260"/>
      <c r="H1070" s="263"/>
    </row>
    <row r="1071" spans="2:8" x14ac:dyDescent="0.25">
      <c r="B1071" s="264"/>
      <c r="C1071" s="264"/>
      <c r="D1071" s="264"/>
      <c r="E1071" s="265"/>
      <c r="F1071" s="266"/>
      <c r="G1071" s="264"/>
      <c r="H1071" s="267"/>
    </row>
  </sheetData>
  <sheetProtection algorithmName="SHA-512" hashValue="BOwICRXoZpr0x7Bmoh6sZmCFhMxr/a3SDqzj2OMCENNwWlsvofa7f9fO39oXNHbQBh9Ge4BXQ1slXh6tuw8U2Q==" saltValue="48LdG2UjS8BrhtgWBcnebg==" spinCount="100000" sheet="1" objects="1" scenarios="1"/>
  <mergeCells count="81">
    <mergeCell ref="B27:I27"/>
    <mergeCell ref="C10:D10"/>
    <mergeCell ref="F25:J25"/>
    <mergeCell ref="B7:J7"/>
    <mergeCell ref="B8:J8"/>
    <mergeCell ref="B9:J9"/>
    <mergeCell ref="B11:J11"/>
    <mergeCell ref="B24:J24"/>
    <mergeCell ref="B23:I23"/>
    <mergeCell ref="F12:J12"/>
    <mergeCell ref="B2:J2"/>
    <mergeCell ref="B3:J3"/>
    <mergeCell ref="B4:J4"/>
    <mergeCell ref="B5:J5"/>
    <mergeCell ref="B6:J6"/>
    <mergeCell ref="B117:J117"/>
    <mergeCell ref="F68:J68"/>
    <mergeCell ref="F69:J69"/>
    <mergeCell ref="B28:J28"/>
    <mergeCell ref="B34:I34"/>
    <mergeCell ref="B35:J35"/>
    <mergeCell ref="B44:I44"/>
    <mergeCell ref="B45:J45"/>
    <mergeCell ref="B56:I56"/>
    <mergeCell ref="B66:I66"/>
    <mergeCell ref="B87:J87"/>
    <mergeCell ref="F97:J97"/>
    <mergeCell ref="B99:I99"/>
    <mergeCell ref="B113:J113"/>
    <mergeCell ref="F114:J114"/>
    <mergeCell ref="B116:I116"/>
    <mergeCell ref="D166:E166"/>
    <mergeCell ref="F166:J166"/>
    <mergeCell ref="B158:H158"/>
    <mergeCell ref="F162:J163"/>
    <mergeCell ref="D164:E164"/>
    <mergeCell ref="B159:I159"/>
    <mergeCell ref="F164:J164"/>
    <mergeCell ref="D165:E165"/>
    <mergeCell ref="F165:J165"/>
    <mergeCell ref="B150:I150"/>
    <mergeCell ref="B157:I157"/>
    <mergeCell ref="B156:J156"/>
    <mergeCell ref="B155:I155"/>
    <mergeCell ref="F152:J152"/>
    <mergeCell ref="B151:J151"/>
    <mergeCell ref="H149:I149"/>
    <mergeCell ref="F118:J118"/>
    <mergeCell ref="F124:J124"/>
    <mergeCell ref="F128:J128"/>
    <mergeCell ref="B122:I122"/>
    <mergeCell ref="B126:I126"/>
    <mergeCell ref="F142:J142"/>
    <mergeCell ref="B135:I135"/>
    <mergeCell ref="B123:J123"/>
    <mergeCell ref="B127:J127"/>
    <mergeCell ref="B141:J141"/>
    <mergeCell ref="B136:J136"/>
    <mergeCell ref="F137:J137"/>
    <mergeCell ref="B140:I140"/>
    <mergeCell ref="B112:I112"/>
    <mergeCell ref="B57:J57"/>
    <mergeCell ref="B67:J67"/>
    <mergeCell ref="B100:J100"/>
    <mergeCell ref="F88:J88"/>
    <mergeCell ref="B90:I90"/>
    <mergeCell ref="B91:J91"/>
    <mergeCell ref="F92:J92"/>
    <mergeCell ref="B95:I95"/>
    <mergeCell ref="F101:J101"/>
    <mergeCell ref="F109:J109"/>
    <mergeCell ref="B107:I107"/>
    <mergeCell ref="B108:J108"/>
    <mergeCell ref="F70:J70"/>
    <mergeCell ref="F73:J73"/>
    <mergeCell ref="B96:J96"/>
    <mergeCell ref="F75:J75"/>
    <mergeCell ref="F76:J76"/>
    <mergeCell ref="F81:J81"/>
    <mergeCell ref="F83:J83"/>
    <mergeCell ref="B86:I86"/>
  </mergeCells>
  <phoneticPr fontId="7" type="noConversion"/>
  <pageMargins left="0.25" right="0.25" top="0.55314960629921262" bottom="0.75000000000000011" header="0.30000000000000004" footer="0.30000000000000004"/>
  <pageSetup paperSize="9" scale="63" fitToHeight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7"/>
  <sheetViews>
    <sheetView showGridLines="0" view="pageBreakPreview" zoomScale="93" zoomScaleSheetLayoutView="93" workbookViewId="0">
      <selection activeCell="D13" sqref="D13"/>
    </sheetView>
  </sheetViews>
  <sheetFormatPr defaultColWidth="8.85546875" defaultRowHeight="16.5" x14ac:dyDescent="0.25"/>
  <cols>
    <col min="1" max="1" width="8.85546875" style="3"/>
    <col min="2" max="2" width="6.140625" style="41" customWidth="1"/>
    <col min="3" max="3" width="67.85546875" style="121" customWidth="1"/>
    <col min="4" max="4" width="9.28515625" style="122" bestFit="1" customWidth="1"/>
    <col min="5" max="5" width="16.5703125" style="123" bestFit="1" customWidth="1"/>
    <col min="6" max="6" width="16.28515625" style="122" bestFit="1" customWidth="1"/>
    <col min="7" max="7" width="17.42578125" style="122" customWidth="1"/>
    <col min="8" max="8" width="14.7109375" style="122" bestFit="1" customWidth="1"/>
    <col min="9" max="16384" width="8.85546875" style="3"/>
  </cols>
  <sheetData>
    <row r="1" spans="2:12" ht="17.25" thickBot="1" x14ac:dyDescent="0.3"/>
    <row r="2" spans="2:12" x14ac:dyDescent="0.25">
      <c r="B2" s="448" t="s">
        <v>0</v>
      </c>
      <c r="C2" s="449"/>
      <c r="D2" s="449"/>
      <c r="E2" s="449"/>
      <c r="F2" s="449"/>
      <c r="G2" s="449"/>
      <c r="H2" s="450"/>
    </row>
    <row r="3" spans="2:12" x14ac:dyDescent="0.25">
      <c r="B3" s="451" t="s">
        <v>1</v>
      </c>
      <c r="C3" s="452"/>
      <c r="D3" s="452"/>
      <c r="E3" s="452"/>
      <c r="F3" s="452"/>
      <c r="G3" s="452"/>
      <c r="H3" s="453"/>
    </row>
    <row r="4" spans="2:12" x14ac:dyDescent="0.25">
      <c r="B4" s="451" t="s">
        <v>2</v>
      </c>
      <c r="C4" s="452"/>
      <c r="D4" s="452"/>
      <c r="E4" s="452"/>
      <c r="F4" s="452"/>
      <c r="G4" s="452"/>
      <c r="H4" s="453"/>
      <c r="I4" s="1"/>
      <c r="J4" s="1"/>
      <c r="K4" s="1"/>
    </row>
    <row r="5" spans="2:12" x14ac:dyDescent="0.25">
      <c r="B5" s="451" t="str">
        <f>Orçamento!B5</f>
        <v>REFORMA DA ESCOLA MARIA CONCEIÇÃO</v>
      </c>
      <c r="C5" s="452"/>
      <c r="D5" s="452"/>
      <c r="E5" s="452"/>
      <c r="F5" s="452"/>
      <c r="G5" s="452"/>
      <c r="H5" s="453"/>
      <c r="I5" s="1"/>
      <c r="J5" s="1"/>
      <c r="K5" s="1"/>
    </row>
    <row r="6" spans="2:12" x14ac:dyDescent="0.25">
      <c r="B6" s="451" t="str">
        <f>Orçamento!B4</f>
        <v>ORÇAMENTO BÁSICO ESTIMADO</v>
      </c>
      <c r="C6" s="452"/>
      <c r="D6" s="452"/>
      <c r="E6" s="452"/>
      <c r="F6" s="452"/>
      <c r="G6" s="452"/>
      <c r="H6" s="453"/>
      <c r="I6" s="1"/>
      <c r="J6" s="1"/>
      <c r="K6" s="1"/>
    </row>
    <row r="7" spans="2:12" x14ac:dyDescent="0.25">
      <c r="B7" s="454" t="str">
        <f>Orçamento!B9</f>
        <v>Catalão, 28 de fevereiro de 2018</v>
      </c>
      <c r="C7" s="455"/>
      <c r="D7" s="455"/>
      <c r="E7" s="455"/>
      <c r="F7" s="455"/>
      <c r="G7" s="455"/>
      <c r="H7" s="456"/>
      <c r="I7" s="1"/>
      <c r="J7" s="1"/>
      <c r="K7" s="1"/>
    </row>
    <row r="8" spans="2:12" ht="13.5" customHeight="1" x14ac:dyDescent="0.25">
      <c r="B8" s="457" t="str">
        <f>Cronograma!B8</f>
        <v>Tabela 128 - Custo Obras Civis - Novembro/2017 - Desonerada</v>
      </c>
      <c r="C8" s="458"/>
      <c r="D8" s="458"/>
      <c r="E8" s="458"/>
      <c r="F8" s="458"/>
      <c r="G8" s="458"/>
      <c r="H8" s="459"/>
      <c r="I8" s="1"/>
      <c r="J8" s="1"/>
      <c r="K8" s="1"/>
    </row>
    <row r="9" spans="2:12" ht="11.25" customHeight="1" thickBot="1" x14ac:dyDescent="0.3">
      <c r="B9" s="460" t="s">
        <v>65</v>
      </c>
      <c r="C9" s="461"/>
      <c r="D9" s="461"/>
      <c r="E9" s="461"/>
      <c r="F9" s="461"/>
      <c r="G9" s="461"/>
      <c r="H9" s="462"/>
      <c r="I9" s="1"/>
      <c r="J9" s="1"/>
      <c r="K9" s="1"/>
    </row>
    <row r="10" spans="2:12" ht="17.25" thickBot="1" x14ac:dyDescent="0.3">
      <c r="B10" s="154" t="s">
        <v>3</v>
      </c>
      <c r="C10" s="46" t="s">
        <v>4</v>
      </c>
      <c r="D10" s="45" t="s">
        <v>5</v>
      </c>
      <c r="E10" s="463" t="s">
        <v>6</v>
      </c>
      <c r="F10" s="464"/>
      <c r="G10" s="465"/>
      <c r="H10" s="466"/>
      <c r="I10" s="1"/>
      <c r="J10" s="1"/>
      <c r="K10" s="1"/>
    </row>
    <row r="11" spans="2:12" ht="17.25" thickBot="1" x14ac:dyDescent="0.3">
      <c r="B11" s="440" t="s">
        <v>7</v>
      </c>
      <c r="C11" s="441"/>
      <c r="D11" s="441"/>
      <c r="E11" s="441"/>
      <c r="F11" s="441"/>
      <c r="G11" s="441"/>
      <c r="H11" s="442"/>
      <c r="I11" s="1"/>
      <c r="J11" s="1"/>
      <c r="K11" s="1"/>
      <c r="L11" s="1"/>
    </row>
    <row r="12" spans="2:12" x14ac:dyDescent="0.25">
      <c r="B12" s="155" t="s">
        <v>465</v>
      </c>
      <c r="C12" s="137" t="s">
        <v>246</v>
      </c>
      <c r="D12" s="493"/>
      <c r="E12" s="494"/>
      <c r="F12" s="494"/>
      <c r="G12" s="494"/>
      <c r="H12" s="495"/>
      <c r="I12" s="1"/>
      <c r="J12" s="1"/>
      <c r="K12" s="1"/>
      <c r="L12" s="1"/>
    </row>
    <row r="13" spans="2:12" x14ac:dyDescent="0.25">
      <c r="B13" s="47" t="s">
        <v>49</v>
      </c>
      <c r="C13" s="132" t="s">
        <v>299</v>
      </c>
      <c r="D13" s="124" t="s">
        <v>21</v>
      </c>
      <c r="E13" s="478" t="s">
        <v>98</v>
      </c>
      <c r="F13" s="478"/>
      <c r="G13" s="47" t="s">
        <v>210</v>
      </c>
      <c r="H13" s="47" t="s">
        <v>100</v>
      </c>
      <c r="I13" s="1"/>
      <c r="J13" s="1"/>
      <c r="K13" s="1"/>
      <c r="L13" s="1"/>
    </row>
    <row r="14" spans="2:12" x14ac:dyDescent="0.25">
      <c r="B14" s="52" t="s">
        <v>466</v>
      </c>
      <c r="C14" s="48" t="s">
        <v>302</v>
      </c>
      <c r="D14" s="49"/>
      <c r="E14" s="479">
        <v>3.6</v>
      </c>
      <c r="F14" s="479"/>
      <c r="G14" s="50">
        <v>7.5</v>
      </c>
      <c r="H14" s="50">
        <f>G14*E14</f>
        <v>27</v>
      </c>
      <c r="I14" s="1"/>
      <c r="J14" s="1"/>
      <c r="K14" s="1"/>
      <c r="L14" s="1"/>
    </row>
    <row r="15" spans="2:12" x14ac:dyDescent="0.3">
      <c r="B15" s="411" t="s">
        <v>9</v>
      </c>
      <c r="C15" s="411"/>
      <c r="D15" s="411"/>
      <c r="E15" s="411"/>
      <c r="F15" s="411"/>
      <c r="G15" s="411"/>
      <c r="H15" s="51">
        <f>SUM(H14)</f>
        <v>27</v>
      </c>
      <c r="I15" s="1"/>
      <c r="J15" s="1"/>
      <c r="K15" s="1"/>
      <c r="L15" s="1"/>
    </row>
    <row r="16" spans="2:12" ht="33" x14ac:dyDescent="0.25">
      <c r="B16" s="52" t="s">
        <v>50</v>
      </c>
      <c r="C16" s="132" t="s">
        <v>300</v>
      </c>
      <c r="D16" s="124" t="s">
        <v>21</v>
      </c>
      <c r="E16" s="480" t="s">
        <v>98</v>
      </c>
      <c r="F16" s="480"/>
      <c r="G16" s="52" t="s">
        <v>210</v>
      </c>
      <c r="H16" s="52" t="s">
        <v>100</v>
      </c>
      <c r="I16" s="1"/>
      <c r="J16" s="1"/>
      <c r="K16" s="1"/>
      <c r="L16" s="1"/>
    </row>
    <row r="17" spans="2:12" x14ac:dyDescent="0.25">
      <c r="B17" s="52" t="s">
        <v>467</v>
      </c>
      <c r="C17" s="48" t="s">
        <v>302</v>
      </c>
      <c r="D17" s="49"/>
      <c r="E17" s="479">
        <v>3.6</v>
      </c>
      <c r="F17" s="479"/>
      <c r="G17" s="50">
        <v>7.5</v>
      </c>
      <c r="H17" s="50">
        <f>G17*E17</f>
        <v>27</v>
      </c>
      <c r="I17" s="1"/>
      <c r="J17" s="1"/>
      <c r="K17" s="1"/>
      <c r="L17" s="1"/>
    </row>
    <row r="18" spans="2:12" x14ac:dyDescent="0.3">
      <c r="B18" s="411" t="s">
        <v>9</v>
      </c>
      <c r="C18" s="411"/>
      <c r="D18" s="411"/>
      <c r="E18" s="411"/>
      <c r="F18" s="411"/>
      <c r="G18" s="411"/>
      <c r="H18" s="51">
        <f>SUM(H17)</f>
        <v>27</v>
      </c>
      <c r="I18" s="1"/>
      <c r="J18" s="1"/>
      <c r="K18" s="1"/>
      <c r="L18" s="1"/>
    </row>
    <row r="19" spans="2:12" x14ac:dyDescent="0.3">
      <c r="B19" s="84" t="s">
        <v>51</v>
      </c>
      <c r="C19" s="53" t="s">
        <v>166</v>
      </c>
      <c r="D19" s="54" t="s">
        <v>21</v>
      </c>
      <c r="E19" s="84" t="s">
        <v>98</v>
      </c>
      <c r="F19" s="84" t="s">
        <v>167</v>
      </c>
      <c r="G19" s="84" t="s">
        <v>99</v>
      </c>
      <c r="H19" s="55" t="s">
        <v>9</v>
      </c>
      <c r="I19" s="1"/>
      <c r="J19" s="1"/>
      <c r="K19" s="1"/>
      <c r="L19" s="1"/>
    </row>
    <row r="20" spans="2:12" x14ac:dyDescent="0.3">
      <c r="B20" s="59" t="s">
        <v>468</v>
      </c>
      <c r="C20" s="56" t="s">
        <v>144</v>
      </c>
      <c r="D20" s="59"/>
      <c r="E20" s="64">
        <v>0.9</v>
      </c>
      <c r="F20" s="64">
        <v>2.1</v>
      </c>
      <c r="G20" s="64">
        <v>1</v>
      </c>
      <c r="H20" s="64">
        <f>G20*F20*E20</f>
        <v>1.8900000000000001</v>
      </c>
      <c r="I20" s="1"/>
      <c r="J20" s="1"/>
      <c r="K20" s="1"/>
      <c r="L20" s="1"/>
    </row>
    <row r="21" spans="2:12" x14ac:dyDescent="0.3">
      <c r="B21" s="59" t="s">
        <v>469</v>
      </c>
      <c r="C21" s="56" t="s">
        <v>142</v>
      </c>
      <c r="D21" s="59"/>
      <c r="E21" s="64">
        <v>0.9</v>
      </c>
      <c r="F21" s="64">
        <v>2.1</v>
      </c>
      <c r="G21" s="64">
        <v>1</v>
      </c>
      <c r="H21" s="64">
        <f t="shared" ref="H21:H29" si="0">G21*F21*E21</f>
        <v>1.8900000000000001</v>
      </c>
      <c r="I21" s="1"/>
      <c r="J21" s="1"/>
      <c r="K21" s="1"/>
      <c r="L21" s="1"/>
    </row>
    <row r="22" spans="2:12" x14ac:dyDescent="0.3">
      <c r="B22" s="59" t="s">
        <v>470</v>
      </c>
      <c r="C22" s="56" t="s">
        <v>140</v>
      </c>
      <c r="D22" s="59"/>
      <c r="E22" s="64">
        <v>0.9</v>
      </c>
      <c r="F22" s="64">
        <v>2.1</v>
      </c>
      <c r="G22" s="64">
        <v>2</v>
      </c>
      <c r="H22" s="64">
        <f t="shared" si="0"/>
        <v>3.7800000000000002</v>
      </c>
      <c r="I22" s="1"/>
      <c r="J22" s="1"/>
      <c r="K22" s="1"/>
      <c r="L22" s="1"/>
    </row>
    <row r="23" spans="2:12" x14ac:dyDescent="0.3">
      <c r="B23" s="59" t="s">
        <v>471</v>
      </c>
      <c r="C23" s="56" t="s">
        <v>168</v>
      </c>
      <c r="D23" s="59"/>
      <c r="E23" s="64">
        <v>0.9</v>
      </c>
      <c r="F23" s="64">
        <v>2.1</v>
      </c>
      <c r="G23" s="64">
        <v>1</v>
      </c>
      <c r="H23" s="64">
        <f t="shared" si="0"/>
        <v>1.8900000000000001</v>
      </c>
      <c r="I23" s="1"/>
      <c r="J23" s="1"/>
      <c r="K23" s="1"/>
      <c r="L23" s="1"/>
    </row>
    <row r="24" spans="2:12" x14ac:dyDescent="0.3">
      <c r="B24" s="59" t="s">
        <v>472</v>
      </c>
      <c r="C24" s="56" t="s">
        <v>169</v>
      </c>
      <c r="D24" s="59"/>
      <c r="E24" s="64">
        <v>0.9</v>
      </c>
      <c r="F24" s="64">
        <v>2.1</v>
      </c>
      <c r="G24" s="64">
        <v>1</v>
      </c>
      <c r="H24" s="64">
        <f t="shared" si="0"/>
        <v>1.8900000000000001</v>
      </c>
      <c r="I24" s="1"/>
      <c r="J24" s="1"/>
      <c r="K24" s="1"/>
      <c r="L24" s="1"/>
    </row>
    <row r="25" spans="2:12" x14ac:dyDescent="0.3">
      <c r="B25" s="59" t="s">
        <v>695</v>
      </c>
      <c r="C25" s="56" t="s">
        <v>127</v>
      </c>
      <c r="D25" s="59"/>
      <c r="E25" s="64">
        <v>0.7</v>
      </c>
      <c r="F25" s="64">
        <v>2.1</v>
      </c>
      <c r="G25" s="64">
        <v>1</v>
      </c>
      <c r="H25" s="64">
        <f t="shared" si="0"/>
        <v>1.47</v>
      </c>
      <c r="I25" s="1"/>
      <c r="J25" s="1"/>
      <c r="K25" s="1"/>
      <c r="L25" s="1"/>
    </row>
    <row r="26" spans="2:12" s="4" customFormat="1" x14ac:dyDescent="0.3">
      <c r="B26" s="59" t="s">
        <v>473</v>
      </c>
      <c r="C26" s="56" t="s">
        <v>129</v>
      </c>
      <c r="D26" s="59"/>
      <c r="E26" s="64">
        <v>0.7</v>
      </c>
      <c r="F26" s="64">
        <v>2.1</v>
      </c>
      <c r="G26" s="64">
        <v>1</v>
      </c>
      <c r="H26" s="64">
        <f t="shared" si="0"/>
        <v>1.47</v>
      </c>
      <c r="I26" s="2"/>
      <c r="J26" s="2"/>
      <c r="K26" s="2"/>
      <c r="L26" s="2"/>
    </row>
    <row r="27" spans="2:12" customFormat="1" x14ac:dyDescent="0.3">
      <c r="B27" s="59" t="s">
        <v>474</v>
      </c>
      <c r="C27" s="56" t="s">
        <v>130</v>
      </c>
      <c r="D27" s="59"/>
      <c r="E27" s="64">
        <v>0.9</v>
      </c>
      <c r="F27" s="64">
        <v>2.1</v>
      </c>
      <c r="G27" s="64">
        <v>1</v>
      </c>
      <c r="H27" s="64">
        <f t="shared" si="0"/>
        <v>1.8900000000000001</v>
      </c>
    </row>
    <row r="28" spans="2:12" customFormat="1" x14ac:dyDescent="0.3">
      <c r="B28" s="59" t="s">
        <v>475</v>
      </c>
      <c r="C28" s="56" t="s">
        <v>170</v>
      </c>
      <c r="D28" s="59"/>
      <c r="E28" s="64">
        <v>0.9</v>
      </c>
      <c r="F28" s="64">
        <v>2.1</v>
      </c>
      <c r="G28" s="64">
        <v>1</v>
      </c>
      <c r="H28" s="64">
        <f t="shared" si="0"/>
        <v>1.8900000000000001</v>
      </c>
    </row>
    <row r="29" spans="2:12" customFormat="1" x14ac:dyDescent="0.3">
      <c r="B29" s="59" t="s">
        <v>696</v>
      </c>
      <c r="C29" s="56" t="s">
        <v>135</v>
      </c>
      <c r="D29" s="59"/>
      <c r="E29" s="64">
        <v>0.9</v>
      </c>
      <c r="F29" s="64">
        <v>2.1</v>
      </c>
      <c r="G29" s="64">
        <v>1</v>
      </c>
      <c r="H29" s="64">
        <f t="shared" si="0"/>
        <v>1.8900000000000001</v>
      </c>
    </row>
    <row r="30" spans="2:12" customFormat="1" x14ac:dyDescent="0.3">
      <c r="B30" s="411" t="s">
        <v>9</v>
      </c>
      <c r="C30" s="411"/>
      <c r="D30" s="411"/>
      <c r="E30" s="411"/>
      <c r="F30" s="411"/>
      <c r="G30" s="411"/>
      <c r="H30" s="51">
        <f>SUM(H20:H29)</f>
        <v>19.950000000000003</v>
      </c>
    </row>
    <row r="31" spans="2:12" customFormat="1" x14ac:dyDescent="0.3">
      <c r="B31" s="59" t="s">
        <v>52</v>
      </c>
      <c r="C31" s="57" t="s">
        <v>220</v>
      </c>
      <c r="D31" s="58" t="s">
        <v>21</v>
      </c>
      <c r="E31" s="417" t="s">
        <v>98</v>
      </c>
      <c r="F31" s="447"/>
      <c r="G31" s="59" t="s">
        <v>210</v>
      </c>
      <c r="H31" s="64" t="s">
        <v>100</v>
      </c>
    </row>
    <row r="32" spans="2:12" customFormat="1" x14ac:dyDescent="0.3">
      <c r="B32" s="59" t="s">
        <v>476</v>
      </c>
      <c r="C32" s="60" t="s">
        <v>127</v>
      </c>
      <c r="D32" s="59"/>
      <c r="E32" s="417">
        <v>2.97</v>
      </c>
      <c r="F32" s="417"/>
      <c r="G32" s="64">
        <v>2</v>
      </c>
      <c r="H32" s="64">
        <f>G32*E32</f>
        <v>5.94</v>
      </c>
    </row>
    <row r="33" spans="2:8" customFormat="1" x14ac:dyDescent="0.3">
      <c r="B33" s="59" t="s">
        <v>477</v>
      </c>
      <c r="C33" s="60" t="s">
        <v>129</v>
      </c>
      <c r="D33" s="59"/>
      <c r="E33" s="417">
        <v>2.97</v>
      </c>
      <c r="F33" s="417"/>
      <c r="G33" s="64">
        <v>2</v>
      </c>
      <c r="H33" s="64">
        <f>G33*E33</f>
        <v>5.94</v>
      </c>
    </row>
    <row r="34" spans="2:8" customFormat="1" x14ac:dyDescent="0.3">
      <c r="B34" s="59" t="s">
        <v>478</v>
      </c>
      <c r="C34" s="56" t="s">
        <v>144</v>
      </c>
      <c r="D34" s="59"/>
      <c r="E34" s="417">
        <v>5.94</v>
      </c>
      <c r="F34" s="417"/>
      <c r="G34" s="64">
        <v>6</v>
      </c>
      <c r="H34" s="64">
        <f t="shared" ref="H34:H44" si="1">G34*E34</f>
        <v>35.64</v>
      </c>
    </row>
    <row r="35" spans="2:8" customFormat="1" x14ac:dyDescent="0.3">
      <c r="B35" s="59" t="s">
        <v>479</v>
      </c>
      <c r="C35" s="56" t="s">
        <v>142</v>
      </c>
      <c r="D35" s="59"/>
      <c r="E35" s="417">
        <v>1.8</v>
      </c>
      <c r="F35" s="417"/>
      <c r="G35" s="64">
        <v>3.15</v>
      </c>
      <c r="H35" s="64">
        <f t="shared" si="1"/>
        <v>5.67</v>
      </c>
    </row>
    <row r="36" spans="2:8" customFormat="1" x14ac:dyDescent="0.3">
      <c r="B36" s="59" t="s">
        <v>697</v>
      </c>
      <c r="C36" s="56" t="s">
        <v>140</v>
      </c>
      <c r="D36" s="59"/>
      <c r="E36" s="417">
        <v>4.1100000000000003</v>
      </c>
      <c r="F36" s="417"/>
      <c r="G36" s="64">
        <v>3.15</v>
      </c>
      <c r="H36" s="64">
        <f t="shared" si="1"/>
        <v>12.9465</v>
      </c>
    </row>
    <row r="37" spans="2:8" x14ac:dyDescent="0.3">
      <c r="B37" s="59" t="s">
        <v>480</v>
      </c>
      <c r="C37" s="56" t="s">
        <v>168</v>
      </c>
      <c r="D37" s="59"/>
      <c r="E37" s="417">
        <v>5.94</v>
      </c>
      <c r="F37" s="417"/>
      <c r="G37" s="64">
        <v>6</v>
      </c>
      <c r="H37" s="64">
        <f t="shared" si="1"/>
        <v>35.64</v>
      </c>
    </row>
    <row r="38" spans="2:8" x14ac:dyDescent="0.3">
      <c r="B38" s="59" t="s">
        <v>481</v>
      </c>
      <c r="C38" s="56" t="s">
        <v>169</v>
      </c>
      <c r="D38" s="59"/>
      <c r="E38" s="417">
        <v>5.94</v>
      </c>
      <c r="F38" s="417"/>
      <c r="G38" s="64">
        <v>6</v>
      </c>
      <c r="H38" s="64">
        <f t="shared" si="1"/>
        <v>35.64</v>
      </c>
    </row>
    <row r="39" spans="2:8" x14ac:dyDescent="0.3">
      <c r="B39" s="59" t="s">
        <v>482</v>
      </c>
      <c r="C39" s="56" t="s">
        <v>130</v>
      </c>
      <c r="D39" s="59"/>
      <c r="E39" s="417">
        <v>2.97</v>
      </c>
      <c r="F39" s="417"/>
      <c r="G39" s="64">
        <v>5.2</v>
      </c>
      <c r="H39" s="64">
        <f t="shared" si="1"/>
        <v>15.444000000000001</v>
      </c>
    </row>
    <row r="40" spans="2:8" x14ac:dyDescent="0.3">
      <c r="B40" s="59" t="s">
        <v>483</v>
      </c>
      <c r="C40" s="56" t="s">
        <v>170</v>
      </c>
      <c r="D40" s="59"/>
      <c r="E40" s="417">
        <v>2.97</v>
      </c>
      <c r="F40" s="417"/>
      <c r="G40" s="64">
        <v>5.2</v>
      </c>
      <c r="H40" s="64">
        <f t="shared" si="1"/>
        <v>15.444000000000001</v>
      </c>
    </row>
    <row r="41" spans="2:8" x14ac:dyDescent="0.3">
      <c r="B41" s="59" t="s">
        <v>484</v>
      </c>
      <c r="C41" s="56" t="s">
        <v>151</v>
      </c>
      <c r="D41" s="59"/>
      <c r="E41" s="417">
        <v>2.97</v>
      </c>
      <c r="F41" s="417"/>
      <c r="G41" s="64">
        <v>2</v>
      </c>
      <c r="H41" s="64">
        <f t="shared" si="1"/>
        <v>5.94</v>
      </c>
    </row>
    <row r="42" spans="2:8" x14ac:dyDescent="0.3">
      <c r="B42" s="59" t="s">
        <v>485</v>
      </c>
      <c r="C42" s="56" t="s">
        <v>135</v>
      </c>
      <c r="D42" s="59"/>
      <c r="E42" s="417">
        <v>2.97</v>
      </c>
      <c r="F42" s="417"/>
      <c r="G42" s="64">
        <v>3.89</v>
      </c>
      <c r="H42" s="64">
        <f t="shared" si="1"/>
        <v>11.553300000000002</v>
      </c>
    </row>
    <row r="43" spans="2:8" x14ac:dyDescent="0.3">
      <c r="B43" s="59" t="s">
        <v>486</v>
      </c>
      <c r="C43" s="60" t="s">
        <v>248</v>
      </c>
      <c r="D43" s="59"/>
      <c r="E43" s="417">
        <f>4.97+2</f>
        <v>6.97</v>
      </c>
      <c r="F43" s="417"/>
      <c r="G43" s="64">
        <v>21.3</v>
      </c>
      <c r="H43" s="64">
        <f t="shared" si="1"/>
        <v>148.46100000000001</v>
      </c>
    </row>
    <row r="44" spans="2:8" x14ac:dyDescent="0.3">
      <c r="B44" s="59" t="s">
        <v>487</v>
      </c>
      <c r="C44" s="60" t="s">
        <v>302</v>
      </c>
      <c r="D44" s="59"/>
      <c r="E44" s="427">
        <v>3.6</v>
      </c>
      <c r="F44" s="428"/>
      <c r="G44" s="64">
        <v>7.5</v>
      </c>
      <c r="H44" s="64">
        <f t="shared" si="1"/>
        <v>27</v>
      </c>
    </row>
    <row r="45" spans="2:8" x14ac:dyDescent="0.3">
      <c r="B45" s="411" t="s">
        <v>9</v>
      </c>
      <c r="C45" s="411"/>
      <c r="D45" s="411"/>
      <c r="E45" s="411"/>
      <c r="F45" s="411"/>
      <c r="G45" s="411"/>
      <c r="H45" s="51">
        <f>SUM(H32:H44)</f>
        <v>361.25880000000001</v>
      </c>
    </row>
    <row r="46" spans="2:8" customFormat="1" x14ac:dyDescent="0.3">
      <c r="B46" s="59" t="s">
        <v>698</v>
      </c>
      <c r="C46" s="57" t="s">
        <v>171</v>
      </c>
      <c r="D46" s="58" t="s">
        <v>21</v>
      </c>
      <c r="E46" s="59" t="s">
        <v>98</v>
      </c>
      <c r="F46" s="59" t="s">
        <v>167</v>
      </c>
      <c r="G46" s="59" t="s">
        <v>99</v>
      </c>
      <c r="H46" s="64" t="s">
        <v>9</v>
      </c>
    </row>
    <row r="47" spans="2:8" customFormat="1" x14ac:dyDescent="0.3">
      <c r="B47" s="59" t="s">
        <v>488</v>
      </c>
      <c r="C47" s="56" t="s">
        <v>142</v>
      </c>
      <c r="D47" s="417"/>
      <c r="E47" s="417"/>
      <c r="F47" s="417"/>
      <c r="G47" s="417"/>
      <c r="H47" s="417"/>
    </row>
    <row r="48" spans="2:8" customFormat="1" x14ac:dyDescent="0.3">
      <c r="B48" s="59"/>
      <c r="C48" s="56" t="s">
        <v>157</v>
      </c>
      <c r="D48" s="59"/>
      <c r="E48" s="64">
        <v>1</v>
      </c>
      <c r="F48" s="64">
        <v>0.3</v>
      </c>
      <c r="G48" s="64"/>
      <c r="H48" s="64">
        <f>F48*E48</f>
        <v>0.3</v>
      </c>
    </row>
    <row r="49" spans="2:8" customFormat="1" x14ac:dyDescent="0.3">
      <c r="B49" s="411" t="s">
        <v>55</v>
      </c>
      <c r="C49" s="411"/>
      <c r="D49" s="411"/>
      <c r="E49" s="411"/>
      <c r="F49" s="411"/>
      <c r="G49" s="411"/>
      <c r="H49" s="64">
        <f>SUM(H48)</f>
        <v>0.3</v>
      </c>
    </row>
    <row r="50" spans="2:8" customFormat="1" x14ac:dyDescent="0.3">
      <c r="B50" s="59" t="s">
        <v>489</v>
      </c>
      <c r="C50" s="56" t="s">
        <v>127</v>
      </c>
      <c r="D50" s="417"/>
      <c r="E50" s="417"/>
      <c r="F50" s="417"/>
      <c r="G50" s="417"/>
      <c r="H50" s="417"/>
    </row>
    <row r="51" spans="2:8" customFormat="1" x14ac:dyDescent="0.3">
      <c r="B51" s="59"/>
      <c r="C51" s="56" t="s">
        <v>422</v>
      </c>
      <c r="D51" s="59"/>
      <c r="E51" s="64">
        <f>2.97+2+2.97+2+1.86+1.2+1.17+1.17+0.9+1.17+0.9</f>
        <v>18.309999999999995</v>
      </c>
      <c r="F51" s="64">
        <v>1.6</v>
      </c>
      <c r="G51" s="64"/>
      <c r="H51" s="64">
        <f t="shared" ref="H51" si="2">F51*E51</f>
        <v>29.295999999999992</v>
      </c>
    </row>
    <row r="52" spans="2:8" customFormat="1" x14ac:dyDescent="0.3">
      <c r="B52" s="59"/>
      <c r="C52" s="56" t="s">
        <v>60</v>
      </c>
      <c r="D52" s="59"/>
      <c r="E52" s="64">
        <v>0.9</v>
      </c>
      <c r="F52" s="64">
        <v>1.6</v>
      </c>
      <c r="G52" s="64">
        <v>1</v>
      </c>
      <c r="H52" s="64">
        <f>F52*E52*G52</f>
        <v>1.4400000000000002</v>
      </c>
    </row>
    <row r="53" spans="2:8" customFormat="1" x14ac:dyDescent="0.3">
      <c r="B53" s="59"/>
      <c r="C53" s="56" t="s">
        <v>60</v>
      </c>
      <c r="D53" s="59"/>
      <c r="E53" s="64">
        <v>0.7</v>
      </c>
      <c r="F53" s="64">
        <v>1.6</v>
      </c>
      <c r="G53" s="64">
        <v>2</v>
      </c>
      <c r="H53" s="64">
        <f>F53*E53*G53</f>
        <v>2.2399999999999998</v>
      </c>
    </row>
    <row r="54" spans="2:8" customFormat="1" x14ac:dyDescent="0.3">
      <c r="B54" s="411" t="s">
        <v>55</v>
      </c>
      <c r="C54" s="411"/>
      <c r="D54" s="411"/>
      <c r="E54" s="411"/>
      <c r="F54" s="411"/>
      <c r="G54" s="411"/>
      <c r="H54" s="64">
        <f>H51-H52-H53</f>
        <v>25.615999999999993</v>
      </c>
    </row>
    <row r="55" spans="2:8" customFormat="1" x14ac:dyDescent="0.3">
      <c r="B55" s="59" t="s">
        <v>490</v>
      </c>
      <c r="C55" s="56" t="s">
        <v>129</v>
      </c>
      <c r="D55" s="417"/>
      <c r="E55" s="417"/>
      <c r="F55" s="417"/>
      <c r="G55" s="417"/>
      <c r="H55" s="417"/>
    </row>
    <row r="56" spans="2:8" customFormat="1" x14ac:dyDescent="0.3">
      <c r="B56" s="59"/>
      <c r="C56" s="56" t="s">
        <v>422</v>
      </c>
      <c r="D56" s="59"/>
      <c r="E56" s="64">
        <f>2.97+2+2.97+2+1.86+1.2+1.17+1.17+0.9+1.17+0.9</f>
        <v>18.309999999999995</v>
      </c>
      <c r="F56" s="64">
        <v>1.6</v>
      </c>
      <c r="G56" s="64"/>
      <c r="H56" s="64">
        <f t="shared" ref="H56" si="3">F56*E56</f>
        <v>29.295999999999992</v>
      </c>
    </row>
    <row r="57" spans="2:8" customFormat="1" x14ac:dyDescent="0.3">
      <c r="B57" s="59"/>
      <c r="C57" s="56" t="s">
        <v>60</v>
      </c>
      <c r="D57" s="59"/>
      <c r="E57" s="64">
        <v>0.9</v>
      </c>
      <c r="F57" s="64">
        <v>1.6</v>
      </c>
      <c r="G57" s="64">
        <v>1</v>
      </c>
      <c r="H57" s="64">
        <f>F57*E57*G57</f>
        <v>1.4400000000000002</v>
      </c>
    </row>
    <row r="58" spans="2:8" customFormat="1" x14ac:dyDescent="0.3">
      <c r="B58" s="59" t="s">
        <v>606</v>
      </c>
      <c r="C58" s="56" t="s">
        <v>60</v>
      </c>
      <c r="D58" s="59"/>
      <c r="E58" s="64">
        <v>0.7</v>
      </c>
      <c r="F58" s="64">
        <v>1.6</v>
      </c>
      <c r="G58" s="64">
        <v>2</v>
      </c>
      <c r="H58" s="64">
        <f>F58*E58*G58</f>
        <v>2.2399999999999998</v>
      </c>
    </row>
    <row r="59" spans="2:8" customFormat="1" x14ac:dyDescent="0.3">
      <c r="B59" s="411" t="s">
        <v>55</v>
      </c>
      <c r="C59" s="411"/>
      <c r="D59" s="411"/>
      <c r="E59" s="411"/>
      <c r="F59" s="411"/>
      <c r="G59" s="411"/>
      <c r="H59" s="64">
        <f>H56-H57-H58</f>
        <v>25.615999999999993</v>
      </c>
    </row>
    <row r="60" spans="2:8" customFormat="1" x14ac:dyDescent="0.3">
      <c r="B60" s="411" t="s">
        <v>9</v>
      </c>
      <c r="C60" s="411"/>
      <c r="D60" s="411"/>
      <c r="E60" s="411"/>
      <c r="F60" s="411"/>
      <c r="G60" s="411"/>
      <c r="H60" s="51">
        <f>H59+H54+H49</f>
        <v>51.531999999999982</v>
      </c>
    </row>
    <row r="61" spans="2:8" customFormat="1" x14ac:dyDescent="0.3">
      <c r="B61" s="59" t="s">
        <v>54</v>
      </c>
      <c r="C61" s="62" t="s">
        <v>172</v>
      </c>
      <c r="D61" s="59" t="s">
        <v>21</v>
      </c>
      <c r="E61" s="59" t="s">
        <v>98</v>
      </c>
      <c r="F61" s="59" t="s">
        <v>236</v>
      </c>
      <c r="G61" s="59" t="s">
        <v>99</v>
      </c>
      <c r="H61" s="64" t="s">
        <v>100</v>
      </c>
    </row>
    <row r="62" spans="2:8" customFormat="1" x14ac:dyDescent="0.3">
      <c r="B62" s="90" t="s">
        <v>491</v>
      </c>
      <c r="C62" s="63" t="s">
        <v>148</v>
      </c>
      <c r="D62" s="417"/>
      <c r="E62" s="417"/>
      <c r="F62" s="417"/>
      <c r="G62" s="417"/>
      <c r="H62" s="417"/>
    </row>
    <row r="63" spans="2:8" customFormat="1" x14ac:dyDescent="0.3">
      <c r="B63" s="90"/>
      <c r="C63" s="63" t="s">
        <v>233</v>
      </c>
      <c r="D63" s="90"/>
      <c r="E63" s="87">
        <f>9.05+4.8+5.25+0.45</f>
        <v>19.55</v>
      </c>
      <c r="F63" s="87">
        <v>1</v>
      </c>
      <c r="G63" s="87"/>
      <c r="H63" s="64">
        <f>F63*E63</f>
        <v>19.55</v>
      </c>
    </row>
    <row r="64" spans="2:8" customFormat="1" x14ac:dyDescent="0.3">
      <c r="B64" s="90"/>
      <c r="C64" s="63" t="s">
        <v>60</v>
      </c>
      <c r="D64" s="90"/>
      <c r="E64" s="87">
        <v>2.4</v>
      </c>
      <c r="F64" s="87">
        <v>1</v>
      </c>
      <c r="G64" s="87">
        <v>1</v>
      </c>
      <c r="H64" s="64">
        <f>G64*F64*E64</f>
        <v>2.4</v>
      </c>
    </row>
    <row r="65" spans="2:12" customFormat="1" x14ac:dyDescent="0.3">
      <c r="B65" s="90"/>
      <c r="C65" s="63" t="s">
        <v>60</v>
      </c>
      <c r="D65" s="90"/>
      <c r="E65" s="87">
        <v>0.8</v>
      </c>
      <c r="F65" s="87">
        <v>1</v>
      </c>
      <c r="G65" s="87">
        <v>1</v>
      </c>
      <c r="H65" s="64">
        <f>G65*F65*E65</f>
        <v>0.8</v>
      </c>
    </row>
    <row r="66" spans="2:12" customFormat="1" ht="15" customHeight="1" x14ac:dyDescent="0.3">
      <c r="B66" s="90"/>
      <c r="C66" s="63" t="s">
        <v>61</v>
      </c>
      <c r="D66" s="90"/>
      <c r="E66" s="87">
        <v>2</v>
      </c>
      <c r="F66" s="87">
        <v>0.6</v>
      </c>
      <c r="G66" s="87">
        <v>4</v>
      </c>
      <c r="H66" s="64">
        <f>G66*F66*E66</f>
        <v>4.8</v>
      </c>
    </row>
    <row r="67" spans="2:12" customFormat="1" ht="15" customHeight="1" x14ac:dyDescent="0.3">
      <c r="B67" s="411" t="s">
        <v>55</v>
      </c>
      <c r="C67" s="411"/>
      <c r="D67" s="411"/>
      <c r="E67" s="411"/>
      <c r="F67" s="411"/>
      <c r="G67" s="411"/>
      <c r="H67" s="64">
        <f>H63-H64-H65-H66</f>
        <v>11.55</v>
      </c>
    </row>
    <row r="68" spans="2:12" customFormat="1" x14ac:dyDescent="0.3">
      <c r="B68" s="90" t="s">
        <v>699</v>
      </c>
      <c r="C68" s="62" t="s">
        <v>234</v>
      </c>
      <c r="D68" s="417"/>
      <c r="E68" s="417"/>
      <c r="F68" s="417"/>
      <c r="G68" s="417"/>
      <c r="H68" s="417"/>
    </row>
    <row r="69" spans="2:12" customFormat="1" x14ac:dyDescent="0.3">
      <c r="B69" s="90"/>
      <c r="C69" s="63" t="s">
        <v>235</v>
      </c>
      <c r="D69" s="90"/>
      <c r="E69" s="87">
        <v>2</v>
      </c>
      <c r="F69" s="87">
        <v>1.5</v>
      </c>
      <c r="G69" s="90"/>
      <c r="H69" s="87">
        <f>F69*E69</f>
        <v>3</v>
      </c>
    </row>
    <row r="70" spans="2:12" customFormat="1" x14ac:dyDescent="0.3">
      <c r="B70" s="411" t="s">
        <v>55</v>
      </c>
      <c r="C70" s="411"/>
      <c r="D70" s="411"/>
      <c r="E70" s="411"/>
      <c r="F70" s="411"/>
      <c r="G70" s="411"/>
      <c r="H70" s="64">
        <f>H69</f>
        <v>3</v>
      </c>
    </row>
    <row r="71" spans="2:12" x14ac:dyDescent="0.3">
      <c r="B71" s="90" t="s">
        <v>563</v>
      </c>
      <c r="C71" s="89" t="s">
        <v>238</v>
      </c>
      <c r="D71" s="435"/>
      <c r="E71" s="435"/>
      <c r="F71" s="435"/>
      <c r="G71" s="435"/>
      <c r="H71" s="435"/>
    </row>
    <row r="72" spans="2:12" x14ac:dyDescent="0.3">
      <c r="B72" s="90"/>
      <c r="C72" s="89" t="s">
        <v>239</v>
      </c>
      <c r="D72" s="90"/>
      <c r="E72" s="87">
        <f>1+1.5</f>
        <v>2.5</v>
      </c>
      <c r="F72" s="87">
        <v>0.6</v>
      </c>
      <c r="G72" s="90"/>
      <c r="H72" s="87">
        <f>F72*E72</f>
        <v>1.5</v>
      </c>
    </row>
    <row r="73" spans="2:12" x14ac:dyDescent="0.3">
      <c r="B73" s="439" t="s">
        <v>55</v>
      </c>
      <c r="C73" s="439"/>
      <c r="D73" s="439"/>
      <c r="E73" s="439"/>
      <c r="F73" s="439"/>
      <c r="G73" s="439"/>
      <c r="H73" s="87">
        <f>H72</f>
        <v>1.5</v>
      </c>
    </row>
    <row r="74" spans="2:12" x14ac:dyDescent="0.3">
      <c r="B74" s="90" t="s">
        <v>564</v>
      </c>
      <c r="C74" s="89" t="s">
        <v>104</v>
      </c>
      <c r="D74" s="435"/>
      <c r="E74" s="435"/>
      <c r="F74" s="435"/>
      <c r="G74" s="435"/>
      <c r="H74" s="435"/>
    </row>
    <row r="75" spans="2:12" x14ac:dyDescent="0.3">
      <c r="B75" s="90"/>
      <c r="C75" s="89" t="s">
        <v>240</v>
      </c>
      <c r="D75" s="90"/>
      <c r="E75" s="90">
        <f>1.25+1.5</f>
        <v>2.75</v>
      </c>
      <c r="F75" s="87">
        <v>0.6</v>
      </c>
      <c r="G75" s="90"/>
      <c r="H75" s="87">
        <f>F75*E75</f>
        <v>1.65</v>
      </c>
    </row>
    <row r="76" spans="2:12" x14ac:dyDescent="0.3">
      <c r="B76" s="439" t="s">
        <v>55</v>
      </c>
      <c r="C76" s="439"/>
      <c r="D76" s="439"/>
      <c r="E76" s="439"/>
      <c r="F76" s="439"/>
      <c r="G76" s="439"/>
      <c r="H76" s="87">
        <f>H75</f>
        <v>1.65</v>
      </c>
    </row>
    <row r="77" spans="2:12" customFormat="1" x14ac:dyDescent="0.3">
      <c r="B77" s="411" t="s">
        <v>9</v>
      </c>
      <c r="C77" s="411"/>
      <c r="D77" s="411"/>
      <c r="E77" s="411"/>
      <c r="F77" s="411"/>
      <c r="G77" s="411"/>
      <c r="H77" s="51">
        <f>H70+H67+H73+H76</f>
        <v>17.7</v>
      </c>
    </row>
    <row r="78" spans="2:12" x14ac:dyDescent="0.25">
      <c r="B78" s="52" t="s">
        <v>274</v>
      </c>
      <c r="C78" s="132" t="s">
        <v>301</v>
      </c>
      <c r="D78" s="124" t="s">
        <v>180</v>
      </c>
      <c r="E78" s="52" t="s">
        <v>303</v>
      </c>
      <c r="F78" s="52" t="s">
        <v>99</v>
      </c>
      <c r="G78" s="52" t="s">
        <v>167</v>
      </c>
      <c r="H78" s="52" t="s">
        <v>262</v>
      </c>
      <c r="I78" s="1"/>
      <c r="J78" s="1"/>
      <c r="K78" s="1"/>
      <c r="L78" s="1"/>
    </row>
    <row r="79" spans="2:12" x14ac:dyDescent="0.25">
      <c r="B79" s="52" t="s">
        <v>492</v>
      </c>
      <c r="C79" s="48" t="s">
        <v>304</v>
      </c>
      <c r="D79" s="49"/>
      <c r="E79" s="50">
        <f>0.1*0.1</f>
        <v>1.0000000000000002E-2</v>
      </c>
      <c r="F79" s="50">
        <v>5</v>
      </c>
      <c r="G79" s="50">
        <v>2.5</v>
      </c>
      <c r="H79" s="50">
        <f>G79*F79*E79</f>
        <v>0.12500000000000003</v>
      </c>
      <c r="I79" s="1"/>
      <c r="J79" s="1"/>
      <c r="K79" s="1"/>
      <c r="L79" s="1"/>
    </row>
    <row r="80" spans="2:12" x14ac:dyDescent="0.3">
      <c r="B80" s="411" t="s">
        <v>9</v>
      </c>
      <c r="C80" s="411"/>
      <c r="D80" s="411"/>
      <c r="E80" s="411"/>
      <c r="F80" s="411"/>
      <c r="G80" s="411"/>
      <c r="H80" s="51">
        <f>SUM(H79)</f>
        <v>0.12500000000000003</v>
      </c>
      <c r="I80" s="1"/>
      <c r="J80" s="1"/>
      <c r="K80" s="1"/>
      <c r="L80" s="1"/>
    </row>
    <row r="81" spans="2:8" customFormat="1" x14ac:dyDescent="0.3">
      <c r="B81" s="59" t="s">
        <v>305</v>
      </c>
      <c r="C81" s="57" t="s">
        <v>174</v>
      </c>
      <c r="D81" s="58" t="s">
        <v>175</v>
      </c>
      <c r="E81" s="417"/>
      <c r="F81" s="417"/>
      <c r="G81" s="417"/>
      <c r="H81" s="417"/>
    </row>
    <row r="82" spans="2:8" customFormat="1" x14ac:dyDescent="0.3">
      <c r="B82" s="59" t="s">
        <v>493</v>
      </c>
      <c r="C82" s="56" t="s">
        <v>129</v>
      </c>
      <c r="D82" s="59"/>
      <c r="E82" s="430">
        <v>1</v>
      </c>
      <c r="F82" s="430"/>
      <c r="G82" s="430"/>
      <c r="H82" s="430"/>
    </row>
    <row r="83" spans="2:8" customFormat="1" x14ac:dyDescent="0.3">
      <c r="B83" s="411" t="s">
        <v>9</v>
      </c>
      <c r="C83" s="411"/>
      <c r="D83" s="411"/>
      <c r="E83" s="411"/>
      <c r="F83" s="411"/>
      <c r="G83" s="411"/>
      <c r="H83" s="51">
        <f>E82</f>
        <v>1</v>
      </c>
    </row>
    <row r="84" spans="2:8" x14ac:dyDescent="0.3">
      <c r="B84" s="59" t="s">
        <v>306</v>
      </c>
      <c r="C84" s="57" t="s">
        <v>270</v>
      </c>
      <c r="D84" s="58" t="s">
        <v>271</v>
      </c>
      <c r="E84" s="430">
        <v>8</v>
      </c>
      <c r="F84" s="430"/>
      <c r="G84" s="430"/>
      <c r="H84" s="430"/>
    </row>
    <row r="85" spans="2:8" x14ac:dyDescent="0.3">
      <c r="B85" s="411" t="s">
        <v>9</v>
      </c>
      <c r="C85" s="411"/>
      <c r="D85" s="411"/>
      <c r="E85" s="411"/>
      <c r="F85" s="411"/>
      <c r="G85" s="411"/>
      <c r="H85" s="51">
        <f>E84</f>
        <v>8</v>
      </c>
    </row>
    <row r="86" spans="2:8" ht="33" x14ac:dyDescent="0.3">
      <c r="B86" s="66" t="s">
        <v>307</v>
      </c>
      <c r="C86" s="65" t="s">
        <v>177</v>
      </c>
      <c r="D86" s="58" t="s">
        <v>21</v>
      </c>
      <c r="E86" s="446" t="s">
        <v>178</v>
      </c>
      <c r="F86" s="446"/>
      <c r="G86" s="446"/>
      <c r="H86" s="446"/>
    </row>
    <row r="87" spans="2:8" ht="17.25" thickBot="1" x14ac:dyDescent="0.35">
      <c r="B87" s="424" t="s">
        <v>9</v>
      </c>
      <c r="C87" s="424"/>
      <c r="D87" s="424"/>
      <c r="E87" s="424"/>
      <c r="F87" s="424"/>
      <c r="G87" s="424"/>
      <c r="H87" s="67">
        <f>2*1.5</f>
        <v>3</v>
      </c>
    </row>
    <row r="88" spans="2:8" ht="17.25" thickBot="1" x14ac:dyDescent="0.3">
      <c r="B88" s="440" t="str">
        <f>Orçamento!B24</f>
        <v>Grupo de Serviço: 165 - Transportes</v>
      </c>
      <c r="C88" s="441"/>
      <c r="D88" s="441"/>
      <c r="E88" s="441"/>
      <c r="F88" s="441"/>
      <c r="G88" s="441"/>
      <c r="H88" s="442"/>
    </row>
    <row r="89" spans="2:8" x14ac:dyDescent="0.25">
      <c r="B89" s="47" t="s">
        <v>46</v>
      </c>
      <c r="C89" s="137" t="s">
        <v>247</v>
      </c>
      <c r="D89" s="487"/>
      <c r="E89" s="488"/>
      <c r="F89" s="488"/>
      <c r="G89" s="488"/>
      <c r="H89" s="489"/>
    </row>
    <row r="90" spans="2:8" x14ac:dyDescent="0.3">
      <c r="B90" s="153" t="s">
        <v>11</v>
      </c>
      <c r="C90" s="132" t="s">
        <v>221</v>
      </c>
      <c r="D90" s="124" t="s">
        <v>180</v>
      </c>
      <c r="E90" s="153" t="s">
        <v>303</v>
      </c>
      <c r="F90" s="153" t="s">
        <v>261</v>
      </c>
      <c r="G90" s="153" t="s">
        <v>568</v>
      </c>
      <c r="H90" s="52" t="s">
        <v>262</v>
      </c>
    </row>
    <row r="91" spans="2:8" x14ac:dyDescent="0.3">
      <c r="B91" s="84" t="s">
        <v>494</v>
      </c>
      <c r="C91" s="68" t="s">
        <v>308</v>
      </c>
      <c r="D91" s="69"/>
      <c r="E91" s="92">
        <f>H15</f>
        <v>27</v>
      </c>
      <c r="F91" s="84">
        <v>0.01</v>
      </c>
      <c r="G91" s="152">
        <v>0.3</v>
      </c>
      <c r="H91" s="64">
        <f>F91*E91+0.3*F91*E91</f>
        <v>0.35100000000000003</v>
      </c>
    </row>
    <row r="92" spans="2:8" x14ac:dyDescent="0.3">
      <c r="B92" s="84" t="s">
        <v>701</v>
      </c>
      <c r="C92" s="68" t="s">
        <v>309</v>
      </c>
      <c r="D92" s="69"/>
      <c r="E92" s="92">
        <f>H18</f>
        <v>27</v>
      </c>
      <c r="F92" s="84">
        <v>0.1</v>
      </c>
      <c r="G92" s="152">
        <v>0.3</v>
      </c>
      <c r="H92" s="64">
        <f t="shared" ref="H92:H95" si="4">F92*E92+0.3*F92*E92</f>
        <v>3.5100000000000002</v>
      </c>
    </row>
    <row r="93" spans="2:8" x14ac:dyDescent="0.3">
      <c r="B93" s="84" t="s">
        <v>495</v>
      </c>
      <c r="C93" s="57" t="s">
        <v>181</v>
      </c>
      <c r="D93" s="59"/>
      <c r="E93" s="59">
        <f>H30</f>
        <v>19.950000000000003</v>
      </c>
      <c r="F93" s="59">
        <v>0.03</v>
      </c>
      <c r="G93" s="152">
        <v>0.3</v>
      </c>
      <c r="H93" s="64">
        <f t="shared" si="4"/>
        <v>0.77805000000000002</v>
      </c>
    </row>
    <row r="94" spans="2:8" x14ac:dyDescent="0.3">
      <c r="B94" s="84" t="s">
        <v>496</v>
      </c>
      <c r="C94" s="57" t="s">
        <v>182</v>
      </c>
      <c r="D94" s="59"/>
      <c r="E94" s="64">
        <f>H60</f>
        <v>51.531999999999982</v>
      </c>
      <c r="F94" s="59">
        <v>0.01</v>
      </c>
      <c r="G94" s="152">
        <v>0.3</v>
      </c>
      <c r="H94" s="64">
        <f t="shared" si="4"/>
        <v>0.66991599999999973</v>
      </c>
    </row>
    <row r="95" spans="2:8" x14ac:dyDescent="0.3">
      <c r="B95" s="84" t="s">
        <v>497</v>
      </c>
      <c r="C95" s="57" t="s">
        <v>183</v>
      </c>
      <c r="D95" s="59"/>
      <c r="E95" s="64">
        <f>H77</f>
        <v>17.7</v>
      </c>
      <c r="F95" s="59">
        <v>0.02</v>
      </c>
      <c r="G95" s="152">
        <v>0.3</v>
      </c>
      <c r="H95" s="64">
        <f t="shared" si="4"/>
        <v>0.4602</v>
      </c>
    </row>
    <row r="96" spans="2:8" x14ac:dyDescent="0.3">
      <c r="B96" s="84" t="s">
        <v>498</v>
      </c>
      <c r="C96" s="57" t="s">
        <v>217</v>
      </c>
      <c r="D96" s="59"/>
      <c r="E96" s="64">
        <f>H45</f>
        <v>361.25880000000001</v>
      </c>
      <c r="F96" s="59">
        <v>0.05</v>
      </c>
      <c r="G96" s="152">
        <v>0.3</v>
      </c>
      <c r="H96" s="64">
        <f>F96*E96+0.3*F96*E96</f>
        <v>23.481822000000001</v>
      </c>
    </row>
    <row r="97" spans="2:8" ht="17.25" thickBot="1" x14ac:dyDescent="0.35">
      <c r="B97" s="424" t="s">
        <v>9</v>
      </c>
      <c r="C97" s="424"/>
      <c r="D97" s="424"/>
      <c r="E97" s="424"/>
      <c r="F97" s="424"/>
      <c r="G97" s="424"/>
      <c r="H97" s="67">
        <f>SUM(H91:H96)</f>
        <v>29.250988</v>
      </c>
    </row>
    <row r="98" spans="2:8" ht="17.25" thickBot="1" x14ac:dyDescent="0.3">
      <c r="B98" s="440" t="s">
        <v>344</v>
      </c>
      <c r="C98" s="441"/>
      <c r="D98" s="441"/>
      <c r="E98" s="441"/>
      <c r="F98" s="441"/>
      <c r="G98" s="441"/>
      <c r="H98" s="442"/>
    </row>
    <row r="99" spans="2:8" x14ac:dyDescent="0.3">
      <c r="B99" s="156" t="s">
        <v>696</v>
      </c>
      <c r="C99" s="139" t="s">
        <v>345</v>
      </c>
      <c r="D99" s="433"/>
      <c r="E99" s="433"/>
      <c r="F99" s="433"/>
      <c r="G99" s="433"/>
      <c r="H99" s="433"/>
    </row>
    <row r="100" spans="2:8" ht="33" x14ac:dyDescent="0.3">
      <c r="B100" s="84" t="s">
        <v>249</v>
      </c>
      <c r="C100" s="72" t="s">
        <v>499</v>
      </c>
      <c r="D100" s="71" t="s">
        <v>500</v>
      </c>
      <c r="E100" s="69" t="s">
        <v>98</v>
      </c>
      <c r="F100" s="69" t="s">
        <v>210</v>
      </c>
      <c r="G100" s="69" t="s">
        <v>167</v>
      </c>
      <c r="H100" s="69" t="s">
        <v>262</v>
      </c>
    </row>
    <row r="101" spans="2:8" x14ac:dyDescent="0.3">
      <c r="B101" s="84" t="s">
        <v>703</v>
      </c>
      <c r="C101" s="68" t="s">
        <v>502</v>
      </c>
      <c r="D101" s="69"/>
      <c r="E101" s="69">
        <v>7.65</v>
      </c>
      <c r="F101" s="69">
        <f>0.15+0.15+0.15</f>
        <v>0.44999999999999996</v>
      </c>
      <c r="G101" s="70">
        <v>0.3</v>
      </c>
      <c r="H101" s="70">
        <f>G101*F101*E101</f>
        <v>1.0327499999999998</v>
      </c>
    </row>
    <row r="102" spans="2:8" x14ac:dyDescent="0.3">
      <c r="B102" s="84" t="s">
        <v>508</v>
      </c>
      <c r="C102" s="68" t="s">
        <v>503</v>
      </c>
      <c r="D102" s="69"/>
      <c r="E102" s="69">
        <v>3.75</v>
      </c>
      <c r="F102" s="69">
        <f>0.15+0.15+0.15</f>
        <v>0.44999999999999996</v>
      </c>
      <c r="G102" s="70">
        <v>0.3</v>
      </c>
      <c r="H102" s="70">
        <f t="shared" ref="H102:H103" si="5">G102*F102*E102</f>
        <v>0.50624999999999998</v>
      </c>
    </row>
    <row r="103" spans="2:8" x14ac:dyDescent="0.3">
      <c r="B103" s="84" t="s">
        <v>509</v>
      </c>
      <c r="C103" s="68" t="s">
        <v>504</v>
      </c>
      <c r="D103" s="69"/>
      <c r="E103" s="69">
        <v>3.75</v>
      </c>
      <c r="F103" s="69">
        <f>0.15+0.15+0.15</f>
        <v>0.44999999999999996</v>
      </c>
      <c r="G103" s="70">
        <v>0.3</v>
      </c>
      <c r="H103" s="70">
        <f t="shared" si="5"/>
        <v>0.50624999999999998</v>
      </c>
    </row>
    <row r="104" spans="2:8" x14ac:dyDescent="0.3">
      <c r="B104" s="424" t="s">
        <v>9</v>
      </c>
      <c r="C104" s="424"/>
      <c r="D104" s="424"/>
      <c r="E104" s="424"/>
      <c r="F104" s="424"/>
      <c r="G104" s="424"/>
      <c r="H104" s="67">
        <f>SUM(H101:H103)</f>
        <v>2.0452499999999998</v>
      </c>
    </row>
    <row r="105" spans="2:8" x14ac:dyDescent="0.3">
      <c r="B105" s="59" t="s">
        <v>501</v>
      </c>
      <c r="C105" s="72" t="s">
        <v>348</v>
      </c>
      <c r="D105" s="71" t="s">
        <v>180</v>
      </c>
      <c r="E105" s="417" t="s">
        <v>303</v>
      </c>
      <c r="F105" s="417"/>
      <c r="G105" s="59" t="s">
        <v>346</v>
      </c>
      <c r="H105" s="52" t="s">
        <v>262</v>
      </c>
    </row>
    <row r="106" spans="2:8" x14ac:dyDescent="0.3">
      <c r="B106" s="59" t="s">
        <v>510</v>
      </c>
      <c r="C106" s="72" t="s">
        <v>441</v>
      </c>
      <c r="D106" s="71"/>
      <c r="E106" s="434">
        <f>3.14*0.125*0.125*3</f>
        <v>0.1471875</v>
      </c>
      <c r="F106" s="434"/>
      <c r="G106" s="64">
        <v>3</v>
      </c>
      <c r="H106" s="64">
        <f>G106*E106+0.1*G106*E106</f>
        <v>0.48571874999999998</v>
      </c>
    </row>
    <row r="107" spans="2:8" x14ac:dyDescent="0.3">
      <c r="B107" s="424" t="s">
        <v>9</v>
      </c>
      <c r="C107" s="424"/>
      <c r="D107" s="424"/>
      <c r="E107" s="424"/>
      <c r="F107" s="424"/>
      <c r="G107" s="424"/>
      <c r="H107" s="67">
        <f>SUM(H105:H106)</f>
        <v>0.48571874999999998</v>
      </c>
    </row>
    <row r="108" spans="2:8" x14ac:dyDescent="0.3">
      <c r="B108" s="59" t="s">
        <v>506</v>
      </c>
      <c r="C108" s="72" t="s">
        <v>569</v>
      </c>
      <c r="D108" s="71" t="s">
        <v>21</v>
      </c>
      <c r="E108" s="425" t="s">
        <v>98</v>
      </c>
      <c r="F108" s="426"/>
      <c r="G108" s="59" t="s">
        <v>210</v>
      </c>
      <c r="H108" s="64" t="s">
        <v>100</v>
      </c>
    </row>
    <row r="109" spans="2:8" x14ac:dyDescent="0.3">
      <c r="B109" s="59" t="s">
        <v>704</v>
      </c>
      <c r="C109" s="68" t="s">
        <v>430</v>
      </c>
      <c r="D109" s="436"/>
      <c r="E109" s="437"/>
      <c r="F109" s="437"/>
      <c r="G109" s="437"/>
      <c r="H109" s="438"/>
    </row>
    <row r="110" spans="2:8" x14ac:dyDescent="0.3">
      <c r="B110" s="59"/>
      <c r="C110" s="68" t="s">
        <v>571</v>
      </c>
      <c r="D110" s="73"/>
      <c r="E110" s="425">
        <v>7.65</v>
      </c>
      <c r="F110" s="426"/>
      <c r="G110" s="59">
        <v>0.15</v>
      </c>
      <c r="H110" s="64">
        <f>G110*E110</f>
        <v>1.1475</v>
      </c>
    </row>
    <row r="111" spans="2:8" x14ac:dyDescent="0.3">
      <c r="B111" s="59"/>
      <c r="C111" s="68" t="s">
        <v>572</v>
      </c>
      <c r="D111" s="73"/>
      <c r="E111" s="425">
        <v>7.65</v>
      </c>
      <c r="F111" s="426"/>
      <c r="G111" s="59">
        <v>0.15</v>
      </c>
      <c r="H111" s="64">
        <f>G111*E111</f>
        <v>1.1475</v>
      </c>
    </row>
    <row r="112" spans="2:8" x14ac:dyDescent="0.3">
      <c r="B112" s="439" t="s">
        <v>55</v>
      </c>
      <c r="C112" s="439"/>
      <c r="D112" s="439"/>
      <c r="E112" s="439"/>
      <c r="F112" s="439"/>
      <c r="G112" s="439"/>
      <c r="H112" s="87">
        <f>H111+H110</f>
        <v>2.2949999999999999</v>
      </c>
    </row>
    <row r="113" spans="2:8" x14ac:dyDescent="0.3">
      <c r="B113" s="59" t="s">
        <v>511</v>
      </c>
      <c r="C113" s="68" t="s">
        <v>507</v>
      </c>
      <c r="D113" s="436"/>
      <c r="E113" s="437"/>
      <c r="F113" s="437"/>
      <c r="G113" s="437"/>
      <c r="H113" s="438"/>
    </row>
    <row r="114" spans="2:8" x14ac:dyDescent="0.3">
      <c r="B114" s="59" t="s">
        <v>705</v>
      </c>
      <c r="C114" s="68" t="s">
        <v>571</v>
      </c>
      <c r="D114" s="73"/>
      <c r="E114" s="425">
        <v>3.75</v>
      </c>
      <c r="F114" s="426"/>
      <c r="G114" s="59">
        <v>0.15</v>
      </c>
      <c r="H114" s="64">
        <f>G114*E114</f>
        <v>0.5625</v>
      </c>
    </row>
    <row r="115" spans="2:8" x14ac:dyDescent="0.3">
      <c r="B115" s="59"/>
      <c r="C115" s="68" t="s">
        <v>572</v>
      </c>
      <c r="D115" s="73"/>
      <c r="E115" s="425">
        <v>3.75</v>
      </c>
      <c r="F115" s="426"/>
      <c r="G115" s="59">
        <v>0.15</v>
      </c>
      <c r="H115" s="64">
        <f>G115*E115</f>
        <v>0.5625</v>
      </c>
    </row>
    <row r="116" spans="2:8" x14ac:dyDescent="0.3">
      <c r="B116" s="439" t="s">
        <v>55</v>
      </c>
      <c r="C116" s="439"/>
      <c r="D116" s="439"/>
      <c r="E116" s="439"/>
      <c r="F116" s="439"/>
      <c r="G116" s="439"/>
      <c r="H116" s="87">
        <f>H115+H114</f>
        <v>1.125</v>
      </c>
    </row>
    <row r="117" spans="2:8" x14ac:dyDescent="0.3">
      <c r="B117" s="59" t="s">
        <v>512</v>
      </c>
      <c r="C117" s="68" t="s">
        <v>432</v>
      </c>
      <c r="D117" s="436"/>
      <c r="E117" s="437"/>
      <c r="F117" s="437"/>
      <c r="G117" s="437"/>
      <c r="H117" s="438"/>
    </row>
    <row r="118" spans="2:8" x14ac:dyDescent="0.3">
      <c r="B118" s="59" t="s">
        <v>706</v>
      </c>
      <c r="C118" s="68" t="s">
        <v>571</v>
      </c>
      <c r="D118" s="73"/>
      <c r="E118" s="425">
        <v>3.75</v>
      </c>
      <c r="F118" s="426"/>
      <c r="G118" s="59">
        <v>0.15</v>
      </c>
      <c r="H118" s="64">
        <f>G118*E118</f>
        <v>0.5625</v>
      </c>
    </row>
    <row r="119" spans="2:8" x14ac:dyDescent="0.3">
      <c r="B119" s="59"/>
      <c r="C119" s="68" t="s">
        <v>572</v>
      </c>
      <c r="D119" s="73"/>
      <c r="E119" s="425">
        <v>3.75</v>
      </c>
      <c r="F119" s="426"/>
      <c r="G119" s="59">
        <v>0.15</v>
      </c>
      <c r="H119" s="64">
        <f>G119*E119</f>
        <v>0.5625</v>
      </c>
    </row>
    <row r="120" spans="2:8" x14ac:dyDescent="0.3">
      <c r="B120" s="439" t="s">
        <v>55</v>
      </c>
      <c r="C120" s="439"/>
      <c r="D120" s="439"/>
      <c r="E120" s="439"/>
      <c r="F120" s="439"/>
      <c r="G120" s="439"/>
      <c r="H120" s="87">
        <f>H119+H118</f>
        <v>1.125</v>
      </c>
    </row>
    <row r="121" spans="2:8" x14ac:dyDescent="0.3">
      <c r="B121" s="424" t="s">
        <v>9</v>
      </c>
      <c r="C121" s="424"/>
      <c r="D121" s="424"/>
      <c r="E121" s="424"/>
      <c r="F121" s="424"/>
      <c r="G121" s="424"/>
      <c r="H121" s="67">
        <f>H112+H116+H120</f>
        <v>4.5449999999999999</v>
      </c>
    </row>
    <row r="122" spans="2:8" x14ac:dyDescent="0.3">
      <c r="B122" s="59" t="s">
        <v>570</v>
      </c>
      <c r="C122" s="72" t="s">
        <v>505</v>
      </c>
      <c r="D122" s="71" t="s">
        <v>21</v>
      </c>
      <c r="E122" s="425" t="s">
        <v>98</v>
      </c>
      <c r="F122" s="426"/>
      <c r="G122" s="59" t="s">
        <v>210</v>
      </c>
      <c r="H122" s="64" t="s">
        <v>100</v>
      </c>
    </row>
    <row r="123" spans="2:8" x14ac:dyDescent="0.3">
      <c r="B123" s="59" t="s">
        <v>573</v>
      </c>
      <c r="C123" s="68" t="s">
        <v>430</v>
      </c>
      <c r="D123" s="73"/>
      <c r="E123" s="425">
        <v>7.65</v>
      </c>
      <c r="F123" s="426"/>
      <c r="G123" s="59">
        <v>0.15</v>
      </c>
      <c r="H123" s="64">
        <f>G123*E123</f>
        <v>1.1475</v>
      </c>
    </row>
    <row r="124" spans="2:8" x14ac:dyDescent="0.3">
      <c r="B124" s="59" t="s">
        <v>707</v>
      </c>
      <c r="C124" s="68" t="s">
        <v>507</v>
      </c>
      <c r="D124" s="73"/>
      <c r="E124" s="425">
        <v>3.75</v>
      </c>
      <c r="F124" s="426"/>
      <c r="G124" s="59">
        <v>0.15</v>
      </c>
      <c r="H124" s="64">
        <f t="shared" ref="H124:H125" si="6">G124*E124</f>
        <v>0.5625</v>
      </c>
    </row>
    <row r="125" spans="2:8" x14ac:dyDescent="0.3">
      <c r="B125" s="59" t="s">
        <v>574</v>
      </c>
      <c r="C125" s="68" t="s">
        <v>432</v>
      </c>
      <c r="D125" s="73"/>
      <c r="E125" s="425">
        <v>3.75</v>
      </c>
      <c r="F125" s="426"/>
      <c r="G125" s="59">
        <v>0.15</v>
      </c>
      <c r="H125" s="64">
        <f t="shared" si="6"/>
        <v>0.5625</v>
      </c>
    </row>
    <row r="126" spans="2:8" ht="17.25" thickBot="1" x14ac:dyDescent="0.35">
      <c r="B126" s="424" t="s">
        <v>9</v>
      </c>
      <c r="C126" s="424"/>
      <c r="D126" s="424"/>
      <c r="E126" s="424"/>
      <c r="F126" s="424"/>
      <c r="G126" s="424"/>
      <c r="H126" s="67">
        <f>SUM(H123:H125)</f>
        <v>2.2725</v>
      </c>
    </row>
    <row r="127" spans="2:8" ht="17.25" thickBot="1" x14ac:dyDescent="0.3">
      <c r="B127" s="440" t="s">
        <v>349</v>
      </c>
      <c r="C127" s="441"/>
      <c r="D127" s="441"/>
      <c r="E127" s="441"/>
      <c r="F127" s="441"/>
      <c r="G127" s="441"/>
      <c r="H127" s="442"/>
    </row>
    <row r="128" spans="2:8" x14ac:dyDescent="0.3">
      <c r="B128" s="156" t="s">
        <v>708</v>
      </c>
      <c r="C128" s="139" t="s">
        <v>350</v>
      </c>
      <c r="D128" s="84"/>
      <c r="E128" s="431" t="s">
        <v>346</v>
      </c>
      <c r="F128" s="432"/>
      <c r="G128" s="55" t="s">
        <v>99</v>
      </c>
      <c r="H128" s="55" t="s">
        <v>9</v>
      </c>
    </row>
    <row r="129" spans="2:8" x14ac:dyDescent="0.3">
      <c r="B129" s="59" t="s">
        <v>35</v>
      </c>
      <c r="C129" s="72" t="s">
        <v>351</v>
      </c>
      <c r="D129" s="59" t="s">
        <v>280</v>
      </c>
      <c r="E129" s="427">
        <v>3</v>
      </c>
      <c r="F129" s="428"/>
      <c r="G129" s="64">
        <v>5</v>
      </c>
      <c r="H129" s="64">
        <f>G129*E129</f>
        <v>15</v>
      </c>
    </row>
    <row r="130" spans="2:8" x14ac:dyDescent="0.3">
      <c r="B130" s="424" t="s">
        <v>9</v>
      </c>
      <c r="C130" s="424"/>
      <c r="D130" s="424"/>
      <c r="E130" s="424"/>
      <c r="F130" s="424"/>
      <c r="G130" s="424"/>
      <c r="H130" s="67">
        <f>SUM(H129)</f>
        <v>15</v>
      </c>
    </row>
    <row r="131" spans="2:8" x14ac:dyDescent="0.3">
      <c r="B131" s="59" t="s">
        <v>36</v>
      </c>
      <c r="C131" s="72" t="s">
        <v>352</v>
      </c>
      <c r="D131" s="71" t="s">
        <v>180</v>
      </c>
      <c r="E131" s="417" t="s">
        <v>303</v>
      </c>
      <c r="F131" s="417"/>
      <c r="G131" s="59" t="s">
        <v>346</v>
      </c>
      <c r="H131" s="52" t="s">
        <v>262</v>
      </c>
    </row>
    <row r="132" spans="2:8" x14ac:dyDescent="0.3">
      <c r="B132" s="59" t="s">
        <v>513</v>
      </c>
      <c r="C132" s="72" t="s">
        <v>347</v>
      </c>
      <c r="D132" s="71"/>
      <c r="E132" s="430">
        <f>0.5*0.5*3</f>
        <v>0.75</v>
      </c>
      <c r="F132" s="417"/>
      <c r="G132" s="59">
        <v>0.5</v>
      </c>
      <c r="H132" s="64">
        <f>G132*E132+0.1*G132*E132</f>
        <v>0.41249999999999998</v>
      </c>
    </row>
    <row r="133" spans="2:8" x14ac:dyDescent="0.3">
      <c r="B133" s="411" t="s">
        <v>9</v>
      </c>
      <c r="C133" s="411"/>
      <c r="D133" s="411"/>
      <c r="E133" s="411"/>
      <c r="F133" s="411"/>
      <c r="G133" s="411"/>
      <c r="H133" s="51">
        <f>SUM(H132)</f>
        <v>0.41249999999999998</v>
      </c>
    </row>
    <row r="134" spans="2:8" x14ac:dyDescent="0.3">
      <c r="B134" s="74" t="s">
        <v>44</v>
      </c>
      <c r="C134" s="146" t="s">
        <v>353</v>
      </c>
      <c r="D134" s="147" t="s">
        <v>21</v>
      </c>
      <c r="E134" s="75" t="s">
        <v>98</v>
      </c>
      <c r="F134" s="74" t="s">
        <v>210</v>
      </c>
      <c r="G134" s="74" t="s">
        <v>99</v>
      </c>
      <c r="H134" s="76" t="s">
        <v>100</v>
      </c>
    </row>
    <row r="135" spans="2:8" x14ac:dyDescent="0.3">
      <c r="B135" s="76" t="s">
        <v>514</v>
      </c>
      <c r="C135" s="77" t="s">
        <v>354</v>
      </c>
      <c r="D135" s="76"/>
      <c r="E135" s="76">
        <v>0.5</v>
      </c>
      <c r="F135" s="76">
        <v>0.5</v>
      </c>
      <c r="G135" s="76">
        <v>3</v>
      </c>
      <c r="H135" s="76">
        <f>G135*F135*E135</f>
        <v>0.75</v>
      </c>
    </row>
    <row r="136" spans="2:8" x14ac:dyDescent="0.3">
      <c r="B136" s="424" t="s">
        <v>9</v>
      </c>
      <c r="C136" s="424"/>
      <c r="D136" s="424"/>
      <c r="E136" s="424"/>
      <c r="F136" s="424"/>
      <c r="G136" s="424"/>
      <c r="H136" s="67">
        <f>SUM(H135)</f>
        <v>0.75</v>
      </c>
    </row>
    <row r="137" spans="2:8" ht="33" x14ac:dyDescent="0.3">
      <c r="B137" s="59" t="s">
        <v>709</v>
      </c>
      <c r="C137" s="72" t="s">
        <v>423</v>
      </c>
      <c r="D137" s="148" t="s">
        <v>180</v>
      </c>
      <c r="E137" s="59" t="s">
        <v>98</v>
      </c>
      <c r="F137" s="59" t="s">
        <v>210</v>
      </c>
      <c r="G137" s="59" t="s">
        <v>167</v>
      </c>
      <c r="H137" s="64" t="s">
        <v>262</v>
      </c>
    </row>
    <row r="138" spans="2:8" x14ac:dyDescent="0.3">
      <c r="B138" s="59" t="s">
        <v>515</v>
      </c>
      <c r="C138" s="78" t="s">
        <v>430</v>
      </c>
      <c r="D138" s="59"/>
      <c r="E138" s="59">
        <v>7.65</v>
      </c>
      <c r="F138" s="59">
        <v>0.15</v>
      </c>
      <c r="G138" s="64">
        <v>0.3</v>
      </c>
      <c r="H138" s="64">
        <f>G138*F138*E138</f>
        <v>0.34425</v>
      </c>
    </row>
    <row r="139" spans="2:8" x14ac:dyDescent="0.3">
      <c r="B139" s="59" t="s">
        <v>517</v>
      </c>
      <c r="C139" s="78" t="s">
        <v>431</v>
      </c>
      <c r="D139" s="59"/>
      <c r="E139" s="59">
        <v>3.75</v>
      </c>
      <c r="F139" s="59">
        <v>0.15</v>
      </c>
      <c r="G139" s="64">
        <v>0.3</v>
      </c>
      <c r="H139" s="64">
        <f t="shared" ref="H139:H142" si="7">G139*F139*E139</f>
        <v>0.16874999999999998</v>
      </c>
    </row>
    <row r="140" spans="2:8" x14ac:dyDescent="0.3">
      <c r="B140" s="59" t="s">
        <v>518</v>
      </c>
      <c r="C140" s="78" t="s">
        <v>432</v>
      </c>
      <c r="D140" s="59"/>
      <c r="E140" s="59">
        <v>3.75</v>
      </c>
      <c r="F140" s="59">
        <v>0.15</v>
      </c>
      <c r="G140" s="64">
        <v>0.3</v>
      </c>
      <c r="H140" s="64">
        <f t="shared" si="7"/>
        <v>0.16874999999999998</v>
      </c>
    </row>
    <row r="141" spans="2:8" x14ac:dyDescent="0.3">
      <c r="B141" s="59" t="s">
        <v>519</v>
      </c>
      <c r="C141" s="79" t="s">
        <v>439</v>
      </c>
      <c r="D141" s="74"/>
      <c r="E141" s="76">
        <v>0.5</v>
      </c>
      <c r="F141" s="76">
        <v>0.5</v>
      </c>
      <c r="G141" s="76">
        <v>0.5</v>
      </c>
      <c r="H141" s="64">
        <f t="shared" si="7"/>
        <v>0.125</v>
      </c>
    </row>
    <row r="142" spans="2:8" x14ac:dyDescent="0.3">
      <c r="B142" s="59" t="s">
        <v>516</v>
      </c>
      <c r="C142" s="79" t="s">
        <v>440</v>
      </c>
      <c r="D142" s="74"/>
      <c r="E142" s="76">
        <v>0.5</v>
      </c>
      <c r="F142" s="76">
        <v>0.5</v>
      </c>
      <c r="G142" s="76">
        <v>0.5</v>
      </c>
      <c r="H142" s="64">
        <f t="shared" si="7"/>
        <v>0.125</v>
      </c>
    </row>
    <row r="143" spans="2:8" x14ac:dyDescent="0.3">
      <c r="B143" s="59" t="s">
        <v>520</v>
      </c>
      <c r="C143" s="72" t="s">
        <v>441</v>
      </c>
      <c r="D143" s="71"/>
      <c r="E143" s="434">
        <f>3.14*0.125*0.125*3</f>
        <v>0.1471875</v>
      </c>
      <c r="F143" s="434"/>
      <c r="G143" s="64">
        <v>3</v>
      </c>
      <c r="H143" s="64">
        <f>G143*E143+0.1*G143*E143</f>
        <v>0.48571874999999998</v>
      </c>
    </row>
    <row r="144" spans="2:8" x14ac:dyDescent="0.3">
      <c r="B144" s="424" t="s">
        <v>9</v>
      </c>
      <c r="C144" s="424"/>
      <c r="D144" s="424"/>
      <c r="E144" s="424"/>
      <c r="F144" s="424"/>
      <c r="G144" s="424"/>
      <c r="H144" s="67">
        <f>SUM(H138:H143)</f>
        <v>1.4174687499999998</v>
      </c>
    </row>
    <row r="145" spans="2:8" x14ac:dyDescent="0.3">
      <c r="B145" s="59" t="s">
        <v>428</v>
      </c>
      <c r="C145" s="72" t="s">
        <v>426</v>
      </c>
      <c r="D145" s="148" t="s">
        <v>180</v>
      </c>
      <c r="E145" s="59" t="s">
        <v>98</v>
      </c>
      <c r="F145" s="59" t="s">
        <v>210</v>
      </c>
      <c r="G145" s="59" t="s">
        <v>167</v>
      </c>
      <c r="H145" s="64" t="s">
        <v>262</v>
      </c>
    </row>
    <row r="146" spans="2:8" x14ac:dyDescent="0.3">
      <c r="B146" s="59" t="s">
        <v>521</v>
      </c>
      <c r="C146" s="78" t="s">
        <v>430</v>
      </c>
      <c r="D146" s="59"/>
      <c r="E146" s="59">
        <v>7.65</v>
      </c>
      <c r="F146" s="59">
        <v>0.15</v>
      </c>
      <c r="G146" s="64">
        <v>0.3</v>
      </c>
      <c r="H146" s="64">
        <f>G146*F146*E146</f>
        <v>0.34425</v>
      </c>
    </row>
    <row r="147" spans="2:8" x14ac:dyDescent="0.3">
      <c r="B147" s="59" t="s">
        <v>710</v>
      </c>
      <c r="C147" s="78" t="s">
        <v>431</v>
      </c>
      <c r="D147" s="59"/>
      <c r="E147" s="59">
        <v>3.75</v>
      </c>
      <c r="F147" s="59">
        <v>0.15</v>
      </c>
      <c r="G147" s="64">
        <v>0.3</v>
      </c>
      <c r="H147" s="64">
        <f t="shared" ref="H147:H150" si="8">G147*F147*E147</f>
        <v>0.16874999999999998</v>
      </c>
    </row>
    <row r="148" spans="2:8" x14ac:dyDescent="0.3">
      <c r="B148" s="59" t="s">
        <v>523</v>
      </c>
      <c r="C148" s="78" t="s">
        <v>432</v>
      </c>
      <c r="D148" s="59"/>
      <c r="E148" s="59">
        <v>3.75</v>
      </c>
      <c r="F148" s="59">
        <v>0.15</v>
      </c>
      <c r="G148" s="64">
        <v>0.3</v>
      </c>
      <c r="H148" s="64">
        <f t="shared" si="8"/>
        <v>0.16874999999999998</v>
      </c>
    </row>
    <row r="149" spans="2:8" x14ac:dyDescent="0.3">
      <c r="B149" s="59" t="s">
        <v>524</v>
      </c>
      <c r="C149" s="79" t="s">
        <v>439</v>
      </c>
      <c r="D149" s="74"/>
      <c r="E149" s="76">
        <v>0.5</v>
      </c>
      <c r="F149" s="76">
        <v>0.5</v>
      </c>
      <c r="G149" s="76">
        <v>0.5</v>
      </c>
      <c r="H149" s="64">
        <f t="shared" si="8"/>
        <v>0.125</v>
      </c>
    </row>
    <row r="150" spans="2:8" x14ac:dyDescent="0.3">
      <c r="B150" s="59" t="s">
        <v>522</v>
      </c>
      <c r="C150" s="79" t="s">
        <v>440</v>
      </c>
      <c r="D150" s="74"/>
      <c r="E150" s="76">
        <v>0.5</v>
      </c>
      <c r="F150" s="76">
        <v>0.5</v>
      </c>
      <c r="G150" s="76">
        <v>0.5</v>
      </c>
      <c r="H150" s="64">
        <f t="shared" si="8"/>
        <v>0.125</v>
      </c>
    </row>
    <row r="151" spans="2:8" x14ac:dyDescent="0.3">
      <c r="B151" s="59" t="s">
        <v>525</v>
      </c>
      <c r="C151" s="72" t="s">
        <v>441</v>
      </c>
      <c r="D151" s="71"/>
      <c r="E151" s="434">
        <f>3.14*0.125*0.125*3</f>
        <v>0.1471875</v>
      </c>
      <c r="F151" s="434"/>
      <c r="G151" s="64">
        <v>3</v>
      </c>
      <c r="H151" s="64">
        <f>G151*E151+0.1*G151*E151</f>
        <v>0.48571874999999998</v>
      </c>
    </row>
    <row r="152" spans="2:8" x14ac:dyDescent="0.3">
      <c r="B152" s="424" t="s">
        <v>9</v>
      </c>
      <c r="C152" s="424"/>
      <c r="D152" s="424"/>
      <c r="E152" s="424"/>
      <c r="F152" s="424"/>
      <c r="G152" s="424"/>
      <c r="H152" s="67">
        <f>SUM(H146:H151)</f>
        <v>1.4174687499999998</v>
      </c>
    </row>
    <row r="153" spans="2:8" x14ac:dyDescent="0.3">
      <c r="B153" s="59" t="s">
        <v>429</v>
      </c>
      <c r="C153" s="72" t="s">
        <v>424</v>
      </c>
      <c r="D153" s="148" t="s">
        <v>425</v>
      </c>
      <c r="E153" s="64" t="s">
        <v>99</v>
      </c>
      <c r="F153" s="59" t="s">
        <v>98</v>
      </c>
      <c r="G153" s="59" t="s">
        <v>459</v>
      </c>
      <c r="H153" s="64" t="s">
        <v>460</v>
      </c>
    </row>
    <row r="154" spans="2:8" x14ac:dyDescent="0.3">
      <c r="B154" s="59" t="s">
        <v>526</v>
      </c>
      <c r="C154" s="78" t="s">
        <v>430</v>
      </c>
      <c r="D154" s="59"/>
      <c r="E154" s="64">
        <v>4</v>
      </c>
      <c r="F154" s="59">
        <v>7.65</v>
      </c>
      <c r="G154" s="59">
        <v>0.39500000000000002</v>
      </c>
      <c r="H154" s="64">
        <f>G154*F154*E154</f>
        <v>12.087000000000002</v>
      </c>
    </row>
    <row r="155" spans="2:8" x14ac:dyDescent="0.3">
      <c r="B155" s="59" t="s">
        <v>527</v>
      </c>
      <c r="C155" s="78" t="s">
        <v>431</v>
      </c>
      <c r="D155" s="59"/>
      <c r="E155" s="64">
        <v>4</v>
      </c>
      <c r="F155" s="59">
        <v>3.75</v>
      </c>
      <c r="G155" s="59">
        <v>0.39500000000000002</v>
      </c>
      <c r="H155" s="64">
        <f t="shared" ref="H155:H161" si="9">G155*F155*E155</f>
        <v>5.9250000000000007</v>
      </c>
    </row>
    <row r="156" spans="2:8" x14ac:dyDescent="0.3">
      <c r="B156" s="59" t="s">
        <v>528</v>
      </c>
      <c r="C156" s="78" t="s">
        <v>432</v>
      </c>
      <c r="D156" s="59"/>
      <c r="E156" s="64">
        <v>4</v>
      </c>
      <c r="F156" s="59">
        <v>3.75</v>
      </c>
      <c r="G156" s="59">
        <v>0.39500000000000002</v>
      </c>
      <c r="H156" s="64">
        <f t="shared" si="9"/>
        <v>5.9250000000000007</v>
      </c>
    </row>
    <row r="157" spans="2:8" x14ac:dyDescent="0.3">
      <c r="B157" s="59" t="s">
        <v>529</v>
      </c>
      <c r="C157" s="79" t="s">
        <v>439</v>
      </c>
      <c r="D157" s="74"/>
      <c r="E157" s="76">
        <v>3</v>
      </c>
      <c r="F157" s="74">
        <v>1.87</v>
      </c>
      <c r="G157" s="59">
        <v>0.39500000000000002</v>
      </c>
      <c r="H157" s="64">
        <f t="shared" si="9"/>
        <v>2.2159500000000003</v>
      </c>
    </row>
    <row r="158" spans="2:8" x14ac:dyDescent="0.3">
      <c r="B158" s="59" t="s">
        <v>530</v>
      </c>
      <c r="C158" s="79" t="s">
        <v>440</v>
      </c>
      <c r="D158" s="74"/>
      <c r="E158" s="76">
        <v>3</v>
      </c>
      <c r="F158" s="74">
        <v>1.87</v>
      </c>
      <c r="G158" s="59">
        <v>0.39500000000000002</v>
      </c>
      <c r="H158" s="64">
        <f t="shared" si="9"/>
        <v>2.2159500000000003</v>
      </c>
    </row>
    <row r="159" spans="2:8" x14ac:dyDescent="0.3">
      <c r="B159" s="59" t="s">
        <v>531</v>
      </c>
      <c r="C159" s="79" t="s">
        <v>439</v>
      </c>
      <c r="D159" s="74"/>
      <c r="E159" s="76">
        <v>3</v>
      </c>
      <c r="F159" s="74">
        <v>1.83</v>
      </c>
      <c r="G159" s="59">
        <v>0.39500000000000002</v>
      </c>
      <c r="H159" s="64">
        <f t="shared" si="9"/>
        <v>2.1685500000000002</v>
      </c>
    </row>
    <row r="160" spans="2:8" x14ac:dyDescent="0.3">
      <c r="B160" s="59" t="s">
        <v>532</v>
      </c>
      <c r="C160" s="79" t="s">
        <v>440</v>
      </c>
      <c r="D160" s="74"/>
      <c r="E160" s="76">
        <v>3</v>
      </c>
      <c r="F160" s="74">
        <v>1.83</v>
      </c>
      <c r="G160" s="59">
        <v>0.39500000000000002</v>
      </c>
      <c r="H160" s="64">
        <f t="shared" si="9"/>
        <v>2.1685500000000002</v>
      </c>
    </row>
    <row r="161" spans="2:8" x14ac:dyDescent="0.3">
      <c r="B161" s="59" t="s">
        <v>533</v>
      </c>
      <c r="C161" s="79" t="s">
        <v>442</v>
      </c>
      <c r="D161" s="74"/>
      <c r="E161" s="76">
        <f>4+4+4</f>
        <v>12</v>
      </c>
      <c r="F161" s="76">
        <v>2.5</v>
      </c>
      <c r="G161" s="59">
        <v>0.39500000000000002</v>
      </c>
      <c r="H161" s="64">
        <f t="shared" si="9"/>
        <v>11.850000000000001</v>
      </c>
    </row>
    <row r="162" spans="2:8" x14ac:dyDescent="0.3">
      <c r="B162" s="424" t="s">
        <v>9</v>
      </c>
      <c r="C162" s="424"/>
      <c r="D162" s="424"/>
      <c r="E162" s="424"/>
      <c r="F162" s="424"/>
      <c r="G162" s="424"/>
      <c r="H162" s="67">
        <f>SUM(H154:H161)</f>
        <v>44.556000000000004</v>
      </c>
    </row>
    <row r="163" spans="2:8" x14ac:dyDescent="0.3">
      <c r="B163" s="59" t="s">
        <v>449</v>
      </c>
      <c r="C163" s="72" t="s">
        <v>433</v>
      </c>
      <c r="D163" s="148" t="s">
        <v>425</v>
      </c>
      <c r="E163" s="64" t="s">
        <v>99</v>
      </c>
      <c r="F163" s="59" t="s">
        <v>98</v>
      </c>
      <c r="G163" s="59" t="s">
        <v>459</v>
      </c>
      <c r="H163" s="64" t="s">
        <v>460</v>
      </c>
    </row>
    <row r="164" spans="2:8" x14ac:dyDescent="0.3">
      <c r="B164" s="59" t="s">
        <v>534</v>
      </c>
      <c r="C164" s="78" t="s">
        <v>430</v>
      </c>
      <c r="D164" s="59"/>
      <c r="E164" s="59">
        <v>51</v>
      </c>
      <c r="F164" s="59">
        <v>0.85</v>
      </c>
      <c r="G164" s="59">
        <v>0.109</v>
      </c>
      <c r="H164" s="64">
        <f>G164*F164*E164</f>
        <v>4.7251500000000002</v>
      </c>
    </row>
    <row r="165" spans="2:8" x14ac:dyDescent="0.3">
      <c r="B165" s="59" t="s">
        <v>535</v>
      </c>
      <c r="C165" s="78" t="s">
        <v>431</v>
      </c>
      <c r="D165" s="59"/>
      <c r="E165" s="59">
        <v>25</v>
      </c>
      <c r="F165" s="59">
        <v>0.85</v>
      </c>
      <c r="G165" s="59">
        <v>0.109</v>
      </c>
      <c r="H165" s="64">
        <f t="shared" ref="H165:H167" si="10">G165*F165*E165</f>
        <v>2.3162499999999997</v>
      </c>
    </row>
    <row r="166" spans="2:8" x14ac:dyDescent="0.3">
      <c r="B166" s="59" t="s">
        <v>536</v>
      </c>
      <c r="C166" s="78" t="s">
        <v>432</v>
      </c>
      <c r="D166" s="59"/>
      <c r="E166" s="59">
        <v>25</v>
      </c>
      <c r="F166" s="59">
        <v>0.85</v>
      </c>
      <c r="G166" s="59">
        <v>0.109</v>
      </c>
      <c r="H166" s="64">
        <f t="shared" si="10"/>
        <v>2.3162499999999997</v>
      </c>
    </row>
    <row r="167" spans="2:8" x14ac:dyDescent="0.3">
      <c r="B167" s="59" t="s">
        <v>537</v>
      </c>
      <c r="C167" s="79" t="s">
        <v>442</v>
      </c>
      <c r="D167" s="74"/>
      <c r="E167" s="76">
        <f>17+17+17</f>
        <v>51</v>
      </c>
      <c r="F167" s="76">
        <v>0.75</v>
      </c>
      <c r="G167" s="59">
        <v>0.39500000000000002</v>
      </c>
      <c r="H167" s="64">
        <f t="shared" si="10"/>
        <v>15.108750000000001</v>
      </c>
    </row>
    <row r="168" spans="2:8" ht="17.25" thickBot="1" x14ac:dyDescent="0.35">
      <c r="B168" s="424" t="s">
        <v>9</v>
      </c>
      <c r="C168" s="424"/>
      <c r="D168" s="424"/>
      <c r="E168" s="424"/>
      <c r="F168" s="424"/>
      <c r="G168" s="424"/>
      <c r="H168" s="67">
        <f>SUM(H164:H167)</f>
        <v>24.4664</v>
      </c>
    </row>
    <row r="169" spans="2:8" ht="17.25" thickBot="1" x14ac:dyDescent="0.3">
      <c r="B169" s="440" t="s">
        <v>355</v>
      </c>
      <c r="C169" s="441"/>
      <c r="D169" s="441"/>
      <c r="E169" s="441"/>
      <c r="F169" s="441"/>
      <c r="G169" s="441"/>
      <c r="H169" s="442"/>
    </row>
    <row r="170" spans="2:8" x14ac:dyDescent="0.3">
      <c r="B170" s="156" t="s">
        <v>698</v>
      </c>
      <c r="C170" s="139" t="s">
        <v>356</v>
      </c>
      <c r="D170" s="149"/>
      <c r="E170" s="80"/>
      <c r="F170" s="80"/>
      <c r="G170" s="80"/>
      <c r="H170" s="80"/>
    </row>
    <row r="171" spans="2:8" x14ac:dyDescent="0.3">
      <c r="B171" s="59" t="s">
        <v>41</v>
      </c>
      <c r="C171" s="72" t="s">
        <v>357</v>
      </c>
      <c r="D171" s="71" t="s">
        <v>180</v>
      </c>
      <c r="E171" s="59" t="s">
        <v>98</v>
      </c>
      <c r="F171" s="59" t="s">
        <v>210</v>
      </c>
      <c r="G171" s="59" t="s">
        <v>167</v>
      </c>
      <c r="H171" s="56" t="s">
        <v>262</v>
      </c>
    </row>
    <row r="172" spans="2:8" x14ac:dyDescent="0.3">
      <c r="B172" s="59" t="s">
        <v>538</v>
      </c>
      <c r="C172" s="56" t="s">
        <v>434</v>
      </c>
      <c r="D172" s="59"/>
      <c r="E172" s="64">
        <f>3.6*2</f>
        <v>7.2</v>
      </c>
      <c r="F172" s="64">
        <v>0.1</v>
      </c>
      <c r="G172" s="64">
        <v>0.15</v>
      </c>
      <c r="H172" s="64">
        <f>G172*F172*E172</f>
        <v>0.108</v>
      </c>
    </row>
    <row r="173" spans="2:8" x14ac:dyDescent="0.3">
      <c r="B173" s="59" t="s">
        <v>539</v>
      </c>
      <c r="C173" s="56" t="s">
        <v>435</v>
      </c>
      <c r="D173" s="59"/>
      <c r="E173" s="64">
        <f>3.6*2</f>
        <v>7.2</v>
      </c>
      <c r="F173" s="64">
        <v>0.1</v>
      </c>
      <c r="G173" s="64">
        <v>0.15</v>
      </c>
      <c r="H173" s="64">
        <f>G173*F173*E173</f>
        <v>0.108</v>
      </c>
    </row>
    <row r="174" spans="2:8" x14ac:dyDescent="0.3">
      <c r="B174" s="59" t="s">
        <v>540</v>
      </c>
      <c r="C174" s="56" t="s">
        <v>436</v>
      </c>
      <c r="D174" s="59"/>
      <c r="E174" s="64">
        <f>0.8+0.1+0.1</f>
        <v>1</v>
      </c>
      <c r="F174" s="64">
        <v>0.1</v>
      </c>
      <c r="G174" s="64">
        <v>0.15</v>
      </c>
      <c r="H174" s="64">
        <f>G174*F174*E174</f>
        <v>1.4999999999999999E-2</v>
      </c>
    </row>
    <row r="175" spans="2:8" x14ac:dyDescent="0.3">
      <c r="B175" s="411" t="s">
        <v>9</v>
      </c>
      <c r="C175" s="411"/>
      <c r="D175" s="411"/>
      <c r="E175" s="411"/>
      <c r="F175" s="411"/>
      <c r="G175" s="411"/>
      <c r="H175" s="51">
        <f>SUM(H172:H174)</f>
        <v>0.23099999999999998</v>
      </c>
    </row>
    <row r="176" spans="2:8" x14ac:dyDescent="0.3">
      <c r="B176" s="59" t="s">
        <v>318</v>
      </c>
      <c r="C176" s="72" t="s">
        <v>437</v>
      </c>
      <c r="D176" s="71" t="s">
        <v>21</v>
      </c>
      <c r="E176" s="75" t="s">
        <v>98</v>
      </c>
      <c r="F176" s="59" t="s">
        <v>210</v>
      </c>
      <c r="G176" s="59" t="s">
        <v>99</v>
      </c>
      <c r="H176" s="59" t="s">
        <v>100</v>
      </c>
    </row>
    <row r="177" spans="2:8" x14ac:dyDescent="0.3">
      <c r="B177" s="59" t="s">
        <v>541</v>
      </c>
      <c r="C177" s="78" t="s">
        <v>430</v>
      </c>
      <c r="D177" s="59"/>
      <c r="E177" s="59">
        <v>7.65</v>
      </c>
      <c r="F177" s="64">
        <v>0.3</v>
      </c>
      <c r="G177" s="64">
        <v>2</v>
      </c>
      <c r="H177" s="59">
        <f>G177*F177*E177</f>
        <v>4.59</v>
      </c>
    </row>
    <row r="178" spans="2:8" x14ac:dyDescent="0.3">
      <c r="B178" s="59" t="s">
        <v>542</v>
      </c>
      <c r="C178" s="78" t="s">
        <v>431</v>
      </c>
      <c r="D178" s="59"/>
      <c r="E178" s="59">
        <v>3.75</v>
      </c>
      <c r="F178" s="64">
        <v>0.3</v>
      </c>
      <c r="G178" s="64">
        <v>2</v>
      </c>
      <c r="H178" s="59">
        <f t="shared" ref="H178:H179" si="11">G178*F178*E178</f>
        <v>2.25</v>
      </c>
    </row>
    <row r="179" spans="2:8" x14ac:dyDescent="0.3">
      <c r="B179" s="59" t="s">
        <v>543</v>
      </c>
      <c r="C179" s="78" t="s">
        <v>432</v>
      </c>
      <c r="D179" s="59"/>
      <c r="E179" s="59">
        <v>3.75</v>
      </c>
      <c r="F179" s="64">
        <v>0.3</v>
      </c>
      <c r="G179" s="64">
        <v>2</v>
      </c>
      <c r="H179" s="59">
        <f t="shared" si="11"/>
        <v>2.25</v>
      </c>
    </row>
    <row r="180" spans="2:8" x14ac:dyDescent="0.3">
      <c r="B180" s="411" t="s">
        <v>9</v>
      </c>
      <c r="C180" s="411"/>
      <c r="D180" s="411"/>
      <c r="E180" s="411"/>
      <c r="F180" s="411"/>
      <c r="G180" s="411"/>
      <c r="H180" s="51">
        <f>SUM(H177:H179)</f>
        <v>9.09</v>
      </c>
    </row>
    <row r="181" spans="2:8" x14ac:dyDescent="0.3">
      <c r="B181" s="59" t="s">
        <v>319</v>
      </c>
      <c r="C181" s="72" t="s">
        <v>438</v>
      </c>
      <c r="D181" s="71" t="s">
        <v>21</v>
      </c>
      <c r="E181" s="75" t="s">
        <v>98</v>
      </c>
      <c r="F181" s="59" t="s">
        <v>210</v>
      </c>
      <c r="G181" s="59" t="s">
        <v>99</v>
      </c>
      <c r="H181" s="59" t="s">
        <v>100</v>
      </c>
    </row>
    <row r="182" spans="2:8" x14ac:dyDescent="0.3">
      <c r="B182" s="59" t="s">
        <v>544</v>
      </c>
      <c r="C182" s="56" t="s">
        <v>453</v>
      </c>
      <c r="D182" s="59"/>
      <c r="E182" s="64">
        <v>7.65</v>
      </c>
      <c r="F182" s="64">
        <v>0.3</v>
      </c>
      <c r="G182" s="64">
        <v>2</v>
      </c>
      <c r="H182" s="64">
        <f>G182*F182*E182</f>
        <v>4.59</v>
      </c>
    </row>
    <row r="183" spans="2:8" x14ac:dyDescent="0.3">
      <c r="B183" s="59" t="s">
        <v>545</v>
      </c>
      <c r="C183" s="56" t="s">
        <v>453</v>
      </c>
      <c r="D183" s="59"/>
      <c r="E183" s="64">
        <v>7.65</v>
      </c>
      <c r="F183" s="64">
        <v>0.1</v>
      </c>
      <c r="G183" s="64">
        <v>1</v>
      </c>
      <c r="H183" s="64">
        <f t="shared" ref="H183:H193" si="12">G183*F183*E183</f>
        <v>0.76500000000000012</v>
      </c>
    </row>
    <row r="184" spans="2:8" x14ac:dyDescent="0.3">
      <c r="B184" s="59" t="s">
        <v>546</v>
      </c>
      <c r="C184" s="56" t="s">
        <v>454</v>
      </c>
      <c r="D184" s="59"/>
      <c r="E184" s="64">
        <v>3.75</v>
      </c>
      <c r="F184" s="64">
        <v>0.3</v>
      </c>
      <c r="G184" s="64">
        <v>2</v>
      </c>
      <c r="H184" s="64">
        <f t="shared" si="12"/>
        <v>2.25</v>
      </c>
    </row>
    <row r="185" spans="2:8" x14ac:dyDescent="0.3">
      <c r="B185" s="59" t="s">
        <v>547</v>
      </c>
      <c r="C185" s="56" t="s">
        <v>454</v>
      </c>
      <c r="D185" s="74"/>
      <c r="E185" s="64">
        <v>3.75</v>
      </c>
      <c r="F185" s="76">
        <v>0.1</v>
      </c>
      <c r="G185" s="76">
        <v>1</v>
      </c>
      <c r="H185" s="64">
        <f t="shared" si="12"/>
        <v>0.375</v>
      </c>
    </row>
    <row r="186" spans="2:8" x14ac:dyDescent="0.3">
      <c r="B186" s="59" t="s">
        <v>548</v>
      </c>
      <c r="C186" s="81" t="s">
        <v>455</v>
      </c>
      <c r="D186" s="74"/>
      <c r="E186" s="76">
        <v>3.75</v>
      </c>
      <c r="F186" s="76">
        <v>0.3</v>
      </c>
      <c r="G186" s="76">
        <v>2</v>
      </c>
      <c r="H186" s="64">
        <f t="shared" si="12"/>
        <v>2.25</v>
      </c>
    </row>
    <row r="187" spans="2:8" x14ac:dyDescent="0.3">
      <c r="B187" s="59" t="s">
        <v>549</v>
      </c>
      <c r="C187" s="81" t="s">
        <v>455</v>
      </c>
      <c r="D187" s="74"/>
      <c r="E187" s="76">
        <v>3.75</v>
      </c>
      <c r="F187" s="76">
        <v>0.1</v>
      </c>
      <c r="G187" s="76">
        <v>1</v>
      </c>
      <c r="H187" s="64">
        <f t="shared" si="12"/>
        <v>0.375</v>
      </c>
    </row>
    <row r="188" spans="2:8" x14ac:dyDescent="0.3">
      <c r="B188" s="59" t="s">
        <v>550</v>
      </c>
      <c r="C188" s="56" t="s">
        <v>456</v>
      </c>
      <c r="D188" s="59"/>
      <c r="E188" s="64">
        <v>3</v>
      </c>
      <c r="F188" s="64">
        <v>0.3</v>
      </c>
      <c r="G188" s="64">
        <v>2</v>
      </c>
      <c r="H188" s="64">
        <f t="shared" si="12"/>
        <v>1.7999999999999998</v>
      </c>
    </row>
    <row r="189" spans="2:8" x14ac:dyDescent="0.3">
      <c r="B189" s="59" t="s">
        <v>551</v>
      </c>
      <c r="C189" s="56" t="s">
        <v>456</v>
      </c>
      <c r="D189" s="59"/>
      <c r="E189" s="64">
        <v>3</v>
      </c>
      <c r="F189" s="64">
        <v>0.1</v>
      </c>
      <c r="G189" s="64">
        <v>2</v>
      </c>
      <c r="H189" s="64">
        <f t="shared" si="12"/>
        <v>0.60000000000000009</v>
      </c>
    </row>
    <row r="190" spans="2:8" x14ac:dyDescent="0.3">
      <c r="B190" s="59" t="s">
        <v>552</v>
      </c>
      <c r="C190" s="56" t="s">
        <v>457</v>
      </c>
      <c r="D190" s="59"/>
      <c r="E190" s="64">
        <v>3</v>
      </c>
      <c r="F190" s="64">
        <v>0.3</v>
      </c>
      <c r="G190" s="64">
        <v>2</v>
      </c>
      <c r="H190" s="64">
        <f t="shared" si="12"/>
        <v>1.7999999999999998</v>
      </c>
    </row>
    <row r="191" spans="2:8" x14ac:dyDescent="0.3">
      <c r="B191" s="59" t="s">
        <v>553</v>
      </c>
      <c r="C191" s="56" t="s">
        <v>457</v>
      </c>
      <c r="D191" s="74"/>
      <c r="E191" s="76">
        <v>3</v>
      </c>
      <c r="F191" s="76">
        <v>0.1</v>
      </c>
      <c r="G191" s="76">
        <v>2</v>
      </c>
      <c r="H191" s="64">
        <f t="shared" si="12"/>
        <v>0.60000000000000009</v>
      </c>
    </row>
    <row r="192" spans="2:8" x14ac:dyDescent="0.3">
      <c r="B192" s="59" t="s">
        <v>554</v>
      </c>
      <c r="C192" s="81" t="s">
        <v>458</v>
      </c>
      <c r="D192" s="74"/>
      <c r="E192" s="76">
        <v>3</v>
      </c>
      <c r="F192" s="76">
        <v>0.3</v>
      </c>
      <c r="G192" s="76">
        <v>2</v>
      </c>
      <c r="H192" s="64">
        <f t="shared" si="12"/>
        <v>1.7999999999999998</v>
      </c>
    </row>
    <row r="193" spans="2:8" x14ac:dyDescent="0.3">
      <c r="B193" s="59" t="s">
        <v>555</v>
      </c>
      <c r="C193" s="81" t="s">
        <v>458</v>
      </c>
      <c r="D193" s="59"/>
      <c r="E193" s="64">
        <v>3</v>
      </c>
      <c r="F193" s="64">
        <v>0.1</v>
      </c>
      <c r="G193" s="64">
        <v>2</v>
      </c>
      <c r="H193" s="64">
        <f t="shared" si="12"/>
        <v>0.60000000000000009</v>
      </c>
    </row>
    <row r="194" spans="2:8" x14ac:dyDescent="0.3">
      <c r="B194" s="411" t="s">
        <v>9</v>
      </c>
      <c r="C194" s="411"/>
      <c r="D194" s="411"/>
      <c r="E194" s="411"/>
      <c r="F194" s="411"/>
      <c r="G194" s="411"/>
      <c r="H194" s="51">
        <f>SUM(H182:H193)</f>
        <v>17.805</v>
      </c>
    </row>
    <row r="195" spans="2:8" x14ac:dyDescent="0.3">
      <c r="B195" s="59" t="s">
        <v>320</v>
      </c>
      <c r="C195" s="72" t="s">
        <v>556</v>
      </c>
      <c r="D195" s="71" t="s">
        <v>21</v>
      </c>
      <c r="E195" s="75" t="s">
        <v>98</v>
      </c>
      <c r="F195" s="59" t="s">
        <v>210</v>
      </c>
      <c r="G195" s="59" t="s">
        <v>99</v>
      </c>
      <c r="H195" s="59" t="s">
        <v>100</v>
      </c>
    </row>
    <row r="196" spans="2:8" x14ac:dyDescent="0.3">
      <c r="B196" s="59" t="s">
        <v>581</v>
      </c>
      <c r="C196" s="78" t="s">
        <v>558</v>
      </c>
      <c r="D196" s="82"/>
      <c r="E196" s="55">
        <f>(0.5+0.5+0.5+0.5)*3</f>
        <v>6</v>
      </c>
      <c r="F196" s="64">
        <v>0.5</v>
      </c>
      <c r="G196" s="64">
        <v>3</v>
      </c>
      <c r="H196" s="64">
        <f>G196*F196*E196</f>
        <v>9</v>
      </c>
    </row>
    <row r="197" spans="2:8" x14ac:dyDescent="0.3">
      <c r="B197" s="411" t="s">
        <v>9</v>
      </c>
      <c r="C197" s="411"/>
      <c r="D197" s="411"/>
      <c r="E197" s="411"/>
      <c r="F197" s="411"/>
      <c r="G197" s="411"/>
      <c r="H197" s="51">
        <f>SUM(H196)</f>
        <v>9</v>
      </c>
    </row>
    <row r="198" spans="2:8" x14ac:dyDescent="0.3">
      <c r="B198" s="59" t="s">
        <v>447</v>
      </c>
      <c r="C198" s="72" t="s">
        <v>445</v>
      </c>
      <c r="D198" s="71" t="s">
        <v>444</v>
      </c>
      <c r="E198" s="55" t="s">
        <v>99</v>
      </c>
      <c r="F198" s="59" t="s">
        <v>98</v>
      </c>
      <c r="G198" s="59" t="s">
        <v>459</v>
      </c>
      <c r="H198" s="64" t="s">
        <v>460</v>
      </c>
    </row>
    <row r="199" spans="2:8" x14ac:dyDescent="0.3">
      <c r="B199" s="59" t="s">
        <v>582</v>
      </c>
      <c r="C199" s="78" t="s">
        <v>453</v>
      </c>
      <c r="D199" s="59"/>
      <c r="E199" s="64">
        <v>4</v>
      </c>
      <c r="F199" s="59">
        <v>7.65</v>
      </c>
      <c r="G199" s="59">
        <v>0.39500000000000002</v>
      </c>
      <c r="H199" s="64">
        <f>G199*F199*E199</f>
        <v>12.087000000000002</v>
      </c>
    </row>
    <row r="200" spans="2:8" x14ac:dyDescent="0.3">
      <c r="B200" s="59" t="s">
        <v>583</v>
      </c>
      <c r="C200" s="78" t="s">
        <v>454</v>
      </c>
      <c r="D200" s="59"/>
      <c r="E200" s="64">
        <v>4</v>
      </c>
      <c r="F200" s="59">
        <v>3.75</v>
      </c>
      <c r="G200" s="59">
        <v>0.39500000000000002</v>
      </c>
      <c r="H200" s="64">
        <f t="shared" ref="H200:H201" si="13">G200*F200*E200</f>
        <v>5.9250000000000007</v>
      </c>
    </row>
    <row r="201" spans="2:8" x14ac:dyDescent="0.3">
      <c r="B201" s="59" t="s">
        <v>584</v>
      </c>
      <c r="C201" s="78" t="s">
        <v>455</v>
      </c>
      <c r="D201" s="59"/>
      <c r="E201" s="64">
        <v>4</v>
      </c>
      <c r="F201" s="59">
        <v>3.75</v>
      </c>
      <c r="G201" s="59">
        <v>0.39500000000000002</v>
      </c>
      <c r="H201" s="64">
        <f t="shared" si="13"/>
        <v>5.9250000000000007</v>
      </c>
    </row>
    <row r="202" spans="2:8" x14ac:dyDescent="0.3">
      <c r="B202" s="411" t="s">
        <v>9</v>
      </c>
      <c r="C202" s="411"/>
      <c r="D202" s="411"/>
      <c r="E202" s="411"/>
      <c r="F202" s="411"/>
      <c r="G202" s="411"/>
      <c r="H202" s="51">
        <f>SUM(H199:H201)</f>
        <v>23.937000000000001</v>
      </c>
    </row>
    <row r="203" spans="2:8" x14ac:dyDescent="0.3">
      <c r="B203" s="59" t="s">
        <v>448</v>
      </c>
      <c r="C203" s="72" t="s">
        <v>443</v>
      </c>
      <c r="D203" s="71" t="s">
        <v>444</v>
      </c>
      <c r="E203" s="55" t="s">
        <v>99</v>
      </c>
      <c r="F203" s="59" t="s">
        <v>98</v>
      </c>
      <c r="G203" s="59" t="s">
        <v>459</v>
      </c>
      <c r="H203" s="64" t="s">
        <v>460</v>
      </c>
    </row>
    <row r="204" spans="2:8" x14ac:dyDescent="0.3">
      <c r="B204" s="59" t="s">
        <v>585</v>
      </c>
      <c r="C204" s="56" t="s">
        <v>456</v>
      </c>
      <c r="D204" s="59"/>
      <c r="E204" s="64">
        <v>4</v>
      </c>
      <c r="F204" s="64">
        <v>3</v>
      </c>
      <c r="G204" s="83">
        <v>0.61699999999999999</v>
      </c>
      <c r="H204" s="64">
        <f>G204*F204*E204</f>
        <v>7.4039999999999999</v>
      </c>
    </row>
    <row r="205" spans="2:8" x14ac:dyDescent="0.3">
      <c r="B205" s="59" t="s">
        <v>586</v>
      </c>
      <c r="C205" s="56" t="s">
        <v>457</v>
      </c>
      <c r="D205" s="59"/>
      <c r="E205" s="64">
        <v>4</v>
      </c>
      <c r="F205" s="64">
        <v>3</v>
      </c>
      <c r="G205" s="83">
        <v>0.61699999999999999</v>
      </c>
      <c r="H205" s="64">
        <f t="shared" ref="H205:H206" si="14">G205*F205*E205</f>
        <v>7.4039999999999999</v>
      </c>
    </row>
    <row r="206" spans="2:8" x14ac:dyDescent="0.3">
      <c r="B206" s="59" t="s">
        <v>587</v>
      </c>
      <c r="C206" s="81" t="s">
        <v>458</v>
      </c>
      <c r="D206" s="74"/>
      <c r="E206" s="76">
        <v>4</v>
      </c>
      <c r="F206" s="76">
        <v>3</v>
      </c>
      <c r="G206" s="83">
        <v>0.61699999999999999</v>
      </c>
      <c r="H206" s="64">
        <f t="shared" si="14"/>
        <v>7.4039999999999999</v>
      </c>
    </row>
    <row r="207" spans="2:8" x14ac:dyDescent="0.3">
      <c r="B207" s="411" t="s">
        <v>9</v>
      </c>
      <c r="C207" s="411"/>
      <c r="D207" s="411"/>
      <c r="E207" s="411"/>
      <c r="F207" s="411"/>
      <c r="G207" s="411"/>
      <c r="H207" s="51">
        <f>SUM(H204:H206)</f>
        <v>22.212</v>
      </c>
    </row>
    <row r="208" spans="2:8" x14ac:dyDescent="0.3">
      <c r="B208" s="74" t="s">
        <v>451</v>
      </c>
      <c r="C208" s="72" t="s">
        <v>446</v>
      </c>
      <c r="D208" s="71" t="s">
        <v>444</v>
      </c>
      <c r="E208" s="55" t="s">
        <v>99</v>
      </c>
      <c r="F208" s="59" t="s">
        <v>98</v>
      </c>
      <c r="G208" s="59" t="s">
        <v>459</v>
      </c>
      <c r="H208" s="64" t="s">
        <v>460</v>
      </c>
    </row>
    <row r="209" spans="2:8" x14ac:dyDescent="0.3">
      <c r="B209" s="59" t="s">
        <v>588</v>
      </c>
      <c r="C209" s="78" t="s">
        <v>453</v>
      </c>
      <c r="D209" s="59"/>
      <c r="E209" s="64">
        <v>51</v>
      </c>
      <c r="F209" s="64">
        <v>0.75</v>
      </c>
      <c r="G209" s="59">
        <v>0.109</v>
      </c>
      <c r="H209" s="64">
        <f>G209*F209*E209</f>
        <v>4.1692499999999999</v>
      </c>
    </row>
    <row r="210" spans="2:8" x14ac:dyDescent="0.3">
      <c r="B210" s="59" t="s">
        <v>589</v>
      </c>
      <c r="C210" s="78" t="s">
        <v>454</v>
      </c>
      <c r="D210" s="59"/>
      <c r="E210" s="64">
        <v>25</v>
      </c>
      <c r="F210" s="64">
        <v>0.75</v>
      </c>
      <c r="G210" s="59">
        <v>0.109</v>
      </c>
      <c r="H210" s="64">
        <f t="shared" ref="H210:H214" si="15">G210*F210*E210</f>
        <v>2.0437500000000002</v>
      </c>
    </row>
    <row r="211" spans="2:8" x14ac:dyDescent="0.3">
      <c r="B211" s="59" t="s">
        <v>590</v>
      </c>
      <c r="C211" s="78" t="s">
        <v>455</v>
      </c>
      <c r="D211" s="74"/>
      <c r="E211" s="76">
        <v>25</v>
      </c>
      <c r="F211" s="76">
        <v>0.75</v>
      </c>
      <c r="G211" s="59">
        <v>0.109</v>
      </c>
      <c r="H211" s="64">
        <f t="shared" si="15"/>
        <v>2.0437500000000002</v>
      </c>
    </row>
    <row r="212" spans="2:8" x14ac:dyDescent="0.3">
      <c r="B212" s="59" t="s">
        <v>591</v>
      </c>
      <c r="C212" s="56" t="s">
        <v>456</v>
      </c>
      <c r="D212" s="59"/>
      <c r="E212" s="64">
        <v>20</v>
      </c>
      <c r="F212" s="64">
        <v>0.75</v>
      </c>
      <c r="G212" s="59">
        <v>0.109</v>
      </c>
      <c r="H212" s="64">
        <f t="shared" si="15"/>
        <v>1.635</v>
      </c>
    </row>
    <row r="213" spans="2:8" x14ac:dyDescent="0.3">
      <c r="B213" s="59" t="s">
        <v>592</v>
      </c>
      <c r="C213" s="56" t="s">
        <v>457</v>
      </c>
      <c r="D213" s="59"/>
      <c r="E213" s="64">
        <v>20</v>
      </c>
      <c r="F213" s="64">
        <v>0.75</v>
      </c>
      <c r="G213" s="59">
        <v>0.109</v>
      </c>
      <c r="H213" s="64">
        <f t="shared" si="15"/>
        <v>1.635</v>
      </c>
    </row>
    <row r="214" spans="2:8" x14ac:dyDescent="0.3">
      <c r="B214" s="59" t="s">
        <v>593</v>
      </c>
      <c r="C214" s="81" t="s">
        <v>458</v>
      </c>
      <c r="D214" s="74"/>
      <c r="E214" s="76">
        <v>20</v>
      </c>
      <c r="F214" s="64">
        <v>0.75</v>
      </c>
      <c r="G214" s="59">
        <v>0.109</v>
      </c>
      <c r="H214" s="64">
        <f t="shared" si="15"/>
        <v>1.635</v>
      </c>
    </row>
    <row r="215" spans="2:8" x14ac:dyDescent="0.3">
      <c r="B215" s="411" t="s">
        <v>9</v>
      </c>
      <c r="C215" s="411"/>
      <c r="D215" s="411"/>
      <c r="E215" s="411"/>
      <c r="F215" s="411"/>
      <c r="G215" s="411"/>
      <c r="H215" s="51">
        <f>SUM(H209:H214)</f>
        <v>13.16175</v>
      </c>
    </row>
    <row r="216" spans="2:8" ht="33" x14ac:dyDescent="0.3">
      <c r="B216" s="59" t="s">
        <v>452</v>
      </c>
      <c r="C216" s="72" t="s">
        <v>423</v>
      </c>
      <c r="D216" s="71" t="s">
        <v>180</v>
      </c>
      <c r="E216" s="59" t="s">
        <v>98</v>
      </c>
      <c r="F216" s="59" t="s">
        <v>210</v>
      </c>
      <c r="G216" s="59" t="s">
        <v>167</v>
      </c>
      <c r="H216" s="56" t="s">
        <v>262</v>
      </c>
    </row>
    <row r="217" spans="2:8" x14ac:dyDescent="0.3">
      <c r="B217" s="59" t="s">
        <v>594</v>
      </c>
      <c r="C217" s="78" t="s">
        <v>453</v>
      </c>
      <c r="D217" s="59"/>
      <c r="E217" s="64">
        <v>7.65</v>
      </c>
      <c r="F217" s="64">
        <v>0.1</v>
      </c>
      <c r="G217" s="64">
        <v>0.3</v>
      </c>
      <c r="H217" s="64">
        <f>G217*F217*E217</f>
        <v>0.22950000000000001</v>
      </c>
    </row>
    <row r="218" spans="2:8" x14ac:dyDescent="0.3">
      <c r="B218" s="59" t="s">
        <v>595</v>
      </c>
      <c r="C218" s="78" t="s">
        <v>454</v>
      </c>
      <c r="D218" s="59"/>
      <c r="E218" s="64">
        <v>3.75</v>
      </c>
      <c r="F218" s="64">
        <v>0.1</v>
      </c>
      <c r="G218" s="64">
        <v>0.3</v>
      </c>
      <c r="H218" s="64">
        <f t="shared" ref="H218:H222" si="16">G218*F218*E218</f>
        <v>0.11249999999999999</v>
      </c>
    </row>
    <row r="219" spans="2:8" x14ac:dyDescent="0.3">
      <c r="B219" s="59" t="s">
        <v>596</v>
      </c>
      <c r="C219" s="78" t="s">
        <v>455</v>
      </c>
      <c r="D219" s="74"/>
      <c r="E219" s="76">
        <v>3.75</v>
      </c>
      <c r="F219" s="76">
        <v>0.1</v>
      </c>
      <c r="G219" s="64">
        <v>0.3</v>
      </c>
      <c r="H219" s="64">
        <f t="shared" si="16"/>
        <v>0.11249999999999999</v>
      </c>
    </row>
    <row r="220" spans="2:8" x14ac:dyDescent="0.3">
      <c r="B220" s="59" t="s">
        <v>597</v>
      </c>
      <c r="C220" s="56" t="s">
        <v>456</v>
      </c>
      <c r="D220" s="59"/>
      <c r="E220" s="64">
        <v>3</v>
      </c>
      <c r="F220" s="64">
        <v>0.1</v>
      </c>
      <c r="G220" s="64">
        <v>0.3</v>
      </c>
      <c r="H220" s="64">
        <f t="shared" si="16"/>
        <v>0.09</v>
      </c>
    </row>
    <row r="221" spans="2:8" x14ac:dyDescent="0.3">
      <c r="B221" s="59" t="s">
        <v>598</v>
      </c>
      <c r="C221" s="56" t="s">
        <v>457</v>
      </c>
      <c r="D221" s="59"/>
      <c r="E221" s="64">
        <v>3</v>
      </c>
      <c r="F221" s="64">
        <v>0.1</v>
      </c>
      <c r="G221" s="64">
        <v>0.3</v>
      </c>
      <c r="H221" s="64">
        <f t="shared" si="16"/>
        <v>0.09</v>
      </c>
    </row>
    <row r="222" spans="2:8" x14ac:dyDescent="0.3">
      <c r="B222" s="59" t="s">
        <v>599</v>
      </c>
      <c r="C222" s="81" t="s">
        <v>458</v>
      </c>
      <c r="D222" s="74"/>
      <c r="E222" s="76">
        <v>3</v>
      </c>
      <c r="F222" s="76">
        <v>0.1</v>
      </c>
      <c r="G222" s="64">
        <v>0.3</v>
      </c>
      <c r="H222" s="64">
        <f t="shared" si="16"/>
        <v>0.09</v>
      </c>
    </row>
    <row r="223" spans="2:8" x14ac:dyDescent="0.3">
      <c r="B223" s="411" t="s">
        <v>9</v>
      </c>
      <c r="C223" s="411"/>
      <c r="D223" s="411"/>
      <c r="E223" s="411"/>
      <c r="F223" s="411"/>
      <c r="G223" s="411"/>
      <c r="H223" s="51">
        <f>SUM(H217:H222)</f>
        <v>0.72449999999999992</v>
      </c>
    </row>
    <row r="224" spans="2:8" ht="33" x14ac:dyDescent="0.3">
      <c r="B224" s="59" t="s">
        <v>557</v>
      </c>
      <c r="C224" s="72" t="s">
        <v>450</v>
      </c>
      <c r="D224" s="71" t="s">
        <v>180</v>
      </c>
      <c r="E224" s="59" t="s">
        <v>98</v>
      </c>
      <c r="F224" s="59" t="s">
        <v>210</v>
      </c>
      <c r="G224" s="59" t="s">
        <v>167</v>
      </c>
      <c r="H224" s="56" t="s">
        <v>262</v>
      </c>
    </row>
    <row r="225" spans="2:8" x14ac:dyDescent="0.3">
      <c r="B225" s="59" t="s">
        <v>600</v>
      </c>
      <c r="C225" s="78" t="s">
        <v>453</v>
      </c>
      <c r="D225" s="59"/>
      <c r="E225" s="64">
        <v>7.65</v>
      </c>
      <c r="F225" s="64">
        <v>0.1</v>
      </c>
      <c r="G225" s="64">
        <v>0.3</v>
      </c>
      <c r="H225" s="64">
        <f>G225*F225*E225</f>
        <v>0.22950000000000001</v>
      </c>
    </row>
    <row r="226" spans="2:8" x14ac:dyDescent="0.3">
      <c r="B226" s="59" t="s">
        <v>601</v>
      </c>
      <c r="C226" s="78" t="s">
        <v>454</v>
      </c>
      <c r="D226" s="59"/>
      <c r="E226" s="64">
        <v>3.75</v>
      </c>
      <c r="F226" s="64">
        <v>0.1</v>
      </c>
      <c r="G226" s="64">
        <v>0.3</v>
      </c>
      <c r="H226" s="64">
        <f t="shared" ref="H226:H230" si="17">G226*F226*E226</f>
        <v>0.11249999999999999</v>
      </c>
    </row>
    <row r="227" spans="2:8" x14ac:dyDescent="0.3">
      <c r="B227" s="59" t="s">
        <v>602</v>
      </c>
      <c r="C227" s="78" t="s">
        <v>455</v>
      </c>
      <c r="D227" s="74"/>
      <c r="E227" s="76">
        <v>3.75</v>
      </c>
      <c r="F227" s="76">
        <v>0.1</v>
      </c>
      <c r="G227" s="64">
        <v>0.3</v>
      </c>
      <c r="H227" s="64">
        <f t="shared" si="17"/>
        <v>0.11249999999999999</v>
      </c>
    </row>
    <row r="228" spans="2:8" x14ac:dyDescent="0.3">
      <c r="B228" s="59" t="s">
        <v>603</v>
      </c>
      <c r="C228" s="56" t="s">
        <v>456</v>
      </c>
      <c r="D228" s="59"/>
      <c r="E228" s="64">
        <v>3</v>
      </c>
      <c r="F228" s="64">
        <v>0.1</v>
      </c>
      <c r="G228" s="64">
        <v>0.3</v>
      </c>
      <c r="H228" s="64">
        <f t="shared" si="17"/>
        <v>0.09</v>
      </c>
    </row>
    <row r="229" spans="2:8" x14ac:dyDescent="0.3">
      <c r="B229" s="59" t="s">
        <v>604</v>
      </c>
      <c r="C229" s="56" t="s">
        <v>457</v>
      </c>
      <c r="D229" s="59"/>
      <c r="E229" s="64">
        <v>3</v>
      </c>
      <c r="F229" s="64">
        <v>0.1</v>
      </c>
      <c r="G229" s="64">
        <v>0.3</v>
      </c>
      <c r="H229" s="64">
        <f t="shared" si="17"/>
        <v>0.09</v>
      </c>
    </row>
    <row r="230" spans="2:8" x14ac:dyDescent="0.3">
      <c r="B230" s="59" t="s">
        <v>605</v>
      </c>
      <c r="C230" s="81" t="s">
        <v>458</v>
      </c>
      <c r="D230" s="74"/>
      <c r="E230" s="76">
        <v>3</v>
      </c>
      <c r="F230" s="76">
        <v>0.1</v>
      </c>
      <c r="G230" s="64">
        <v>0.3</v>
      </c>
      <c r="H230" s="64">
        <f t="shared" si="17"/>
        <v>0.09</v>
      </c>
    </row>
    <row r="231" spans="2:8" ht="17.25" thickBot="1" x14ac:dyDescent="0.35">
      <c r="B231" s="411" t="s">
        <v>9</v>
      </c>
      <c r="C231" s="411"/>
      <c r="D231" s="411"/>
      <c r="E231" s="411"/>
      <c r="F231" s="411"/>
      <c r="G231" s="411"/>
      <c r="H231" s="51">
        <f>SUM(H225:H230)</f>
        <v>0.72449999999999992</v>
      </c>
    </row>
    <row r="232" spans="2:8" ht="17.25" thickBot="1" x14ac:dyDescent="0.3">
      <c r="B232" s="467" t="s">
        <v>12</v>
      </c>
      <c r="C232" s="468"/>
      <c r="D232" s="468"/>
      <c r="E232" s="468"/>
      <c r="F232" s="468"/>
      <c r="G232" s="468"/>
      <c r="H232" s="469"/>
    </row>
    <row r="233" spans="2:8" x14ac:dyDescent="0.3">
      <c r="B233" s="156" t="s">
        <v>606</v>
      </c>
      <c r="C233" s="160" t="s">
        <v>278</v>
      </c>
      <c r="D233" s="445"/>
      <c r="E233" s="445"/>
      <c r="F233" s="445"/>
      <c r="G233" s="445"/>
      <c r="H233" s="445"/>
    </row>
    <row r="234" spans="2:8" x14ac:dyDescent="0.3">
      <c r="B234" s="59" t="s">
        <v>251</v>
      </c>
      <c r="C234" s="145" t="s">
        <v>279</v>
      </c>
      <c r="D234" s="58" t="s">
        <v>280</v>
      </c>
      <c r="E234" s="417"/>
      <c r="F234" s="417"/>
      <c r="G234" s="417"/>
      <c r="H234" s="417"/>
    </row>
    <row r="235" spans="2:8" x14ac:dyDescent="0.3">
      <c r="B235" s="59" t="s">
        <v>608</v>
      </c>
      <c r="C235" s="145" t="s">
        <v>287</v>
      </c>
      <c r="D235" s="58"/>
      <c r="E235" s="430" t="s">
        <v>561</v>
      </c>
      <c r="F235" s="430"/>
      <c r="G235" s="430"/>
      <c r="H235" s="430"/>
    </row>
    <row r="236" spans="2:8" s="4" customFormat="1" x14ac:dyDescent="0.3">
      <c r="B236" s="411" t="s">
        <v>9</v>
      </c>
      <c r="C236" s="411"/>
      <c r="D236" s="411"/>
      <c r="E236" s="411"/>
      <c r="F236" s="411"/>
      <c r="G236" s="411"/>
      <c r="H236" s="51">
        <f>1.85+1.15+1.4+1.15+1.25+1.35+1.65</f>
        <v>9.8000000000000007</v>
      </c>
    </row>
    <row r="237" spans="2:8" x14ac:dyDescent="0.3">
      <c r="B237" s="59" t="s">
        <v>359</v>
      </c>
      <c r="C237" s="57" t="s">
        <v>281</v>
      </c>
      <c r="D237" s="58" t="s">
        <v>280</v>
      </c>
      <c r="E237" s="417"/>
      <c r="F237" s="417"/>
      <c r="G237" s="417"/>
      <c r="H237" s="417"/>
    </row>
    <row r="238" spans="2:8" ht="26.25" customHeight="1" x14ac:dyDescent="0.3">
      <c r="B238" s="59" t="s">
        <v>609</v>
      </c>
      <c r="C238" s="145" t="s">
        <v>287</v>
      </c>
      <c r="D238" s="58"/>
      <c r="E238" s="496" t="s">
        <v>560</v>
      </c>
      <c r="F238" s="496"/>
      <c r="G238" s="496"/>
      <c r="H238" s="496"/>
    </row>
    <row r="239" spans="2:8" x14ac:dyDescent="0.3">
      <c r="B239" s="411" t="s">
        <v>9</v>
      </c>
      <c r="C239" s="411"/>
      <c r="D239" s="411"/>
      <c r="E239" s="411"/>
      <c r="F239" s="411"/>
      <c r="G239" s="411"/>
      <c r="H239" s="51">
        <f>3*1.85+3*1.15+3*1.4+5*1.15+5*1.25+3*1.35+3*1.65</f>
        <v>34.200000000000003</v>
      </c>
    </row>
    <row r="240" spans="2:8" x14ac:dyDescent="0.3">
      <c r="B240" s="59" t="s">
        <v>381</v>
      </c>
      <c r="C240" s="57" t="s">
        <v>282</v>
      </c>
      <c r="D240" s="71" t="s">
        <v>175</v>
      </c>
      <c r="E240" s="417"/>
      <c r="F240" s="417"/>
      <c r="G240" s="417"/>
      <c r="H240" s="417"/>
    </row>
    <row r="241" spans="2:8" x14ac:dyDescent="0.3">
      <c r="B241" s="59" t="s">
        <v>610</v>
      </c>
      <c r="C241" s="145" t="s">
        <v>287</v>
      </c>
      <c r="D241" s="71"/>
      <c r="E241" s="430">
        <v>1</v>
      </c>
      <c r="F241" s="430"/>
      <c r="G241" s="430"/>
      <c r="H241" s="430"/>
    </row>
    <row r="242" spans="2:8" x14ac:dyDescent="0.3">
      <c r="B242" s="411" t="s">
        <v>9</v>
      </c>
      <c r="C242" s="411"/>
      <c r="D242" s="411"/>
      <c r="E242" s="411"/>
      <c r="F242" s="411"/>
      <c r="G242" s="411"/>
      <c r="H242" s="51">
        <f>E241</f>
        <v>1</v>
      </c>
    </row>
    <row r="243" spans="2:8" x14ac:dyDescent="0.3">
      <c r="B243" s="59" t="s">
        <v>382</v>
      </c>
      <c r="C243" s="57" t="s">
        <v>283</v>
      </c>
      <c r="D243" s="71" t="s">
        <v>273</v>
      </c>
      <c r="E243" s="417"/>
      <c r="F243" s="417"/>
      <c r="G243" s="417"/>
      <c r="H243" s="417"/>
    </row>
    <row r="244" spans="2:8" x14ac:dyDescent="0.3">
      <c r="B244" s="59" t="s">
        <v>611</v>
      </c>
      <c r="C244" s="57" t="s">
        <v>288</v>
      </c>
      <c r="D244" s="71"/>
      <c r="E244" s="497">
        <v>15</v>
      </c>
      <c r="F244" s="497"/>
      <c r="G244" s="497"/>
      <c r="H244" s="497"/>
    </row>
    <row r="245" spans="2:8" x14ac:dyDescent="0.3">
      <c r="B245" s="411" t="s">
        <v>9</v>
      </c>
      <c r="C245" s="411"/>
      <c r="D245" s="411"/>
      <c r="E245" s="411"/>
      <c r="F245" s="411"/>
      <c r="G245" s="411"/>
      <c r="H245" s="51">
        <f>E244</f>
        <v>15</v>
      </c>
    </row>
    <row r="246" spans="2:8" x14ac:dyDescent="0.3">
      <c r="B246" s="59" t="s">
        <v>383</v>
      </c>
      <c r="C246" s="57" t="s">
        <v>284</v>
      </c>
      <c r="D246" s="58" t="s">
        <v>175</v>
      </c>
      <c r="E246" s="417"/>
      <c r="F246" s="417"/>
      <c r="G246" s="417"/>
      <c r="H246" s="417"/>
    </row>
    <row r="247" spans="2:8" s="4" customFormat="1" x14ac:dyDescent="0.3">
      <c r="B247" s="59" t="s">
        <v>612</v>
      </c>
      <c r="C247" s="57" t="s">
        <v>288</v>
      </c>
      <c r="D247" s="58"/>
      <c r="E247" s="430">
        <v>5</v>
      </c>
      <c r="F247" s="430"/>
      <c r="G247" s="430"/>
      <c r="H247" s="430"/>
    </row>
    <row r="248" spans="2:8" s="4" customFormat="1" x14ac:dyDescent="0.3">
      <c r="B248" s="411" t="s">
        <v>9</v>
      </c>
      <c r="C248" s="411"/>
      <c r="D248" s="411"/>
      <c r="E248" s="411"/>
      <c r="F248" s="411"/>
      <c r="G248" s="411"/>
      <c r="H248" s="51">
        <f>E247</f>
        <v>5</v>
      </c>
    </row>
    <row r="249" spans="2:8" s="4" customFormat="1" x14ac:dyDescent="0.3">
      <c r="B249" s="59" t="s">
        <v>613</v>
      </c>
      <c r="C249" s="57" t="s">
        <v>285</v>
      </c>
      <c r="D249" s="58" t="s">
        <v>273</v>
      </c>
      <c r="E249" s="417"/>
      <c r="F249" s="417"/>
      <c r="G249" s="417"/>
      <c r="H249" s="417"/>
    </row>
    <row r="250" spans="2:8" x14ac:dyDescent="0.3">
      <c r="B250" s="59" t="s">
        <v>607</v>
      </c>
      <c r="C250" s="145" t="s">
        <v>287</v>
      </c>
      <c r="D250" s="58"/>
      <c r="E250" s="430">
        <v>3</v>
      </c>
      <c r="F250" s="430"/>
      <c r="G250" s="430"/>
      <c r="H250" s="430"/>
    </row>
    <row r="251" spans="2:8" x14ac:dyDescent="0.3">
      <c r="B251" s="411" t="s">
        <v>9</v>
      </c>
      <c r="C251" s="411"/>
      <c r="D251" s="411"/>
      <c r="E251" s="411"/>
      <c r="F251" s="411"/>
      <c r="G251" s="411"/>
      <c r="H251" s="51">
        <f>E250</f>
        <v>3</v>
      </c>
    </row>
    <row r="252" spans="2:8" x14ac:dyDescent="0.3">
      <c r="B252" s="59" t="s">
        <v>385</v>
      </c>
      <c r="C252" s="57" t="s">
        <v>286</v>
      </c>
      <c r="D252" s="58" t="s">
        <v>175</v>
      </c>
      <c r="E252" s="417"/>
      <c r="F252" s="417"/>
      <c r="G252" s="417"/>
      <c r="H252" s="417"/>
    </row>
    <row r="253" spans="2:8" x14ac:dyDescent="0.3">
      <c r="B253" s="59" t="s">
        <v>614</v>
      </c>
      <c r="C253" s="145" t="s">
        <v>287</v>
      </c>
      <c r="D253" s="59"/>
      <c r="E253" s="430">
        <v>4</v>
      </c>
      <c r="F253" s="430"/>
      <c r="G253" s="430"/>
      <c r="H253" s="430"/>
    </row>
    <row r="254" spans="2:8" ht="17.25" thickBot="1" x14ac:dyDescent="0.35">
      <c r="B254" s="424" t="s">
        <v>9</v>
      </c>
      <c r="C254" s="424"/>
      <c r="D254" s="424"/>
      <c r="E254" s="424"/>
      <c r="F254" s="424"/>
      <c r="G254" s="424"/>
      <c r="H254" s="67">
        <f>E253</f>
        <v>4</v>
      </c>
    </row>
    <row r="255" spans="2:8" ht="17.25" thickBot="1" x14ac:dyDescent="0.3">
      <c r="B255" s="418" t="s">
        <v>43</v>
      </c>
      <c r="C255" s="419"/>
      <c r="D255" s="419"/>
      <c r="E255" s="419"/>
      <c r="F255" s="419"/>
      <c r="G255" s="419"/>
      <c r="H255" s="420"/>
    </row>
    <row r="256" spans="2:8" x14ac:dyDescent="0.3">
      <c r="B256" s="156" t="s">
        <v>699</v>
      </c>
      <c r="C256" s="139" t="s">
        <v>184</v>
      </c>
      <c r="D256" s="445"/>
      <c r="E256" s="445"/>
      <c r="F256" s="445"/>
      <c r="G256" s="445"/>
      <c r="H256" s="445"/>
    </row>
    <row r="257" spans="2:8" x14ac:dyDescent="0.3">
      <c r="B257" s="59" t="s">
        <v>252</v>
      </c>
      <c r="C257" s="72" t="s">
        <v>185</v>
      </c>
      <c r="D257" s="417"/>
      <c r="E257" s="417"/>
      <c r="F257" s="417"/>
      <c r="G257" s="417"/>
      <c r="H257" s="417"/>
    </row>
    <row r="258" spans="2:8" x14ac:dyDescent="0.3">
      <c r="B258" s="59" t="s">
        <v>253</v>
      </c>
      <c r="C258" s="72" t="s">
        <v>222</v>
      </c>
      <c r="D258" s="417"/>
      <c r="E258" s="417"/>
      <c r="F258" s="417"/>
      <c r="G258" s="417"/>
      <c r="H258" s="417"/>
    </row>
    <row r="259" spans="2:8" x14ac:dyDescent="0.3">
      <c r="B259" s="59" t="s">
        <v>254</v>
      </c>
      <c r="C259" s="72" t="s">
        <v>187</v>
      </c>
      <c r="D259" s="58" t="s">
        <v>188</v>
      </c>
      <c r="E259" s="417"/>
      <c r="F259" s="417"/>
      <c r="G259" s="417"/>
      <c r="H259" s="417"/>
    </row>
    <row r="260" spans="2:8" x14ac:dyDescent="0.3">
      <c r="B260" s="90" t="s">
        <v>615</v>
      </c>
      <c r="C260" s="63" t="s">
        <v>127</v>
      </c>
      <c r="D260" s="86"/>
      <c r="E260" s="410">
        <v>1</v>
      </c>
      <c r="F260" s="410"/>
      <c r="G260" s="410"/>
      <c r="H260" s="410"/>
    </row>
    <row r="261" spans="2:8" x14ac:dyDescent="0.3">
      <c r="B261" s="439" t="s">
        <v>9</v>
      </c>
      <c r="C261" s="439"/>
      <c r="D261" s="439"/>
      <c r="E261" s="439"/>
      <c r="F261" s="439"/>
      <c r="G261" s="439"/>
      <c r="H261" s="88">
        <f>E260</f>
        <v>1</v>
      </c>
    </row>
    <row r="262" spans="2:8" x14ac:dyDescent="0.3">
      <c r="B262" s="90" t="s">
        <v>386</v>
      </c>
      <c r="C262" s="89" t="s">
        <v>189</v>
      </c>
      <c r="D262" s="52" t="s">
        <v>175</v>
      </c>
      <c r="E262" s="435"/>
      <c r="F262" s="435"/>
      <c r="G262" s="435"/>
      <c r="H262" s="435"/>
    </row>
    <row r="263" spans="2:8" x14ac:dyDescent="0.3">
      <c r="B263" s="90" t="s">
        <v>616</v>
      </c>
      <c r="C263" s="89" t="s">
        <v>127</v>
      </c>
      <c r="D263" s="86"/>
      <c r="E263" s="410">
        <v>2</v>
      </c>
      <c r="F263" s="410"/>
      <c r="G263" s="410"/>
      <c r="H263" s="410"/>
    </row>
    <row r="264" spans="2:8" x14ac:dyDescent="0.3">
      <c r="B264" s="90" t="s">
        <v>617</v>
      </c>
      <c r="C264" s="89" t="s">
        <v>129</v>
      </c>
      <c r="D264" s="90"/>
      <c r="E264" s="410">
        <v>2</v>
      </c>
      <c r="F264" s="410"/>
      <c r="G264" s="410"/>
      <c r="H264" s="410"/>
    </row>
    <row r="265" spans="2:8" x14ac:dyDescent="0.3">
      <c r="B265" s="90" t="s">
        <v>618</v>
      </c>
      <c r="C265" s="89" t="s">
        <v>101</v>
      </c>
      <c r="D265" s="90"/>
      <c r="E265" s="410">
        <v>4</v>
      </c>
      <c r="F265" s="410"/>
      <c r="G265" s="410"/>
      <c r="H265" s="410"/>
    </row>
    <row r="266" spans="2:8" s="4" customFormat="1" x14ac:dyDescent="0.3">
      <c r="B266" s="90" t="s">
        <v>619</v>
      </c>
      <c r="C266" s="89" t="s">
        <v>104</v>
      </c>
      <c r="D266" s="90"/>
      <c r="E266" s="410">
        <v>4</v>
      </c>
      <c r="F266" s="410"/>
      <c r="G266" s="410"/>
      <c r="H266" s="410"/>
    </row>
    <row r="267" spans="2:8" x14ac:dyDescent="0.3">
      <c r="B267" s="439" t="s">
        <v>9</v>
      </c>
      <c r="C267" s="439"/>
      <c r="D267" s="439"/>
      <c r="E267" s="439"/>
      <c r="F267" s="439"/>
      <c r="G267" s="439"/>
      <c r="H267" s="88">
        <f>SUM(E263:H266)</f>
        <v>12</v>
      </c>
    </row>
    <row r="268" spans="2:8" x14ac:dyDescent="0.3">
      <c r="B268" s="90" t="s">
        <v>387</v>
      </c>
      <c r="C268" s="89" t="s">
        <v>190</v>
      </c>
      <c r="D268" s="417"/>
      <c r="E268" s="417"/>
      <c r="F268" s="417"/>
      <c r="G268" s="417"/>
      <c r="H268" s="417"/>
    </row>
    <row r="269" spans="2:8" x14ac:dyDescent="0.3">
      <c r="B269" s="90" t="s">
        <v>388</v>
      </c>
      <c r="C269" s="89" t="s">
        <v>191</v>
      </c>
      <c r="D269" s="52" t="s">
        <v>175</v>
      </c>
      <c r="E269" s="435"/>
      <c r="F269" s="435"/>
      <c r="G269" s="435"/>
      <c r="H269" s="435"/>
    </row>
    <row r="270" spans="2:8" x14ac:dyDescent="0.3">
      <c r="B270" s="90" t="s">
        <v>620</v>
      </c>
      <c r="C270" s="89" t="s">
        <v>129</v>
      </c>
      <c r="D270" s="90"/>
      <c r="E270" s="410">
        <v>1</v>
      </c>
      <c r="F270" s="410"/>
      <c r="G270" s="410"/>
      <c r="H270" s="410"/>
    </row>
    <row r="271" spans="2:8" x14ac:dyDescent="0.3">
      <c r="B271" s="411" t="s">
        <v>9</v>
      </c>
      <c r="C271" s="411"/>
      <c r="D271" s="411"/>
      <c r="E271" s="411"/>
      <c r="F271" s="411"/>
      <c r="G271" s="411"/>
      <c r="H271" s="51">
        <f>SUM(E270)</f>
        <v>1</v>
      </c>
    </row>
    <row r="272" spans="2:8" s="4" customFormat="1" ht="14.1" customHeight="1" x14ac:dyDescent="0.3">
      <c r="B272" s="59" t="s">
        <v>389</v>
      </c>
      <c r="C272" s="72" t="s">
        <v>264</v>
      </c>
      <c r="D272" s="417"/>
      <c r="E272" s="417"/>
      <c r="F272" s="417"/>
      <c r="G272" s="417"/>
      <c r="H272" s="417"/>
    </row>
    <row r="273" spans="2:8" x14ac:dyDescent="0.3">
      <c r="B273" s="59" t="s">
        <v>390</v>
      </c>
      <c r="C273" s="72" t="s">
        <v>265</v>
      </c>
      <c r="D273" s="484"/>
      <c r="E273" s="485"/>
      <c r="F273" s="485"/>
      <c r="G273" s="485"/>
      <c r="H273" s="486"/>
    </row>
    <row r="274" spans="2:8" x14ac:dyDescent="0.3">
      <c r="B274" s="59" t="s">
        <v>391</v>
      </c>
      <c r="C274" s="40" t="s">
        <v>575</v>
      </c>
      <c r="D274" s="58" t="s">
        <v>267</v>
      </c>
      <c r="E274" s="430">
        <v>1</v>
      </c>
      <c r="F274" s="430"/>
      <c r="G274" s="430"/>
      <c r="H274" s="430"/>
    </row>
    <row r="275" spans="2:8" x14ac:dyDescent="0.3">
      <c r="B275" s="411" t="s">
        <v>9</v>
      </c>
      <c r="C275" s="411"/>
      <c r="D275" s="411"/>
      <c r="E275" s="411"/>
      <c r="F275" s="411"/>
      <c r="G275" s="411"/>
      <c r="H275" s="51">
        <f>SUM(E274)</f>
        <v>1</v>
      </c>
    </row>
    <row r="276" spans="2:8" x14ac:dyDescent="0.3">
      <c r="B276" s="59" t="s">
        <v>392</v>
      </c>
      <c r="C276" s="72" t="s">
        <v>266</v>
      </c>
      <c r="D276" s="58" t="s">
        <v>267</v>
      </c>
      <c r="E276" s="430">
        <v>2</v>
      </c>
      <c r="F276" s="430"/>
      <c r="G276" s="430"/>
      <c r="H276" s="430"/>
    </row>
    <row r="277" spans="2:8" x14ac:dyDescent="0.3">
      <c r="B277" s="411" t="s">
        <v>9</v>
      </c>
      <c r="C277" s="411"/>
      <c r="D277" s="411"/>
      <c r="E277" s="411"/>
      <c r="F277" s="411"/>
      <c r="G277" s="411"/>
      <c r="H277" s="51">
        <f>SUM(E276)</f>
        <v>2</v>
      </c>
    </row>
    <row r="278" spans="2:8" x14ac:dyDescent="0.3">
      <c r="B278" s="59" t="s">
        <v>393</v>
      </c>
      <c r="C278" s="40" t="s">
        <v>577</v>
      </c>
      <c r="D278" s="417"/>
      <c r="E278" s="417"/>
      <c r="F278" s="417"/>
      <c r="G278" s="417"/>
      <c r="H278" s="417"/>
    </row>
    <row r="279" spans="2:8" x14ac:dyDescent="0.3">
      <c r="B279" s="59" t="s">
        <v>394</v>
      </c>
      <c r="C279" s="40" t="s">
        <v>580</v>
      </c>
      <c r="D279" s="58" t="s">
        <v>188</v>
      </c>
      <c r="E279" s="430">
        <v>2</v>
      </c>
      <c r="F279" s="430"/>
      <c r="G279" s="430"/>
      <c r="H279" s="430"/>
    </row>
    <row r="280" spans="2:8" x14ac:dyDescent="0.3">
      <c r="B280" s="411" t="s">
        <v>9</v>
      </c>
      <c r="C280" s="411"/>
      <c r="D280" s="411"/>
      <c r="E280" s="411"/>
      <c r="F280" s="411"/>
      <c r="G280" s="411"/>
      <c r="H280" s="51">
        <f>SUM(E279)</f>
        <v>2</v>
      </c>
    </row>
    <row r="281" spans="2:8" x14ac:dyDescent="0.3">
      <c r="B281" s="59" t="s">
        <v>395</v>
      </c>
      <c r="C281" s="72" t="s">
        <v>268</v>
      </c>
      <c r="D281" s="417"/>
      <c r="E281" s="417"/>
      <c r="F281" s="417"/>
      <c r="G281" s="417"/>
      <c r="H281" s="417"/>
    </row>
    <row r="282" spans="2:8" x14ac:dyDescent="0.3">
      <c r="B282" s="59" t="s">
        <v>396</v>
      </c>
      <c r="C282" s="72" t="s">
        <v>269</v>
      </c>
      <c r="D282" s="58" t="s">
        <v>188</v>
      </c>
      <c r="E282" s="430">
        <v>2</v>
      </c>
      <c r="F282" s="430"/>
      <c r="G282" s="430"/>
      <c r="H282" s="430"/>
    </row>
    <row r="283" spans="2:8" x14ac:dyDescent="0.3">
      <c r="B283" s="411" t="s">
        <v>9</v>
      </c>
      <c r="C283" s="411"/>
      <c r="D283" s="411"/>
      <c r="E283" s="411"/>
      <c r="F283" s="411"/>
      <c r="G283" s="411"/>
      <c r="H283" s="51">
        <f>SUM(E282)</f>
        <v>2</v>
      </c>
    </row>
    <row r="284" spans="2:8" x14ac:dyDescent="0.3">
      <c r="B284" s="59" t="s">
        <v>576</v>
      </c>
      <c r="C284" s="72" t="s">
        <v>243</v>
      </c>
      <c r="D284" s="436"/>
      <c r="E284" s="437"/>
      <c r="F284" s="437"/>
      <c r="G284" s="437"/>
      <c r="H284" s="438"/>
    </row>
    <row r="285" spans="2:8" ht="33" x14ac:dyDescent="0.3">
      <c r="B285" s="59" t="s">
        <v>578</v>
      </c>
      <c r="C285" s="89" t="s">
        <v>244</v>
      </c>
      <c r="D285" s="52" t="s">
        <v>175</v>
      </c>
      <c r="E285" s="430">
        <v>2</v>
      </c>
      <c r="F285" s="430"/>
      <c r="G285" s="430"/>
      <c r="H285" s="430"/>
    </row>
    <row r="286" spans="2:8" x14ac:dyDescent="0.3">
      <c r="B286" s="411" t="s">
        <v>9</v>
      </c>
      <c r="C286" s="411"/>
      <c r="D286" s="411"/>
      <c r="E286" s="411"/>
      <c r="F286" s="411"/>
      <c r="G286" s="411"/>
      <c r="H286" s="51">
        <f>SUM(E285)</f>
        <v>2</v>
      </c>
    </row>
    <row r="287" spans="2:8" s="4" customFormat="1" ht="49.5" x14ac:dyDescent="0.3">
      <c r="B287" s="59" t="s">
        <v>579</v>
      </c>
      <c r="C287" s="89" t="s">
        <v>272</v>
      </c>
      <c r="D287" s="52" t="s">
        <v>273</v>
      </c>
      <c r="E287" s="430">
        <v>1</v>
      </c>
      <c r="F287" s="430"/>
      <c r="G287" s="430"/>
      <c r="H287" s="430"/>
    </row>
    <row r="288" spans="2:8" ht="17.25" thickBot="1" x14ac:dyDescent="0.35">
      <c r="B288" s="424" t="s">
        <v>9</v>
      </c>
      <c r="C288" s="424"/>
      <c r="D288" s="424"/>
      <c r="E288" s="424"/>
      <c r="F288" s="424"/>
      <c r="G288" s="424"/>
      <c r="H288" s="67">
        <f>SUM(E287)</f>
        <v>1</v>
      </c>
    </row>
    <row r="289" spans="2:8" ht="17.25" thickBot="1" x14ac:dyDescent="0.3">
      <c r="B289" s="418" t="s">
        <v>370</v>
      </c>
      <c r="C289" s="419"/>
      <c r="D289" s="419"/>
      <c r="E289" s="419"/>
      <c r="F289" s="419"/>
      <c r="G289" s="419"/>
      <c r="H289" s="420"/>
    </row>
    <row r="290" spans="2:8" s="4" customFormat="1" x14ac:dyDescent="0.3">
      <c r="B290" s="156" t="s">
        <v>700</v>
      </c>
      <c r="C290" s="137" t="s">
        <v>371</v>
      </c>
      <c r="D290" s="421"/>
      <c r="E290" s="422"/>
      <c r="F290" s="422"/>
      <c r="G290" s="422"/>
      <c r="H290" s="423"/>
    </row>
    <row r="291" spans="2:8" s="4" customFormat="1" ht="49.5" x14ac:dyDescent="0.3">
      <c r="B291" s="59" t="s">
        <v>46</v>
      </c>
      <c r="C291" s="89" t="s">
        <v>372</v>
      </c>
      <c r="D291" s="125" t="s">
        <v>21</v>
      </c>
      <c r="E291" s="75" t="s">
        <v>98</v>
      </c>
      <c r="F291" s="59" t="s">
        <v>236</v>
      </c>
      <c r="G291" s="59" t="s">
        <v>99</v>
      </c>
      <c r="H291" s="59" t="s">
        <v>223</v>
      </c>
    </row>
    <row r="292" spans="2:8" s="4" customFormat="1" x14ac:dyDescent="0.3">
      <c r="B292" s="59" t="s">
        <v>621</v>
      </c>
      <c r="C292" s="56" t="s">
        <v>302</v>
      </c>
      <c r="D292" s="59"/>
      <c r="E292" s="91"/>
      <c r="F292" s="64"/>
      <c r="G292" s="64"/>
      <c r="H292" s="64"/>
    </row>
    <row r="293" spans="2:8" s="4" customFormat="1" x14ac:dyDescent="0.3">
      <c r="B293" s="59" t="s">
        <v>622</v>
      </c>
      <c r="C293" s="81" t="s">
        <v>235</v>
      </c>
      <c r="D293" s="74"/>
      <c r="E293" s="92">
        <v>2</v>
      </c>
      <c r="F293" s="76">
        <v>3</v>
      </c>
      <c r="G293" s="76"/>
      <c r="H293" s="76">
        <f>F293*E293</f>
        <v>6</v>
      </c>
    </row>
    <row r="294" spans="2:8" s="4" customFormat="1" x14ac:dyDescent="0.3">
      <c r="B294" s="59" t="s">
        <v>623</v>
      </c>
      <c r="C294" s="81" t="s">
        <v>373</v>
      </c>
      <c r="D294" s="74"/>
      <c r="E294" s="92">
        <f>3.9+3.9+7.5</f>
        <v>15.3</v>
      </c>
      <c r="F294" s="76">
        <v>3.15</v>
      </c>
      <c r="G294" s="76"/>
      <c r="H294" s="76">
        <f>F294*E294</f>
        <v>48.195</v>
      </c>
    </row>
    <row r="295" spans="2:8" s="4" customFormat="1" x14ac:dyDescent="0.3">
      <c r="B295" s="59" t="s">
        <v>624</v>
      </c>
      <c r="C295" s="81" t="s">
        <v>374</v>
      </c>
      <c r="D295" s="74"/>
      <c r="E295" s="92">
        <v>0.9</v>
      </c>
      <c r="F295" s="76">
        <v>2.1</v>
      </c>
      <c r="G295" s="76">
        <v>1</v>
      </c>
      <c r="H295" s="76">
        <f>F295*E295*G295</f>
        <v>1.8900000000000001</v>
      </c>
    </row>
    <row r="296" spans="2:8" s="4" customFormat="1" x14ac:dyDescent="0.3">
      <c r="B296" s="59" t="s">
        <v>625</v>
      </c>
      <c r="C296" s="81" t="s">
        <v>375</v>
      </c>
      <c r="D296" s="74"/>
      <c r="E296" s="92">
        <v>2.5</v>
      </c>
      <c r="F296" s="76">
        <v>1.5</v>
      </c>
      <c r="G296" s="76">
        <v>2</v>
      </c>
      <c r="H296" s="76">
        <f>F296*E296*G296</f>
        <v>7.5</v>
      </c>
    </row>
    <row r="297" spans="2:8" s="4" customFormat="1" ht="17.25" thickBot="1" x14ac:dyDescent="0.35">
      <c r="B297" s="424" t="s">
        <v>9</v>
      </c>
      <c r="C297" s="424"/>
      <c r="D297" s="424"/>
      <c r="E297" s="424"/>
      <c r="F297" s="424"/>
      <c r="G297" s="424"/>
      <c r="H297" s="67">
        <f>H293+H294-H296-H295</f>
        <v>44.805</v>
      </c>
    </row>
    <row r="298" spans="2:8" ht="17.25" thickBot="1" x14ac:dyDescent="0.3">
      <c r="B298" s="418" t="s">
        <v>378</v>
      </c>
      <c r="C298" s="419"/>
      <c r="D298" s="419"/>
      <c r="E298" s="419"/>
      <c r="F298" s="419"/>
      <c r="G298" s="419"/>
      <c r="H298" s="420"/>
    </row>
    <row r="299" spans="2:8" x14ac:dyDescent="0.25">
      <c r="B299" s="157" t="s">
        <v>701</v>
      </c>
      <c r="C299" s="33" t="s">
        <v>379</v>
      </c>
      <c r="D299" s="498"/>
      <c r="E299" s="499"/>
      <c r="F299" s="499"/>
      <c r="G299" s="499"/>
      <c r="H299" s="500"/>
    </row>
    <row r="300" spans="2:8" x14ac:dyDescent="0.25">
      <c r="B300" s="125" t="s">
        <v>626</v>
      </c>
      <c r="C300" s="35" t="s">
        <v>627</v>
      </c>
      <c r="D300" s="126" t="s">
        <v>21</v>
      </c>
      <c r="E300" s="475"/>
      <c r="F300" s="476"/>
      <c r="G300" s="476"/>
      <c r="H300" s="477"/>
    </row>
    <row r="301" spans="2:8" x14ac:dyDescent="0.25">
      <c r="B301" s="125" t="s">
        <v>629</v>
      </c>
      <c r="C301" s="89" t="s">
        <v>628</v>
      </c>
      <c r="D301" s="89"/>
      <c r="E301" s="475">
        <v>30.53</v>
      </c>
      <c r="F301" s="476"/>
      <c r="G301" s="476"/>
      <c r="H301" s="477"/>
    </row>
    <row r="302" spans="2:8" x14ac:dyDescent="0.3">
      <c r="B302" s="424" t="s">
        <v>9</v>
      </c>
      <c r="C302" s="424"/>
      <c r="D302" s="424"/>
      <c r="E302" s="424"/>
      <c r="F302" s="424"/>
      <c r="G302" s="424"/>
      <c r="H302" s="67">
        <f>E301</f>
        <v>30.53</v>
      </c>
    </row>
    <row r="303" spans="2:8" s="4" customFormat="1" x14ac:dyDescent="0.3">
      <c r="B303" s="59" t="s">
        <v>260</v>
      </c>
      <c r="C303" s="89" t="s">
        <v>380</v>
      </c>
      <c r="D303" s="126" t="s">
        <v>21</v>
      </c>
      <c r="E303" s="425" t="s">
        <v>98</v>
      </c>
      <c r="F303" s="426"/>
      <c r="G303" s="59" t="s">
        <v>210</v>
      </c>
      <c r="H303" s="59" t="s">
        <v>100</v>
      </c>
    </row>
    <row r="304" spans="2:8" s="4" customFormat="1" x14ac:dyDescent="0.3">
      <c r="B304" s="59" t="s">
        <v>630</v>
      </c>
      <c r="C304" s="89" t="s">
        <v>461</v>
      </c>
      <c r="D304" s="126"/>
      <c r="E304" s="425">
        <v>7.65</v>
      </c>
      <c r="F304" s="426"/>
      <c r="G304" s="59">
        <f>0.3+0.3+0.15</f>
        <v>0.75</v>
      </c>
      <c r="H304" s="64">
        <f>E304*G304</f>
        <v>5.7375000000000007</v>
      </c>
    </row>
    <row r="305" spans="2:8" s="4" customFormat="1" x14ac:dyDescent="0.3">
      <c r="B305" s="59" t="s">
        <v>631</v>
      </c>
      <c r="C305" s="56" t="s">
        <v>462</v>
      </c>
      <c r="D305" s="59"/>
      <c r="E305" s="425">
        <v>3.75</v>
      </c>
      <c r="F305" s="426"/>
      <c r="G305" s="59">
        <f t="shared" ref="G305:G306" si="18">0.3+0.3+0.15</f>
        <v>0.75</v>
      </c>
      <c r="H305" s="64">
        <f t="shared" ref="H305:H306" si="19">E305*G305</f>
        <v>2.8125</v>
      </c>
    </row>
    <row r="306" spans="2:8" s="4" customFormat="1" x14ac:dyDescent="0.3">
      <c r="B306" s="59" t="s">
        <v>632</v>
      </c>
      <c r="C306" s="56" t="s">
        <v>463</v>
      </c>
      <c r="D306" s="59"/>
      <c r="E306" s="425">
        <v>3.75</v>
      </c>
      <c r="F306" s="426"/>
      <c r="G306" s="59">
        <f t="shared" si="18"/>
        <v>0.75</v>
      </c>
      <c r="H306" s="64">
        <f t="shared" si="19"/>
        <v>2.8125</v>
      </c>
    </row>
    <row r="307" spans="2:8" s="4" customFormat="1" ht="17.25" thickBot="1" x14ac:dyDescent="0.35">
      <c r="B307" s="424" t="s">
        <v>9</v>
      </c>
      <c r="C307" s="424"/>
      <c r="D307" s="424"/>
      <c r="E307" s="424"/>
      <c r="F307" s="424"/>
      <c r="G307" s="424"/>
      <c r="H307" s="67">
        <f>SUM(H304:H306)</f>
        <v>11.362500000000001</v>
      </c>
    </row>
    <row r="308" spans="2:8" ht="17.25" thickBot="1" x14ac:dyDescent="0.3">
      <c r="B308" s="418" t="s">
        <v>341</v>
      </c>
      <c r="C308" s="419"/>
      <c r="D308" s="419"/>
      <c r="E308" s="419"/>
      <c r="F308" s="419"/>
      <c r="G308" s="419"/>
      <c r="H308" s="420"/>
    </row>
    <row r="309" spans="2:8" s="4" customFormat="1" x14ac:dyDescent="0.3">
      <c r="B309" s="156" t="s">
        <v>702</v>
      </c>
      <c r="C309" s="137" t="s">
        <v>342</v>
      </c>
      <c r="D309" s="421"/>
      <c r="E309" s="422"/>
      <c r="F309" s="422"/>
      <c r="G309" s="422"/>
      <c r="H309" s="423"/>
    </row>
    <row r="310" spans="2:8" s="4" customFormat="1" x14ac:dyDescent="0.3">
      <c r="B310" s="59" t="s">
        <v>255</v>
      </c>
      <c r="C310" s="89" t="s">
        <v>343</v>
      </c>
      <c r="D310" s="125" t="s">
        <v>21</v>
      </c>
      <c r="E310" s="425" t="s">
        <v>98</v>
      </c>
      <c r="F310" s="426"/>
      <c r="G310" s="59" t="s">
        <v>210</v>
      </c>
      <c r="H310" s="59" t="s">
        <v>100</v>
      </c>
    </row>
    <row r="311" spans="2:8" s="4" customFormat="1" x14ac:dyDescent="0.3">
      <c r="B311" s="59" t="s">
        <v>633</v>
      </c>
      <c r="C311" s="56" t="s">
        <v>302</v>
      </c>
      <c r="D311" s="59"/>
      <c r="E311" s="427">
        <v>3.6</v>
      </c>
      <c r="F311" s="428"/>
      <c r="G311" s="64">
        <v>7.5</v>
      </c>
      <c r="H311" s="64">
        <f>G311*E311</f>
        <v>27</v>
      </c>
    </row>
    <row r="312" spans="2:8" s="4" customFormat="1" ht="17.25" thickBot="1" x14ac:dyDescent="0.35">
      <c r="B312" s="424" t="s">
        <v>9</v>
      </c>
      <c r="C312" s="424"/>
      <c r="D312" s="424"/>
      <c r="E312" s="424"/>
      <c r="F312" s="424"/>
      <c r="G312" s="424"/>
      <c r="H312" s="67">
        <f>SUM(H311)</f>
        <v>27</v>
      </c>
    </row>
    <row r="313" spans="2:8" s="4" customFormat="1" ht="17.25" thickBot="1" x14ac:dyDescent="0.3">
      <c r="B313" s="418" t="s">
        <v>56</v>
      </c>
      <c r="C313" s="419"/>
      <c r="D313" s="419"/>
      <c r="E313" s="419"/>
      <c r="F313" s="419"/>
      <c r="G313" s="419"/>
      <c r="H313" s="420"/>
    </row>
    <row r="314" spans="2:8" s="4" customFormat="1" x14ac:dyDescent="0.25">
      <c r="B314" s="157" t="s">
        <v>703</v>
      </c>
      <c r="C314" s="137" t="s">
        <v>250</v>
      </c>
      <c r="D314" s="481"/>
      <c r="E314" s="482"/>
      <c r="F314" s="482"/>
      <c r="G314" s="482"/>
      <c r="H314" s="483"/>
    </row>
    <row r="315" spans="2:8" s="4" customFormat="1" x14ac:dyDescent="0.25">
      <c r="B315" s="125" t="s">
        <v>66</v>
      </c>
      <c r="C315" s="89" t="s">
        <v>311</v>
      </c>
      <c r="D315" s="125" t="s">
        <v>21</v>
      </c>
      <c r="E315" s="478" t="s">
        <v>98</v>
      </c>
      <c r="F315" s="478"/>
      <c r="G315" s="47" t="s">
        <v>210</v>
      </c>
      <c r="H315" s="47" t="s">
        <v>100</v>
      </c>
    </row>
    <row r="316" spans="2:8" s="4" customFormat="1" x14ac:dyDescent="0.25">
      <c r="B316" s="52" t="s">
        <v>634</v>
      </c>
      <c r="C316" s="48" t="s">
        <v>302</v>
      </c>
      <c r="D316" s="49"/>
      <c r="E316" s="479">
        <f>3.6+0.5</f>
        <v>4.0999999999999996</v>
      </c>
      <c r="F316" s="479"/>
      <c r="G316" s="50">
        <f>7.5+1</f>
        <v>8.5</v>
      </c>
      <c r="H316" s="50">
        <f>G316*E316</f>
        <v>34.849999999999994</v>
      </c>
    </row>
    <row r="317" spans="2:8" s="4" customFormat="1" x14ac:dyDescent="0.3">
      <c r="B317" s="411" t="s">
        <v>9</v>
      </c>
      <c r="C317" s="411"/>
      <c r="D317" s="411"/>
      <c r="E317" s="411"/>
      <c r="F317" s="411"/>
      <c r="G317" s="411"/>
      <c r="H317" s="51">
        <f>SUM(H316)</f>
        <v>34.849999999999994</v>
      </c>
    </row>
    <row r="318" spans="2:8" s="4" customFormat="1" ht="33" x14ac:dyDescent="0.25">
      <c r="B318" s="125" t="s">
        <v>397</v>
      </c>
      <c r="C318" s="89" t="s">
        <v>310</v>
      </c>
      <c r="D318" s="125" t="s">
        <v>280</v>
      </c>
      <c r="E318" s="472" t="s">
        <v>98</v>
      </c>
      <c r="F318" s="473"/>
      <c r="G318" s="474"/>
      <c r="H318" s="124" t="s">
        <v>314</v>
      </c>
    </row>
    <row r="319" spans="2:8" s="4" customFormat="1" x14ac:dyDescent="0.25">
      <c r="B319" s="125" t="s">
        <v>635</v>
      </c>
      <c r="C319" s="48" t="s">
        <v>302</v>
      </c>
      <c r="D319" s="125"/>
      <c r="E319" s="475" t="s">
        <v>315</v>
      </c>
      <c r="F319" s="476"/>
      <c r="G319" s="477"/>
      <c r="H319" s="126">
        <f>0.5+3.6</f>
        <v>4.0999999999999996</v>
      </c>
    </row>
    <row r="320" spans="2:8" s="4" customFormat="1" x14ac:dyDescent="0.3">
      <c r="B320" s="411" t="s">
        <v>9</v>
      </c>
      <c r="C320" s="411"/>
      <c r="D320" s="411"/>
      <c r="E320" s="411"/>
      <c r="F320" s="411"/>
      <c r="G320" s="411"/>
      <c r="H320" s="51">
        <f>H319</f>
        <v>4.0999999999999996</v>
      </c>
    </row>
    <row r="321" spans="2:8" s="4" customFormat="1" ht="33" x14ac:dyDescent="0.25">
      <c r="B321" s="125" t="s">
        <v>398</v>
      </c>
      <c r="C321" s="89" t="s">
        <v>312</v>
      </c>
      <c r="D321" s="125" t="s">
        <v>280</v>
      </c>
      <c r="E321" s="472" t="s">
        <v>98</v>
      </c>
      <c r="F321" s="473"/>
      <c r="G321" s="474"/>
      <c r="H321" s="124" t="s">
        <v>314</v>
      </c>
    </row>
    <row r="322" spans="2:8" s="4" customFormat="1" x14ac:dyDescent="0.25">
      <c r="B322" s="125" t="s">
        <v>636</v>
      </c>
      <c r="C322" s="48" t="s">
        <v>302</v>
      </c>
      <c r="D322" s="125"/>
      <c r="E322" s="475" t="s">
        <v>317</v>
      </c>
      <c r="F322" s="476"/>
      <c r="G322" s="477"/>
      <c r="H322" s="125">
        <f>4.18+4.18</f>
        <v>8.36</v>
      </c>
    </row>
    <row r="323" spans="2:8" s="4" customFormat="1" x14ac:dyDescent="0.3">
      <c r="B323" s="411" t="s">
        <v>9</v>
      </c>
      <c r="C323" s="411"/>
      <c r="D323" s="411"/>
      <c r="E323" s="411"/>
      <c r="F323" s="411"/>
      <c r="G323" s="411"/>
      <c r="H323" s="51">
        <f>H322</f>
        <v>8.36</v>
      </c>
    </row>
    <row r="324" spans="2:8" s="4" customFormat="1" ht="33" x14ac:dyDescent="0.25">
      <c r="B324" s="125" t="s">
        <v>399</v>
      </c>
      <c r="C324" s="89" t="s">
        <v>313</v>
      </c>
      <c r="D324" s="125" t="s">
        <v>280</v>
      </c>
      <c r="E324" s="472" t="s">
        <v>98</v>
      </c>
      <c r="F324" s="473"/>
      <c r="G324" s="474"/>
      <c r="H324" s="124" t="s">
        <v>314</v>
      </c>
    </row>
    <row r="325" spans="2:8" s="4" customFormat="1" x14ac:dyDescent="0.25">
      <c r="B325" s="125" t="s">
        <v>637</v>
      </c>
      <c r="C325" s="48" t="s">
        <v>302</v>
      </c>
      <c r="D325" s="125"/>
      <c r="E325" s="475" t="s">
        <v>316</v>
      </c>
      <c r="F325" s="476"/>
      <c r="G325" s="477"/>
      <c r="H325" s="126">
        <f>3.6+3.6</f>
        <v>7.2</v>
      </c>
    </row>
    <row r="326" spans="2:8" s="4" customFormat="1" x14ac:dyDescent="0.3">
      <c r="B326" s="411" t="s">
        <v>9</v>
      </c>
      <c r="C326" s="411"/>
      <c r="D326" s="411"/>
      <c r="E326" s="411"/>
      <c r="F326" s="411"/>
      <c r="G326" s="411"/>
      <c r="H326" s="51">
        <f>H325</f>
        <v>7.2</v>
      </c>
    </row>
    <row r="327" spans="2:8" s="4" customFormat="1" x14ac:dyDescent="0.3">
      <c r="B327" s="59" t="s">
        <v>400</v>
      </c>
      <c r="C327" s="62" t="s">
        <v>192</v>
      </c>
      <c r="D327" s="58" t="s">
        <v>21</v>
      </c>
      <c r="E327" s="417" t="s">
        <v>98</v>
      </c>
      <c r="F327" s="417"/>
      <c r="G327" s="59" t="s">
        <v>215</v>
      </c>
      <c r="H327" s="64" t="s">
        <v>100</v>
      </c>
    </row>
    <row r="328" spans="2:8" s="4" customFormat="1" x14ac:dyDescent="0.3">
      <c r="B328" s="59" t="s">
        <v>638</v>
      </c>
      <c r="C328" s="56" t="s">
        <v>124</v>
      </c>
      <c r="D328" s="64"/>
      <c r="E328" s="430">
        <v>2</v>
      </c>
      <c r="F328" s="430"/>
      <c r="G328" s="64">
        <v>2.5</v>
      </c>
      <c r="H328" s="64">
        <f>G328*E328</f>
        <v>5</v>
      </c>
    </row>
    <row r="329" spans="2:8" s="4" customFormat="1" ht="17.25" thickBot="1" x14ac:dyDescent="0.35">
      <c r="B329" s="424" t="s">
        <v>9</v>
      </c>
      <c r="C329" s="424"/>
      <c r="D329" s="424"/>
      <c r="E329" s="424"/>
      <c r="F329" s="424"/>
      <c r="G329" s="424"/>
      <c r="H329" s="67">
        <f>SUM(H328)</f>
        <v>5</v>
      </c>
    </row>
    <row r="330" spans="2:8" s="4" customFormat="1" ht="17.25" thickBot="1" x14ac:dyDescent="0.3">
      <c r="B330" s="418" t="s">
        <v>57</v>
      </c>
      <c r="C330" s="419"/>
      <c r="D330" s="419"/>
      <c r="E330" s="419"/>
      <c r="F330" s="419"/>
      <c r="G330" s="419"/>
      <c r="H330" s="420"/>
    </row>
    <row r="331" spans="2:8" s="4" customFormat="1" ht="33" x14ac:dyDescent="0.3">
      <c r="B331" s="156" t="s">
        <v>704</v>
      </c>
      <c r="C331" s="139" t="s">
        <v>193</v>
      </c>
      <c r="D331" s="444"/>
      <c r="E331" s="444"/>
      <c r="F331" s="444"/>
      <c r="G331" s="444"/>
      <c r="H331" s="444"/>
    </row>
    <row r="332" spans="2:8" s="4" customFormat="1" x14ac:dyDescent="0.3">
      <c r="B332" s="59" t="s">
        <v>401</v>
      </c>
      <c r="C332" s="72" t="s">
        <v>194</v>
      </c>
      <c r="D332" s="59" t="s">
        <v>195</v>
      </c>
      <c r="E332" s="59" t="s">
        <v>98</v>
      </c>
      <c r="F332" s="59" t="s">
        <v>167</v>
      </c>
      <c r="G332" s="59" t="s">
        <v>99</v>
      </c>
      <c r="H332" s="64" t="s">
        <v>8</v>
      </c>
    </row>
    <row r="333" spans="2:8" s="4" customFormat="1" x14ac:dyDescent="0.3">
      <c r="B333" s="59" t="s">
        <v>639</v>
      </c>
      <c r="C333" s="56" t="s">
        <v>144</v>
      </c>
      <c r="D333" s="59"/>
      <c r="E333" s="64">
        <v>0.9</v>
      </c>
      <c r="F333" s="64">
        <v>2.1</v>
      </c>
      <c r="G333" s="64">
        <v>1</v>
      </c>
      <c r="H333" s="64">
        <f>G333*F333*E333</f>
        <v>1.8900000000000001</v>
      </c>
    </row>
    <row r="334" spans="2:8" s="4" customFormat="1" x14ac:dyDescent="0.3">
      <c r="B334" s="59" t="s">
        <v>640</v>
      </c>
      <c r="C334" s="56" t="s">
        <v>142</v>
      </c>
      <c r="D334" s="59"/>
      <c r="E334" s="64">
        <v>0.9</v>
      </c>
      <c r="F334" s="64">
        <v>2.1</v>
      </c>
      <c r="G334" s="64">
        <v>1</v>
      </c>
      <c r="H334" s="64">
        <f t="shared" ref="H334:H343" si="20">G334*F334*E334</f>
        <v>1.8900000000000001</v>
      </c>
    </row>
    <row r="335" spans="2:8" s="4" customFormat="1" x14ac:dyDescent="0.3">
      <c r="B335" s="59" t="s">
        <v>641</v>
      </c>
      <c r="C335" s="56" t="s">
        <v>140</v>
      </c>
      <c r="D335" s="59"/>
      <c r="E335" s="64">
        <v>0.9</v>
      </c>
      <c r="F335" s="64">
        <v>2.1</v>
      </c>
      <c r="G335" s="64">
        <v>2</v>
      </c>
      <c r="H335" s="64">
        <f t="shared" si="20"/>
        <v>3.7800000000000002</v>
      </c>
    </row>
    <row r="336" spans="2:8" s="4" customFormat="1" x14ac:dyDescent="0.3">
      <c r="B336" s="59" t="s">
        <v>642</v>
      </c>
      <c r="C336" s="56" t="s">
        <v>168</v>
      </c>
      <c r="D336" s="59"/>
      <c r="E336" s="64">
        <v>0.9</v>
      </c>
      <c r="F336" s="64">
        <v>2.1</v>
      </c>
      <c r="G336" s="64">
        <v>1</v>
      </c>
      <c r="H336" s="64">
        <f t="shared" si="20"/>
        <v>1.8900000000000001</v>
      </c>
    </row>
    <row r="337" spans="2:8" s="4" customFormat="1" x14ac:dyDescent="0.3">
      <c r="B337" s="59" t="s">
        <v>643</v>
      </c>
      <c r="C337" s="56" t="s">
        <v>169</v>
      </c>
      <c r="D337" s="59"/>
      <c r="E337" s="64">
        <v>0.9</v>
      </c>
      <c r="F337" s="64">
        <v>2.1</v>
      </c>
      <c r="G337" s="64">
        <v>1</v>
      </c>
      <c r="H337" s="64">
        <f t="shared" si="20"/>
        <v>1.8900000000000001</v>
      </c>
    </row>
    <row r="338" spans="2:8" s="4" customFormat="1" x14ac:dyDescent="0.3">
      <c r="B338" s="59" t="s">
        <v>644</v>
      </c>
      <c r="C338" s="56" t="s">
        <v>127</v>
      </c>
      <c r="D338" s="59"/>
      <c r="E338" s="64">
        <v>0.7</v>
      </c>
      <c r="F338" s="64">
        <v>2.1</v>
      </c>
      <c r="G338" s="64">
        <v>1</v>
      </c>
      <c r="H338" s="64">
        <f t="shared" si="20"/>
        <v>1.47</v>
      </c>
    </row>
    <row r="339" spans="2:8" s="4" customFormat="1" x14ac:dyDescent="0.3">
      <c r="B339" s="59" t="s">
        <v>645</v>
      </c>
      <c r="C339" s="56" t="s">
        <v>129</v>
      </c>
      <c r="D339" s="59"/>
      <c r="E339" s="64">
        <v>0.7</v>
      </c>
      <c r="F339" s="64">
        <v>2.1</v>
      </c>
      <c r="G339" s="64">
        <v>1</v>
      </c>
      <c r="H339" s="64">
        <f t="shared" si="20"/>
        <v>1.47</v>
      </c>
    </row>
    <row r="340" spans="2:8" s="4" customFormat="1" x14ac:dyDescent="0.3">
      <c r="B340" s="59" t="s">
        <v>646</v>
      </c>
      <c r="C340" s="56" t="s">
        <v>130</v>
      </c>
      <c r="D340" s="59"/>
      <c r="E340" s="64">
        <v>0.9</v>
      </c>
      <c r="F340" s="64">
        <v>2.1</v>
      </c>
      <c r="G340" s="64">
        <v>1</v>
      </c>
      <c r="H340" s="64">
        <f t="shared" si="20"/>
        <v>1.8900000000000001</v>
      </c>
    </row>
    <row r="341" spans="2:8" s="4" customFormat="1" x14ac:dyDescent="0.3">
      <c r="B341" s="59" t="s">
        <v>647</v>
      </c>
      <c r="C341" s="56" t="s">
        <v>170</v>
      </c>
      <c r="D341" s="59"/>
      <c r="E341" s="64">
        <v>0.9</v>
      </c>
      <c r="F341" s="64">
        <v>2.1</v>
      </c>
      <c r="G341" s="64">
        <v>1</v>
      </c>
      <c r="H341" s="64">
        <f t="shared" si="20"/>
        <v>1.8900000000000001</v>
      </c>
    </row>
    <row r="342" spans="2:8" s="4" customFormat="1" x14ac:dyDescent="0.3">
      <c r="B342" s="59" t="s">
        <v>648</v>
      </c>
      <c r="C342" s="56" t="s">
        <v>135</v>
      </c>
      <c r="D342" s="59"/>
      <c r="E342" s="64">
        <v>0.9</v>
      </c>
      <c r="F342" s="64">
        <v>2.1</v>
      </c>
      <c r="G342" s="64">
        <v>1</v>
      </c>
      <c r="H342" s="64">
        <f t="shared" si="20"/>
        <v>1.8900000000000001</v>
      </c>
    </row>
    <row r="343" spans="2:8" s="4" customFormat="1" x14ac:dyDescent="0.3">
      <c r="B343" s="59" t="s">
        <v>649</v>
      </c>
      <c r="C343" s="81" t="s">
        <v>302</v>
      </c>
      <c r="D343" s="74"/>
      <c r="E343" s="64">
        <v>0.9</v>
      </c>
      <c r="F343" s="64">
        <v>2.1</v>
      </c>
      <c r="G343" s="64">
        <v>1</v>
      </c>
      <c r="H343" s="64">
        <f t="shared" si="20"/>
        <v>1.8900000000000001</v>
      </c>
    </row>
    <row r="344" spans="2:8" s="4" customFormat="1" x14ac:dyDescent="0.3">
      <c r="B344" s="424" t="s">
        <v>9</v>
      </c>
      <c r="C344" s="424"/>
      <c r="D344" s="424"/>
      <c r="E344" s="424"/>
      <c r="F344" s="424"/>
      <c r="G344" s="424"/>
      <c r="H344" s="67">
        <f>SUM(H333:H343)</f>
        <v>21.840000000000003</v>
      </c>
    </row>
    <row r="345" spans="2:8" s="4" customFormat="1" x14ac:dyDescent="0.3">
      <c r="B345" s="59" t="s">
        <v>402</v>
      </c>
      <c r="C345" s="78" t="s">
        <v>358</v>
      </c>
      <c r="D345" s="71" t="s">
        <v>21</v>
      </c>
      <c r="E345" s="59" t="s">
        <v>98</v>
      </c>
      <c r="F345" s="59" t="s">
        <v>167</v>
      </c>
      <c r="G345" s="59" t="s">
        <v>99</v>
      </c>
      <c r="H345" s="64" t="s">
        <v>100</v>
      </c>
    </row>
    <row r="346" spans="2:8" s="4" customFormat="1" x14ac:dyDescent="0.3">
      <c r="B346" s="59" t="s">
        <v>650</v>
      </c>
      <c r="C346" s="78" t="s">
        <v>302</v>
      </c>
      <c r="D346" s="73"/>
      <c r="E346" s="64">
        <v>2.5</v>
      </c>
      <c r="F346" s="64">
        <v>1.5</v>
      </c>
      <c r="G346" s="64">
        <v>2</v>
      </c>
      <c r="H346" s="64">
        <f>G346*F346*E346</f>
        <v>7.5</v>
      </c>
    </row>
    <row r="347" spans="2:8" s="4" customFormat="1" ht="17.25" thickBot="1" x14ac:dyDescent="0.35">
      <c r="B347" s="424" t="s">
        <v>9</v>
      </c>
      <c r="C347" s="424"/>
      <c r="D347" s="424"/>
      <c r="E347" s="424"/>
      <c r="F347" s="424"/>
      <c r="G347" s="424"/>
      <c r="H347" s="67">
        <f>SUM(H346)</f>
        <v>7.5</v>
      </c>
    </row>
    <row r="348" spans="2:8" s="4" customFormat="1" ht="17.25" thickBot="1" x14ac:dyDescent="0.3">
      <c r="B348" s="418" t="s">
        <v>360</v>
      </c>
      <c r="C348" s="419"/>
      <c r="D348" s="419"/>
      <c r="E348" s="419"/>
      <c r="F348" s="419"/>
      <c r="G348" s="419"/>
      <c r="H348" s="420"/>
    </row>
    <row r="349" spans="2:8" s="4" customFormat="1" x14ac:dyDescent="0.25">
      <c r="B349" s="158" t="s">
        <v>705</v>
      </c>
      <c r="C349" s="143" t="s">
        <v>361</v>
      </c>
      <c r="D349" s="127"/>
      <c r="E349" s="128"/>
      <c r="F349" s="128"/>
      <c r="G349" s="128"/>
      <c r="H349" s="129"/>
    </row>
    <row r="350" spans="2:8" s="4" customFormat="1" x14ac:dyDescent="0.3">
      <c r="B350" s="59" t="s">
        <v>403</v>
      </c>
      <c r="C350" s="72" t="s">
        <v>362</v>
      </c>
      <c r="D350" s="71" t="s">
        <v>21</v>
      </c>
      <c r="E350" s="59" t="s">
        <v>98</v>
      </c>
      <c r="F350" s="59" t="s">
        <v>167</v>
      </c>
      <c r="G350" s="59" t="s">
        <v>99</v>
      </c>
      <c r="H350" s="64" t="s">
        <v>100</v>
      </c>
    </row>
    <row r="351" spans="2:8" s="4" customFormat="1" x14ac:dyDescent="0.3">
      <c r="B351" s="59" t="s">
        <v>651</v>
      </c>
      <c r="C351" s="78" t="s">
        <v>363</v>
      </c>
      <c r="D351" s="73"/>
      <c r="E351" s="64">
        <v>2.5</v>
      </c>
      <c r="F351" s="64">
        <v>1.5</v>
      </c>
      <c r="G351" s="64">
        <v>2</v>
      </c>
      <c r="H351" s="64">
        <f>G351*F351*E351</f>
        <v>7.5</v>
      </c>
    </row>
    <row r="352" spans="2:8" s="4" customFormat="1" ht="17.25" thickBot="1" x14ac:dyDescent="0.35">
      <c r="B352" s="424" t="s">
        <v>9</v>
      </c>
      <c r="C352" s="424"/>
      <c r="D352" s="424"/>
      <c r="E352" s="424"/>
      <c r="F352" s="424"/>
      <c r="G352" s="424"/>
      <c r="H352" s="67">
        <f>SUM(H351)</f>
        <v>7.5</v>
      </c>
    </row>
    <row r="353" spans="2:8" s="4" customFormat="1" ht="17.25" thickBot="1" x14ac:dyDescent="0.3">
      <c r="B353" s="418" t="s">
        <v>59</v>
      </c>
      <c r="C353" s="419"/>
      <c r="D353" s="419"/>
      <c r="E353" s="419"/>
      <c r="F353" s="419"/>
      <c r="G353" s="419"/>
      <c r="H353" s="420"/>
    </row>
    <row r="354" spans="2:8" s="4" customFormat="1" x14ac:dyDescent="0.3">
      <c r="B354" s="156" t="s">
        <v>706</v>
      </c>
      <c r="C354" s="130" t="s">
        <v>196</v>
      </c>
      <c r="D354" s="445"/>
      <c r="E354" s="445"/>
      <c r="F354" s="445"/>
      <c r="G354" s="445"/>
      <c r="H354" s="445"/>
    </row>
    <row r="355" spans="2:8" s="4" customFormat="1" x14ac:dyDescent="0.3">
      <c r="B355" s="59" t="s">
        <v>652</v>
      </c>
      <c r="C355" s="60" t="s">
        <v>242</v>
      </c>
      <c r="D355" s="59" t="s">
        <v>21</v>
      </c>
      <c r="E355" s="59" t="s">
        <v>98</v>
      </c>
      <c r="F355" s="59" t="s">
        <v>236</v>
      </c>
      <c r="G355" s="59" t="s">
        <v>99</v>
      </c>
      <c r="H355" s="64" t="s">
        <v>100</v>
      </c>
    </row>
    <row r="356" spans="2:8" s="4" customFormat="1" x14ac:dyDescent="0.3">
      <c r="B356" s="90" t="s">
        <v>653</v>
      </c>
      <c r="C356" s="63" t="s">
        <v>148</v>
      </c>
      <c r="D356" s="417"/>
      <c r="E356" s="417"/>
      <c r="F356" s="417"/>
      <c r="G356" s="417"/>
      <c r="H356" s="417"/>
    </row>
    <row r="357" spans="2:8" s="4" customFormat="1" x14ac:dyDescent="0.3">
      <c r="B357" s="90"/>
      <c r="C357" s="63" t="s">
        <v>233</v>
      </c>
      <c r="D357" s="90"/>
      <c r="E357" s="87">
        <f>9.05+4.8+5.25+0.45</f>
        <v>19.55</v>
      </c>
      <c r="F357" s="87">
        <v>1</v>
      </c>
      <c r="G357" s="87"/>
      <c r="H357" s="64">
        <f>F357*E357</f>
        <v>19.55</v>
      </c>
    </row>
    <row r="358" spans="2:8" s="4" customFormat="1" x14ac:dyDescent="0.3">
      <c r="B358" s="90"/>
      <c r="C358" s="63" t="s">
        <v>60</v>
      </c>
      <c r="D358" s="90"/>
      <c r="E358" s="87">
        <v>2.4</v>
      </c>
      <c r="F358" s="87">
        <v>1</v>
      </c>
      <c r="G358" s="87">
        <v>1</v>
      </c>
      <c r="H358" s="64">
        <f>G358*F358*E358</f>
        <v>2.4</v>
      </c>
    </row>
    <row r="359" spans="2:8" s="4" customFormat="1" x14ac:dyDescent="0.3">
      <c r="B359" s="90"/>
      <c r="C359" s="63" t="s">
        <v>60</v>
      </c>
      <c r="D359" s="90"/>
      <c r="E359" s="87">
        <v>0.8</v>
      </c>
      <c r="F359" s="87">
        <v>1</v>
      </c>
      <c r="G359" s="87">
        <v>1</v>
      </c>
      <c r="H359" s="64">
        <f>G359*F359*E359</f>
        <v>0.8</v>
      </c>
    </row>
    <row r="360" spans="2:8" s="4" customFormat="1" x14ac:dyDescent="0.3">
      <c r="B360" s="90"/>
      <c r="C360" s="63" t="s">
        <v>61</v>
      </c>
      <c r="D360" s="90"/>
      <c r="E360" s="87">
        <v>2</v>
      </c>
      <c r="F360" s="87">
        <v>0.6</v>
      </c>
      <c r="G360" s="87">
        <v>4</v>
      </c>
      <c r="H360" s="64">
        <f>G360*F360*E360</f>
        <v>4.8</v>
      </c>
    </row>
    <row r="361" spans="2:8" s="4" customFormat="1" x14ac:dyDescent="0.3">
      <c r="B361" s="411" t="s">
        <v>55</v>
      </c>
      <c r="C361" s="411"/>
      <c r="D361" s="411"/>
      <c r="E361" s="411"/>
      <c r="F361" s="411"/>
      <c r="G361" s="411"/>
      <c r="H361" s="64">
        <f>H357-H358-H359-H360</f>
        <v>11.55</v>
      </c>
    </row>
    <row r="362" spans="2:8" s="4" customFormat="1" x14ac:dyDescent="0.3">
      <c r="B362" s="90" t="s">
        <v>656</v>
      </c>
      <c r="C362" s="62" t="s">
        <v>234</v>
      </c>
      <c r="D362" s="417"/>
      <c r="E362" s="417"/>
      <c r="F362" s="417"/>
      <c r="G362" s="417"/>
      <c r="H362" s="417"/>
    </row>
    <row r="363" spans="2:8" s="4" customFormat="1" x14ac:dyDescent="0.3">
      <c r="B363" s="90"/>
      <c r="C363" s="63" t="s">
        <v>235</v>
      </c>
      <c r="D363" s="90"/>
      <c r="E363" s="87">
        <v>2</v>
      </c>
      <c r="F363" s="87">
        <v>1.5</v>
      </c>
      <c r="G363" s="90"/>
      <c r="H363" s="87">
        <f>F363*E363</f>
        <v>3</v>
      </c>
    </row>
    <row r="364" spans="2:8" s="4" customFormat="1" x14ac:dyDescent="0.3">
      <c r="B364" s="411" t="s">
        <v>55</v>
      </c>
      <c r="C364" s="411"/>
      <c r="D364" s="411"/>
      <c r="E364" s="411"/>
      <c r="F364" s="411"/>
      <c r="G364" s="411"/>
      <c r="H364" s="64">
        <f>H363</f>
        <v>3</v>
      </c>
    </row>
    <row r="365" spans="2:8" x14ac:dyDescent="0.3">
      <c r="B365" s="90" t="s">
        <v>657</v>
      </c>
      <c r="C365" s="89" t="s">
        <v>238</v>
      </c>
      <c r="D365" s="435"/>
      <c r="E365" s="435"/>
      <c r="F365" s="435"/>
      <c r="G365" s="435"/>
      <c r="H365" s="435"/>
    </row>
    <row r="366" spans="2:8" x14ac:dyDescent="0.3">
      <c r="B366" s="90"/>
      <c r="C366" s="89" t="s">
        <v>239</v>
      </c>
      <c r="D366" s="90"/>
      <c r="E366" s="87">
        <f>1+1.5</f>
        <v>2.5</v>
      </c>
      <c r="F366" s="87">
        <v>0.6</v>
      </c>
      <c r="G366" s="90"/>
      <c r="H366" s="87">
        <f>F366*E366</f>
        <v>1.5</v>
      </c>
    </row>
    <row r="367" spans="2:8" x14ac:dyDescent="0.3">
      <c r="B367" s="439" t="s">
        <v>55</v>
      </c>
      <c r="C367" s="439"/>
      <c r="D367" s="439"/>
      <c r="E367" s="439"/>
      <c r="F367" s="439"/>
      <c r="G367" s="439"/>
      <c r="H367" s="87">
        <f>H366</f>
        <v>1.5</v>
      </c>
    </row>
    <row r="368" spans="2:8" x14ac:dyDescent="0.3">
      <c r="B368" s="90" t="s">
        <v>658</v>
      </c>
      <c r="C368" s="89" t="s">
        <v>104</v>
      </c>
      <c r="D368" s="435"/>
      <c r="E368" s="435"/>
      <c r="F368" s="435"/>
      <c r="G368" s="435"/>
      <c r="H368" s="435"/>
    </row>
    <row r="369" spans="2:8" x14ac:dyDescent="0.3">
      <c r="B369" s="90"/>
      <c r="C369" s="89" t="s">
        <v>240</v>
      </c>
      <c r="D369" s="90"/>
      <c r="E369" s="90">
        <f>1.25+1.5</f>
        <v>2.75</v>
      </c>
      <c r="F369" s="87">
        <v>0.6</v>
      </c>
      <c r="G369" s="90"/>
      <c r="H369" s="87">
        <f>F369*E369</f>
        <v>1.65</v>
      </c>
    </row>
    <row r="370" spans="2:8" x14ac:dyDescent="0.3">
      <c r="B370" s="439" t="s">
        <v>55</v>
      </c>
      <c r="C370" s="439"/>
      <c r="D370" s="439"/>
      <c r="E370" s="439"/>
      <c r="F370" s="439"/>
      <c r="G370" s="439"/>
      <c r="H370" s="87">
        <f>H369</f>
        <v>1.65</v>
      </c>
    </row>
    <row r="371" spans="2:8" s="4" customFormat="1" x14ac:dyDescent="0.3">
      <c r="B371" s="59" t="s">
        <v>659</v>
      </c>
      <c r="C371" s="78" t="s">
        <v>302</v>
      </c>
      <c r="D371" s="59"/>
      <c r="E371" s="131"/>
      <c r="F371" s="131"/>
      <c r="G371" s="131"/>
      <c r="H371" s="64"/>
    </row>
    <row r="372" spans="2:8" s="4" customFormat="1" x14ac:dyDescent="0.3">
      <c r="B372" s="59"/>
      <c r="C372" s="78" t="s">
        <v>364</v>
      </c>
      <c r="D372" s="59"/>
      <c r="E372" s="64">
        <f>7.8+3.9+3.9+2</f>
        <v>17.600000000000001</v>
      </c>
      <c r="F372" s="64">
        <v>3.15</v>
      </c>
      <c r="G372" s="64"/>
      <c r="H372" s="64">
        <f>F372*E372</f>
        <v>55.440000000000005</v>
      </c>
    </row>
    <row r="373" spans="2:8" s="4" customFormat="1" x14ac:dyDescent="0.3">
      <c r="B373" s="59"/>
      <c r="C373" s="78" t="s">
        <v>60</v>
      </c>
      <c r="D373" s="59"/>
      <c r="E373" s="64">
        <v>0.9</v>
      </c>
      <c r="F373" s="64">
        <v>2.1</v>
      </c>
      <c r="G373" s="64">
        <v>1</v>
      </c>
      <c r="H373" s="64">
        <f>F373*E373*G373</f>
        <v>1.8900000000000001</v>
      </c>
    </row>
    <row r="374" spans="2:8" s="4" customFormat="1" x14ac:dyDescent="0.3">
      <c r="B374" s="59"/>
      <c r="C374" s="63" t="s">
        <v>61</v>
      </c>
      <c r="D374" s="59"/>
      <c r="E374" s="64">
        <v>2.5</v>
      </c>
      <c r="F374" s="64">
        <v>1.5</v>
      </c>
      <c r="G374" s="64">
        <v>2</v>
      </c>
      <c r="H374" s="64">
        <f>F374*E374*G374</f>
        <v>7.5</v>
      </c>
    </row>
    <row r="375" spans="2:8" s="4" customFormat="1" x14ac:dyDescent="0.3">
      <c r="B375" s="59"/>
      <c r="C375" s="78" t="s">
        <v>365</v>
      </c>
      <c r="D375" s="59"/>
      <c r="E375" s="64">
        <f>7.5+3.6+3.6+2</f>
        <v>16.7</v>
      </c>
      <c r="F375" s="64">
        <v>3</v>
      </c>
      <c r="G375" s="64"/>
      <c r="H375" s="64">
        <f>F375*E375</f>
        <v>50.099999999999994</v>
      </c>
    </row>
    <row r="376" spans="2:8" s="4" customFormat="1" x14ac:dyDescent="0.3">
      <c r="B376" s="59"/>
      <c r="C376" s="78" t="s">
        <v>60</v>
      </c>
      <c r="D376" s="59"/>
      <c r="E376" s="64">
        <v>0.9</v>
      </c>
      <c r="F376" s="64">
        <v>2.1</v>
      </c>
      <c r="G376" s="64">
        <v>1</v>
      </c>
      <c r="H376" s="64">
        <f>F376*E376*G376</f>
        <v>1.8900000000000001</v>
      </c>
    </row>
    <row r="377" spans="2:8" s="4" customFormat="1" x14ac:dyDescent="0.3">
      <c r="B377" s="59"/>
      <c r="C377" s="63" t="s">
        <v>61</v>
      </c>
      <c r="D377" s="59"/>
      <c r="E377" s="64">
        <v>2.5</v>
      </c>
      <c r="F377" s="64">
        <v>1.5</v>
      </c>
      <c r="G377" s="64">
        <v>2</v>
      </c>
      <c r="H377" s="64">
        <f>F377*E377*G377</f>
        <v>7.5</v>
      </c>
    </row>
    <row r="378" spans="2:8" s="4" customFormat="1" x14ac:dyDescent="0.3">
      <c r="B378" s="411" t="s">
        <v>55</v>
      </c>
      <c r="C378" s="411"/>
      <c r="D378" s="411"/>
      <c r="E378" s="411"/>
      <c r="F378" s="411"/>
      <c r="G378" s="411"/>
      <c r="H378" s="64">
        <f>H372+H375-H373-H374-H376-H377</f>
        <v>86.759999999999991</v>
      </c>
    </row>
    <row r="379" spans="2:8" s="4" customFormat="1" x14ac:dyDescent="0.3">
      <c r="B379" s="424" t="s">
        <v>9</v>
      </c>
      <c r="C379" s="424"/>
      <c r="D379" s="424"/>
      <c r="E379" s="424"/>
      <c r="F379" s="424"/>
      <c r="G379" s="424"/>
      <c r="H379" s="51">
        <f>H378+H364+H361+H367+H370</f>
        <v>104.46</v>
      </c>
    </row>
    <row r="380" spans="2:8" s="4" customFormat="1" x14ac:dyDescent="0.3">
      <c r="B380" s="59" t="s">
        <v>404</v>
      </c>
      <c r="C380" s="60" t="s">
        <v>198</v>
      </c>
      <c r="D380" s="417"/>
      <c r="E380" s="417"/>
      <c r="F380" s="417"/>
      <c r="G380" s="417"/>
      <c r="H380" s="417"/>
    </row>
    <row r="381" spans="2:8" s="4" customFormat="1" x14ac:dyDescent="0.3">
      <c r="B381" s="90" t="s">
        <v>654</v>
      </c>
      <c r="C381" s="63" t="s">
        <v>142</v>
      </c>
      <c r="D381" s="417"/>
      <c r="E381" s="417"/>
      <c r="F381" s="417"/>
      <c r="G381" s="417"/>
      <c r="H381" s="417"/>
    </row>
    <row r="382" spans="2:8" ht="15.75" customHeight="1" x14ac:dyDescent="0.3">
      <c r="B382" s="90"/>
      <c r="C382" s="63" t="s">
        <v>143</v>
      </c>
      <c r="D382" s="90"/>
      <c r="E382" s="87">
        <f>1.8+3.15+1.8+3.15</f>
        <v>9.9</v>
      </c>
      <c r="F382" s="87">
        <v>2.69</v>
      </c>
      <c r="G382" s="87"/>
      <c r="H382" s="87">
        <f>F382*E382</f>
        <v>26.631</v>
      </c>
    </row>
    <row r="383" spans="2:8" x14ac:dyDescent="0.3">
      <c r="B383" s="90"/>
      <c r="C383" s="63" t="s">
        <v>60</v>
      </c>
      <c r="D383" s="90"/>
      <c r="E383" s="87">
        <v>0.9</v>
      </c>
      <c r="F383" s="87">
        <v>2.1</v>
      </c>
      <c r="G383" s="87">
        <v>1</v>
      </c>
      <c r="H383" s="87">
        <f>G383*F383*E383</f>
        <v>1.8900000000000001</v>
      </c>
    </row>
    <row r="384" spans="2:8" s="4" customFormat="1" x14ac:dyDescent="0.3">
      <c r="B384" s="90"/>
      <c r="C384" s="63" t="s">
        <v>61</v>
      </c>
      <c r="D384" s="90"/>
      <c r="E384" s="87">
        <v>1.5</v>
      </c>
      <c r="F384" s="87">
        <v>1</v>
      </c>
      <c r="G384" s="87">
        <v>1</v>
      </c>
      <c r="H384" s="87">
        <f>G384*F384*E384</f>
        <v>1.5</v>
      </c>
    </row>
    <row r="385" spans="2:8" x14ac:dyDescent="0.3">
      <c r="B385" s="439" t="s">
        <v>55</v>
      </c>
      <c r="C385" s="439"/>
      <c r="D385" s="439"/>
      <c r="E385" s="439"/>
      <c r="F385" s="439"/>
      <c r="G385" s="439"/>
      <c r="H385" s="87">
        <f>H382-H383-H384</f>
        <v>23.241</v>
      </c>
    </row>
    <row r="386" spans="2:8" x14ac:dyDescent="0.3">
      <c r="B386" s="59" t="s">
        <v>660</v>
      </c>
      <c r="C386" s="56" t="s">
        <v>127</v>
      </c>
      <c r="D386" s="417"/>
      <c r="E386" s="417"/>
      <c r="F386" s="417"/>
      <c r="G386" s="417"/>
      <c r="H386" s="417"/>
    </row>
    <row r="387" spans="2:8" s="4" customFormat="1" x14ac:dyDescent="0.3">
      <c r="B387" s="59"/>
      <c r="C387" s="56" t="s">
        <v>128</v>
      </c>
      <c r="D387" s="59"/>
      <c r="E387" s="64">
        <f>2.97+2+2.97+2</f>
        <v>9.9400000000000013</v>
      </c>
      <c r="F387" s="64">
        <v>1.6</v>
      </c>
      <c r="G387" s="64"/>
      <c r="H387" s="64">
        <f>F387*E387</f>
        <v>15.904000000000003</v>
      </c>
    </row>
    <row r="388" spans="2:8" x14ac:dyDescent="0.3">
      <c r="B388" s="59"/>
      <c r="C388" s="56" t="s">
        <v>60</v>
      </c>
      <c r="D388" s="59"/>
      <c r="E388" s="64">
        <v>0.7</v>
      </c>
      <c r="F388" s="64">
        <v>1.6</v>
      </c>
      <c r="G388" s="64">
        <v>1</v>
      </c>
      <c r="H388" s="64">
        <f>G388*F388*E388</f>
        <v>1.1199999999999999</v>
      </c>
    </row>
    <row r="389" spans="2:8" x14ac:dyDescent="0.3">
      <c r="B389" s="411" t="s">
        <v>55</v>
      </c>
      <c r="C389" s="411"/>
      <c r="D389" s="411"/>
      <c r="E389" s="411"/>
      <c r="F389" s="411"/>
      <c r="G389" s="411"/>
      <c r="H389" s="64">
        <f>H387-H388</f>
        <v>14.784000000000004</v>
      </c>
    </row>
    <row r="390" spans="2:8" x14ac:dyDescent="0.3">
      <c r="B390" s="59" t="s">
        <v>661</v>
      </c>
      <c r="C390" s="56" t="s">
        <v>129</v>
      </c>
      <c r="D390" s="417"/>
      <c r="E390" s="417"/>
      <c r="F390" s="417"/>
      <c r="G390" s="417"/>
      <c r="H390" s="417"/>
    </row>
    <row r="391" spans="2:8" s="4" customFormat="1" x14ac:dyDescent="0.3">
      <c r="B391" s="59"/>
      <c r="C391" s="56" t="s">
        <v>128</v>
      </c>
      <c r="D391" s="59"/>
      <c r="E391" s="64">
        <f>2.97+2+2.97+2</f>
        <v>9.9400000000000013</v>
      </c>
      <c r="F391" s="64">
        <v>1.6</v>
      </c>
      <c r="G391" s="64"/>
      <c r="H391" s="64">
        <f>F391*E391</f>
        <v>15.904000000000003</v>
      </c>
    </row>
    <row r="392" spans="2:8" x14ac:dyDescent="0.3">
      <c r="B392" s="59"/>
      <c r="C392" s="56" t="s">
        <v>60</v>
      </c>
      <c r="D392" s="59"/>
      <c r="E392" s="64">
        <v>0.7</v>
      </c>
      <c r="F392" s="64">
        <v>1.6</v>
      </c>
      <c r="G392" s="64">
        <v>1</v>
      </c>
      <c r="H392" s="64">
        <f>G392*F392*E392</f>
        <v>1.1199999999999999</v>
      </c>
    </row>
    <row r="393" spans="2:8" x14ac:dyDescent="0.3">
      <c r="B393" s="411" t="s">
        <v>55</v>
      </c>
      <c r="C393" s="411"/>
      <c r="D393" s="411"/>
      <c r="E393" s="411"/>
      <c r="F393" s="411"/>
      <c r="G393" s="411"/>
      <c r="H393" s="64">
        <f>H391-H392</f>
        <v>14.784000000000004</v>
      </c>
    </row>
    <row r="394" spans="2:8" s="4" customFormat="1" x14ac:dyDescent="0.3">
      <c r="B394" s="424" t="s">
        <v>9</v>
      </c>
      <c r="C394" s="424"/>
      <c r="D394" s="424"/>
      <c r="E394" s="424"/>
      <c r="F394" s="424"/>
      <c r="G394" s="424"/>
      <c r="H394" s="67">
        <f>H385+H389+H393</f>
        <v>52.809000000000012</v>
      </c>
    </row>
    <row r="395" spans="2:8" x14ac:dyDescent="0.3">
      <c r="B395" s="59" t="s">
        <v>405</v>
      </c>
      <c r="C395" s="133" t="s">
        <v>197</v>
      </c>
      <c r="D395" s="59" t="s">
        <v>21</v>
      </c>
      <c r="E395" s="59" t="s">
        <v>98</v>
      </c>
      <c r="F395" s="59" t="s">
        <v>236</v>
      </c>
      <c r="G395" s="59" t="s">
        <v>99</v>
      </c>
      <c r="H395" s="64" t="s">
        <v>100</v>
      </c>
    </row>
    <row r="396" spans="2:8" x14ac:dyDescent="0.3">
      <c r="B396" s="90" t="s">
        <v>655</v>
      </c>
      <c r="C396" s="63" t="s">
        <v>148</v>
      </c>
      <c r="D396" s="417"/>
      <c r="E396" s="417"/>
      <c r="F396" s="417"/>
      <c r="G396" s="417"/>
      <c r="H396" s="417"/>
    </row>
    <row r="397" spans="2:8" s="4" customFormat="1" x14ac:dyDescent="0.3">
      <c r="B397" s="90"/>
      <c r="C397" s="63" t="s">
        <v>233</v>
      </c>
      <c r="D397" s="90"/>
      <c r="E397" s="87">
        <f>9.05+4.8+5.25+0.45</f>
        <v>19.55</v>
      </c>
      <c r="F397" s="87">
        <v>1</v>
      </c>
      <c r="G397" s="87"/>
      <c r="H397" s="64">
        <f>F397*E397</f>
        <v>19.55</v>
      </c>
    </row>
    <row r="398" spans="2:8" x14ac:dyDescent="0.3">
      <c r="B398" s="90"/>
      <c r="C398" s="63" t="s">
        <v>60</v>
      </c>
      <c r="D398" s="90"/>
      <c r="E398" s="87">
        <v>2.4</v>
      </c>
      <c r="F398" s="87">
        <v>1</v>
      </c>
      <c r="G398" s="87">
        <v>1</v>
      </c>
      <c r="H398" s="64">
        <f>G398*F398*E398</f>
        <v>2.4</v>
      </c>
    </row>
    <row r="399" spans="2:8" x14ac:dyDescent="0.3">
      <c r="B399" s="90"/>
      <c r="C399" s="63" t="s">
        <v>60</v>
      </c>
      <c r="D399" s="90"/>
      <c r="E399" s="87">
        <v>0.8</v>
      </c>
      <c r="F399" s="87">
        <v>1</v>
      </c>
      <c r="G399" s="87">
        <v>1</v>
      </c>
      <c r="H399" s="64">
        <f>G399*F399*E399</f>
        <v>0.8</v>
      </c>
    </row>
    <row r="400" spans="2:8" x14ac:dyDescent="0.3">
      <c r="B400" s="90"/>
      <c r="C400" s="63" t="s">
        <v>61</v>
      </c>
      <c r="D400" s="90"/>
      <c r="E400" s="87">
        <v>2</v>
      </c>
      <c r="F400" s="87">
        <v>0.6</v>
      </c>
      <c r="G400" s="87">
        <v>4</v>
      </c>
      <c r="H400" s="64">
        <f>G400*F400*E400</f>
        <v>4.8</v>
      </c>
    </row>
    <row r="401" spans="2:8" x14ac:dyDescent="0.3">
      <c r="B401" s="411" t="s">
        <v>55</v>
      </c>
      <c r="C401" s="411"/>
      <c r="D401" s="411"/>
      <c r="E401" s="411"/>
      <c r="F401" s="411"/>
      <c r="G401" s="411"/>
      <c r="H401" s="64">
        <f>H397-H398-H399-H400</f>
        <v>11.55</v>
      </c>
    </row>
    <row r="402" spans="2:8" x14ac:dyDescent="0.3">
      <c r="B402" s="90" t="s">
        <v>662</v>
      </c>
      <c r="C402" s="62" t="s">
        <v>234</v>
      </c>
      <c r="D402" s="417"/>
      <c r="E402" s="417"/>
      <c r="F402" s="417"/>
      <c r="G402" s="417"/>
      <c r="H402" s="417"/>
    </row>
    <row r="403" spans="2:8" x14ac:dyDescent="0.3">
      <c r="B403" s="90"/>
      <c r="C403" s="63" t="s">
        <v>235</v>
      </c>
      <c r="D403" s="90"/>
      <c r="E403" s="87">
        <v>2</v>
      </c>
      <c r="F403" s="87">
        <v>1.5</v>
      </c>
      <c r="G403" s="90"/>
      <c r="H403" s="87">
        <f>F403*E403</f>
        <v>3</v>
      </c>
    </row>
    <row r="404" spans="2:8" x14ac:dyDescent="0.3">
      <c r="B404" s="411" t="s">
        <v>55</v>
      </c>
      <c r="C404" s="411"/>
      <c r="D404" s="411"/>
      <c r="E404" s="411"/>
      <c r="F404" s="411"/>
      <c r="G404" s="411"/>
      <c r="H404" s="64">
        <f>H403</f>
        <v>3</v>
      </c>
    </row>
    <row r="405" spans="2:8" x14ac:dyDescent="0.3">
      <c r="B405" s="90" t="s">
        <v>663</v>
      </c>
      <c r="C405" s="89" t="s">
        <v>238</v>
      </c>
      <c r="D405" s="435"/>
      <c r="E405" s="435"/>
      <c r="F405" s="435"/>
      <c r="G405" s="435"/>
      <c r="H405" s="435"/>
    </row>
    <row r="406" spans="2:8" x14ac:dyDescent="0.3">
      <c r="B406" s="90"/>
      <c r="C406" s="89" t="s">
        <v>239</v>
      </c>
      <c r="D406" s="90"/>
      <c r="E406" s="87">
        <f>1+1.5</f>
        <v>2.5</v>
      </c>
      <c r="F406" s="87">
        <v>0.6</v>
      </c>
      <c r="G406" s="90"/>
      <c r="H406" s="87">
        <f>F406*E406</f>
        <v>1.5</v>
      </c>
    </row>
    <row r="407" spans="2:8" x14ac:dyDescent="0.3">
      <c r="B407" s="439" t="s">
        <v>55</v>
      </c>
      <c r="C407" s="439"/>
      <c r="D407" s="439"/>
      <c r="E407" s="439"/>
      <c r="F407" s="439"/>
      <c r="G407" s="439"/>
      <c r="H407" s="87">
        <f>H406</f>
        <v>1.5</v>
      </c>
    </row>
    <row r="408" spans="2:8" x14ac:dyDescent="0.3">
      <c r="B408" s="90" t="s">
        <v>664</v>
      </c>
      <c r="C408" s="89" t="s">
        <v>104</v>
      </c>
      <c r="D408" s="435"/>
      <c r="E408" s="435"/>
      <c r="F408" s="435"/>
      <c r="G408" s="435"/>
      <c r="H408" s="435"/>
    </row>
    <row r="409" spans="2:8" x14ac:dyDescent="0.3">
      <c r="B409" s="90"/>
      <c r="C409" s="89" t="s">
        <v>240</v>
      </c>
      <c r="D409" s="90"/>
      <c r="E409" s="90">
        <f>1.25+1.5</f>
        <v>2.75</v>
      </c>
      <c r="F409" s="87">
        <v>0.6</v>
      </c>
      <c r="G409" s="90"/>
      <c r="H409" s="87">
        <f>F409*E409</f>
        <v>1.65</v>
      </c>
    </row>
    <row r="410" spans="2:8" x14ac:dyDescent="0.3">
      <c r="B410" s="439" t="s">
        <v>55</v>
      </c>
      <c r="C410" s="439"/>
      <c r="D410" s="439"/>
      <c r="E410" s="439"/>
      <c r="F410" s="439"/>
      <c r="G410" s="439"/>
      <c r="H410" s="87">
        <f>H409</f>
        <v>1.65</v>
      </c>
    </row>
    <row r="411" spans="2:8" s="4" customFormat="1" x14ac:dyDescent="0.3">
      <c r="B411" s="59" t="s">
        <v>665</v>
      </c>
      <c r="C411" s="78" t="s">
        <v>302</v>
      </c>
      <c r="D411" s="59"/>
      <c r="E411" s="131"/>
      <c r="F411" s="131"/>
      <c r="G411" s="131"/>
      <c r="H411" s="64"/>
    </row>
    <row r="412" spans="2:8" s="4" customFormat="1" x14ac:dyDescent="0.3">
      <c r="B412" s="59"/>
      <c r="C412" s="78" t="s">
        <v>364</v>
      </c>
      <c r="D412" s="59"/>
      <c r="E412" s="64">
        <f>7.8+3.9+3.9+2</f>
        <v>17.600000000000001</v>
      </c>
      <c r="F412" s="64">
        <v>3.15</v>
      </c>
      <c r="G412" s="64"/>
      <c r="H412" s="64">
        <f>F412*E412</f>
        <v>55.440000000000005</v>
      </c>
    </row>
    <row r="413" spans="2:8" s="4" customFormat="1" x14ac:dyDescent="0.3">
      <c r="B413" s="59"/>
      <c r="C413" s="78" t="s">
        <v>60</v>
      </c>
      <c r="D413" s="59"/>
      <c r="E413" s="64">
        <v>0.9</v>
      </c>
      <c r="F413" s="64">
        <v>2.1</v>
      </c>
      <c r="G413" s="64">
        <v>1</v>
      </c>
      <c r="H413" s="64">
        <f>F413*E413*G413</f>
        <v>1.8900000000000001</v>
      </c>
    </row>
    <row r="414" spans="2:8" s="4" customFormat="1" x14ac:dyDescent="0.3">
      <c r="B414" s="59"/>
      <c r="C414" s="63" t="s">
        <v>61</v>
      </c>
      <c r="D414" s="59"/>
      <c r="E414" s="64">
        <v>2.5</v>
      </c>
      <c r="F414" s="64">
        <v>1.5</v>
      </c>
      <c r="G414" s="64">
        <v>2</v>
      </c>
      <c r="H414" s="64">
        <f>F414*E414*G414</f>
        <v>7.5</v>
      </c>
    </row>
    <row r="415" spans="2:8" s="4" customFormat="1" x14ac:dyDescent="0.3">
      <c r="B415" s="59"/>
      <c r="C415" s="78" t="s">
        <v>365</v>
      </c>
      <c r="D415" s="59"/>
      <c r="E415" s="64">
        <f>7.5+3.6+3.6+2</f>
        <v>16.7</v>
      </c>
      <c r="F415" s="64">
        <v>3</v>
      </c>
      <c r="G415" s="64"/>
      <c r="H415" s="64">
        <f>F415*E415</f>
        <v>50.099999999999994</v>
      </c>
    </row>
    <row r="416" spans="2:8" s="4" customFormat="1" x14ac:dyDescent="0.3">
      <c r="B416" s="59"/>
      <c r="C416" s="78" t="s">
        <v>60</v>
      </c>
      <c r="D416" s="59"/>
      <c r="E416" s="64">
        <v>0.9</v>
      </c>
      <c r="F416" s="64">
        <v>2.1</v>
      </c>
      <c r="G416" s="64">
        <v>1</v>
      </c>
      <c r="H416" s="64">
        <f>F416*E416*G416</f>
        <v>1.8900000000000001</v>
      </c>
    </row>
    <row r="417" spans="2:8" s="4" customFormat="1" x14ac:dyDescent="0.3">
      <c r="B417" s="59"/>
      <c r="C417" s="63" t="s">
        <v>61</v>
      </c>
      <c r="D417" s="59"/>
      <c r="E417" s="64">
        <v>2.5</v>
      </c>
      <c r="F417" s="64">
        <v>1.5</v>
      </c>
      <c r="G417" s="64">
        <v>2</v>
      </c>
      <c r="H417" s="64">
        <f>F417*E417*G417</f>
        <v>7.5</v>
      </c>
    </row>
    <row r="418" spans="2:8" s="4" customFormat="1" x14ac:dyDescent="0.3">
      <c r="B418" s="411" t="s">
        <v>55</v>
      </c>
      <c r="C418" s="411"/>
      <c r="D418" s="411"/>
      <c r="E418" s="411"/>
      <c r="F418" s="411"/>
      <c r="G418" s="411"/>
      <c r="H418" s="64">
        <f>H412+H415-H413-H414-H416-H417</f>
        <v>86.759999999999991</v>
      </c>
    </row>
    <row r="419" spans="2:8" ht="17.25" thickBot="1" x14ac:dyDescent="0.35">
      <c r="B419" s="411" t="s">
        <v>9</v>
      </c>
      <c r="C419" s="411"/>
      <c r="D419" s="411"/>
      <c r="E419" s="411"/>
      <c r="F419" s="411"/>
      <c r="G419" s="411"/>
      <c r="H419" s="51">
        <f>H404+H401+H418+H410+H407</f>
        <v>104.46</v>
      </c>
    </row>
    <row r="420" spans="2:8" ht="17.25" thickBot="1" x14ac:dyDescent="0.3">
      <c r="B420" s="418" t="s">
        <v>47</v>
      </c>
      <c r="C420" s="419"/>
      <c r="D420" s="419"/>
      <c r="E420" s="419"/>
      <c r="F420" s="419"/>
      <c r="G420" s="419"/>
      <c r="H420" s="420"/>
    </row>
    <row r="421" spans="2:8" customFormat="1" x14ac:dyDescent="0.3">
      <c r="B421" s="156" t="s">
        <v>707</v>
      </c>
      <c r="C421" s="137" t="s">
        <v>209</v>
      </c>
      <c r="D421" s="445"/>
      <c r="E421" s="445"/>
      <c r="F421" s="445"/>
      <c r="G421" s="445"/>
      <c r="H421" s="445"/>
    </row>
    <row r="422" spans="2:8" customFormat="1" ht="33" x14ac:dyDescent="0.3">
      <c r="B422" s="59" t="s">
        <v>406</v>
      </c>
      <c r="C422" s="133" t="s">
        <v>199</v>
      </c>
      <c r="D422" s="59"/>
      <c r="E422" s="417" t="s">
        <v>98</v>
      </c>
      <c r="F422" s="417"/>
      <c r="G422" s="59" t="s">
        <v>210</v>
      </c>
      <c r="H422" s="64" t="s">
        <v>223</v>
      </c>
    </row>
    <row r="423" spans="2:8" customFormat="1" x14ac:dyDescent="0.3">
      <c r="B423" s="59" t="s">
        <v>666</v>
      </c>
      <c r="C423" s="63" t="s">
        <v>153</v>
      </c>
      <c r="D423" s="90"/>
      <c r="E423" s="410">
        <v>3.4</v>
      </c>
      <c r="F423" s="410"/>
      <c r="G423" s="87">
        <v>2.2000000000000002</v>
      </c>
      <c r="H423" s="64">
        <f>G423*E423</f>
        <v>7.48</v>
      </c>
    </row>
    <row r="424" spans="2:8" customFormat="1" x14ac:dyDescent="0.3">
      <c r="B424" s="74" t="s">
        <v>667</v>
      </c>
      <c r="C424" s="134" t="s">
        <v>302</v>
      </c>
      <c r="D424" s="135"/>
      <c r="E424" s="410">
        <v>3.6</v>
      </c>
      <c r="F424" s="410"/>
      <c r="G424" s="136">
        <v>7.5</v>
      </c>
      <c r="H424" s="64">
        <f>G424*E424</f>
        <v>27</v>
      </c>
    </row>
    <row r="425" spans="2:8" customFormat="1" ht="17.25" thickBot="1" x14ac:dyDescent="0.35">
      <c r="B425" s="424" t="s">
        <v>9</v>
      </c>
      <c r="C425" s="424"/>
      <c r="D425" s="424"/>
      <c r="E425" s="424"/>
      <c r="F425" s="424"/>
      <c r="G425" s="424"/>
      <c r="H425" s="67">
        <f>H423+H424</f>
        <v>34.480000000000004</v>
      </c>
    </row>
    <row r="426" spans="2:8" customFormat="1" ht="17.25" thickBot="1" x14ac:dyDescent="0.3">
      <c r="B426" s="418" t="s">
        <v>62</v>
      </c>
      <c r="C426" s="419"/>
      <c r="D426" s="419"/>
      <c r="E426" s="419"/>
      <c r="F426" s="419"/>
      <c r="G426" s="419"/>
      <c r="H426" s="420"/>
    </row>
    <row r="427" spans="2:8" customFormat="1" x14ac:dyDescent="0.3">
      <c r="B427" s="156" t="s">
        <v>708</v>
      </c>
      <c r="C427" s="137" t="s">
        <v>203</v>
      </c>
      <c r="D427" s="445"/>
      <c r="E427" s="445"/>
      <c r="F427" s="445"/>
      <c r="G427" s="445"/>
      <c r="H427" s="445"/>
    </row>
    <row r="428" spans="2:8" s="4" customFormat="1" ht="66" x14ac:dyDescent="0.3">
      <c r="B428" s="84" t="s">
        <v>407</v>
      </c>
      <c r="C428" s="60" t="s">
        <v>420</v>
      </c>
      <c r="D428" s="125" t="s">
        <v>21</v>
      </c>
      <c r="E428" s="425" t="s">
        <v>98</v>
      </c>
      <c r="F428" s="426"/>
      <c r="G428" s="84" t="s">
        <v>210</v>
      </c>
      <c r="H428" s="84" t="s">
        <v>100</v>
      </c>
    </row>
    <row r="429" spans="2:8" s="4" customFormat="1" x14ac:dyDescent="0.3">
      <c r="B429" s="84" t="s">
        <v>668</v>
      </c>
      <c r="C429" s="138" t="s">
        <v>421</v>
      </c>
      <c r="D429" s="84"/>
      <c r="E429" s="427">
        <f t="shared" ref="E429" si="21">3.75+7.8+3.75</f>
        <v>15.3</v>
      </c>
      <c r="F429" s="428"/>
      <c r="G429" s="55">
        <v>0.5</v>
      </c>
      <c r="H429" s="84">
        <f>G429*E429</f>
        <v>7.65</v>
      </c>
    </row>
    <row r="430" spans="2:8" s="4" customFormat="1" x14ac:dyDescent="0.3">
      <c r="B430" s="424" t="s">
        <v>9</v>
      </c>
      <c r="C430" s="424"/>
      <c r="D430" s="424"/>
      <c r="E430" s="424"/>
      <c r="F430" s="424"/>
      <c r="G430" s="424"/>
      <c r="H430" s="67">
        <f>SUM(H429)</f>
        <v>7.65</v>
      </c>
    </row>
    <row r="431" spans="2:8" customFormat="1" x14ac:dyDescent="0.3">
      <c r="B431" s="59" t="s">
        <v>408</v>
      </c>
      <c r="C431" s="89" t="s">
        <v>258</v>
      </c>
      <c r="D431" s="59" t="s">
        <v>259</v>
      </c>
      <c r="E431" s="59" t="s">
        <v>98</v>
      </c>
      <c r="F431" s="59" t="s">
        <v>210</v>
      </c>
      <c r="G431" s="59" t="s">
        <v>261</v>
      </c>
      <c r="H431" s="64" t="s">
        <v>262</v>
      </c>
    </row>
    <row r="432" spans="2:8" ht="15" customHeight="1" x14ac:dyDescent="0.3">
      <c r="B432" s="59" t="s">
        <v>669</v>
      </c>
      <c r="C432" s="89" t="s">
        <v>263</v>
      </c>
      <c r="D432" s="59"/>
      <c r="E432" s="64">
        <v>12.5</v>
      </c>
      <c r="F432" s="59">
        <v>4.75</v>
      </c>
      <c r="G432" s="64">
        <v>0.1</v>
      </c>
      <c r="H432" s="64">
        <f>G432*F432*E432</f>
        <v>5.9375</v>
      </c>
    </row>
    <row r="433" spans="2:8" s="4" customFormat="1" x14ac:dyDescent="0.3">
      <c r="B433" s="411" t="s">
        <v>9</v>
      </c>
      <c r="C433" s="411"/>
      <c r="D433" s="411"/>
      <c r="E433" s="411"/>
      <c r="F433" s="411"/>
      <c r="G433" s="411"/>
      <c r="H433" s="51">
        <f>H432</f>
        <v>5.9375</v>
      </c>
    </row>
    <row r="434" spans="2:8" ht="49.5" x14ac:dyDescent="0.3">
      <c r="B434" s="59" t="s">
        <v>409</v>
      </c>
      <c r="C434" s="60" t="s">
        <v>200</v>
      </c>
      <c r="D434" s="71" t="s">
        <v>21</v>
      </c>
      <c r="E434" s="417" t="s">
        <v>214</v>
      </c>
      <c r="F434" s="417"/>
      <c r="G434" s="59" t="s">
        <v>215</v>
      </c>
      <c r="H434" s="64" t="s">
        <v>100</v>
      </c>
    </row>
    <row r="435" spans="2:8" x14ac:dyDescent="0.3">
      <c r="B435" s="59" t="s">
        <v>670</v>
      </c>
      <c r="C435" s="60" t="s">
        <v>127</v>
      </c>
      <c r="D435" s="59"/>
      <c r="E435" s="417">
        <v>2.97</v>
      </c>
      <c r="F435" s="417"/>
      <c r="G435" s="64">
        <v>2</v>
      </c>
      <c r="H435" s="64">
        <f>G435*E435</f>
        <v>5.94</v>
      </c>
    </row>
    <row r="436" spans="2:8" x14ac:dyDescent="0.3">
      <c r="B436" s="59" t="s">
        <v>671</v>
      </c>
      <c r="C436" s="60" t="s">
        <v>129</v>
      </c>
      <c r="D436" s="59"/>
      <c r="E436" s="417">
        <v>2.97</v>
      </c>
      <c r="F436" s="417"/>
      <c r="G436" s="64">
        <v>2</v>
      </c>
      <c r="H436" s="64">
        <f>G436*E436</f>
        <v>5.94</v>
      </c>
    </row>
    <row r="437" spans="2:8" x14ac:dyDescent="0.3">
      <c r="B437" s="59" t="s">
        <v>672</v>
      </c>
      <c r="C437" s="56" t="s">
        <v>144</v>
      </c>
      <c r="D437" s="59"/>
      <c r="E437" s="417">
        <v>5.94</v>
      </c>
      <c r="F437" s="417"/>
      <c r="G437" s="64">
        <v>6</v>
      </c>
      <c r="H437" s="64">
        <f t="shared" ref="H437:H446" si="22">G437*E437</f>
        <v>35.64</v>
      </c>
    </row>
    <row r="438" spans="2:8" ht="15.75" customHeight="1" x14ac:dyDescent="0.3">
      <c r="B438" s="59" t="s">
        <v>673</v>
      </c>
      <c r="C438" s="56" t="s">
        <v>142</v>
      </c>
      <c r="D438" s="59"/>
      <c r="E438" s="417">
        <v>1.8</v>
      </c>
      <c r="F438" s="417"/>
      <c r="G438" s="64">
        <v>3.15</v>
      </c>
      <c r="H438" s="64">
        <f t="shared" si="22"/>
        <v>5.67</v>
      </c>
    </row>
    <row r="439" spans="2:8" x14ac:dyDescent="0.3">
      <c r="B439" s="59" t="s">
        <v>674</v>
      </c>
      <c r="C439" s="56" t="s">
        <v>140</v>
      </c>
      <c r="D439" s="59"/>
      <c r="E439" s="417">
        <v>4.1100000000000003</v>
      </c>
      <c r="F439" s="417"/>
      <c r="G439" s="64">
        <v>3.15</v>
      </c>
      <c r="H439" s="64">
        <f t="shared" si="22"/>
        <v>12.9465</v>
      </c>
    </row>
    <row r="440" spans="2:8" x14ac:dyDescent="0.3">
      <c r="B440" s="59" t="s">
        <v>675</v>
      </c>
      <c r="C440" s="56" t="s">
        <v>168</v>
      </c>
      <c r="D440" s="59"/>
      <c r="E440" s="417">
        <v>5.94</v>
      </c>
      <c r="F440" s="417"/>
      <c r="G440" s="64">
        <v>6</v>
      </c>
      <c r="H440" s="64">
        <f t="shared" si="22"/>
        <v>35.64</v>
      </c>
    </row>
    <row r="441" spans="2:8" x14ac:dyDescent="0.3">
      <c r="B441" s="59" t="s">
        <v>676</v>
      </c>
      <c r="C441" s="56" t="s">
        <v>169</v>
      </c>
      <c r="D441" s="59"/>
      <c r="E441" s="417">
        <v>5.94</v>
      </c>
      <c r="F441" s="417"/>
      <c r="G441" s="64">
        <v>6</v>
      </c>
      <c r="H441" s="64">
        <f t="shared" si="22"/>
        <v>35.64</v>
      </c>
    </row>
    <row r="442" spans="2:8" x14ac:dyDescent="0.3">
      <c r="B442" s="59" t="s">
        <v>677</v>
      </c>
      <c r="C442" s="56" t="s">
        <v>130</v>
      </c>
      <c r="D442" s="59"/>
      <c r="E442" s="417">
        <v>2.97</v>
      </c>
      <c r="F442" s="417"/>
      <c r="G442" s="64">
        <v>5.2</v>
      </c>
      <c r="H442" s="64">
        <f t="shared" si="22"/>
        <v>15.444000000000001</v>
      </c>
    </row>
    <row r="443" spans="2:8" customFormat="1" x14ac:dyDescent="0.3">
      <c r="B443" s="59" t="s">
        <v>678</v>
      </c>
      <c r="C443" s="56" t="s">
        <v>170</v>
      </c>
      <c r="D443" s="59"/>
      <c r="E443" s="417">
        <v>2.97</v>
      </c>
      <c r="F443" s="417"/>
      <c r="G443" s="64">
        <v>5.2</v>
      </c>
      <c r="H443" s="64">
        <f t="shared" si="22"/>
        <v>15.444000000000001</v>
      </c>
    </row>
    <row r="444" spans="2:8" customFormat="1" x14ac:dyDescent="0.3">
      <c r="B444" s="59" t="s">
        <v>679</v>
      </c>
      <c r="C444" s="56" t="s">
        <v>151</v>
      </c>
      <c r="D444" s="59"/>
      <c r="E444" s="417">
        <v>2.97</v>
      </c>
      <c r="F444" s="417"/>
      <c r="G444" s="64">
        <v>2</v>
      </c>
      <c r="H444" s="64">
        <f t="shared" si="22"/>
        <v>5.94</v>
      </c>
    </row>
    <row r="445" spans="2:8" x14ac:dyDescent="0.3">
      <c r="B445" s="59" t="s">
        <v>680</v>
      </c>
      <c r="C445" s="56" t="s">
        <v>135</v>
      </c>
      <c r="D445" s="59"/>
      <c r="E445" s="417">
        <v>2.97</v>
      </c>
      <c r="F445" s="417"/>
      <c r="G445" s="64">
        <v>3.89</v>
      </c>
      <c r="H445" s="64">
        <f t="shared" si="22"/>
        <v>11.553300000000002</v>
      </c>
    </row>
    <row r="446" spans="2:8" customFormat="1" x14ac:dyDescent="0.3">
      <c r="B446" s="59" t="s">
        <v>681</v>
      </c>
      <c r="C446" s="60" t="s">
        <v>248</v>
      </c>
      <c r="D446" s="59"/>
      <c r="E446" s="417">
        <f>4.97+2</f>
        <v>6.97</v>
      </c>
      <c r="F446" s="417"/>
      <c r="G446" s="64">
        <v>21.3</v>
      </c>
      <c r="H446" s="64">
        <f t="shared" si="22"/>
        <v>148.46100000000001</v>
      </c>
    </row>
    <row r="447" spans="2:8" customFormat="1" x14ac:dyDescent="0.3">
      <c r="B447" s="424" t="s">
        <v>9</v>
      </c>
      <c r="C447" s="424"/>
      <c r="D447" s="424"/>
      <c r="E447" s="424"/>
      <c r="F447" s="424"/>
      <c r="G447" s="424"/>
      <c r="H447" s="67">
        <f>SUM(H435:H446)</f>
        <v>334.25880000000001</v>
      </c>
    </row>
    <row r="448" spans="2:8" customFormat="1" ht="33" x14ac:dyDescent="0.3">
      <c r="B448" s="59" t="s">
        <v>410</v>
      </c>
      <c r="C448" s="60" t="s">
        <v>321</v>
      </c>
      <c r="D448" s="71" t="s">
        <v>267</v>
      </c>
      <c r="E448" s="425" t="s">
        <v>98</v>
      </c>
      <c r="F448" s="443"/>
      <c r="G448" s="426"/>
      <c r="H448" s="85" t="s">
        <v>314</v>
      </c>
    </row>
    <row r="449" spans="2:8" customFormat="1" x14ac:dyDescent="0.3">
      <c r="B449" s="59" t="s">
        <v>682</v>
      </c>
      <c r="C449" s="60" t="s">
        <v>127</v>
      </c>
      <c r="D449" s="425"/>
      <c r="E449" s="443"/>
      <c r="F449" s="443"/>
      <c r="G449" s="443"/>
      <c r="H449" s="426"/>
    </row>
    <row r="450" spans="2:8" customFormat="1" x14ac:dyDescent="0.3">
      <c r="B450" s="59"/>
      <c r="C450" s="60" t="s">
        <v>157</v>
      </c>
      <c r="D450" s="75"/>
      <c r="E450" s="425" t="s">
        <v>323</v>
      </c>
      <c r="F450" s="443"/>
      <c r="G450" s="426"/>
      <c r="H450" s="61">
        <f>2+2.97+2+2.97</f>
        <v>9.9400000000000013</v>
      </c>
    </row>
    <row r="451" spans="2:8" customFormat="1" x14ac:dyDescent="0.3">
      <c r="B451" s="59"/>
      <c r="C451" s="60" t="s">
        <v>60</v>
      </c>
      <c r="D451" s="75"/>
      <c r="E451" s="425" t="s">
        <v>332</v>
      </c>
      <c r="F451" s="443"/>
      <c r="G451" s="426"/>
      <c r="H451" s="61">
        <f>0.7*1</f>
        <v>0.7</v>
      </c>
    </row>
    <row r="452" spans="2:8" customFormat="1" x14ac:dyDescent="0.3">
      <c r="B452" s="411" t="s">
        <v>55</v>
      </c>
      <c r="C452" s="411"/>
      <c r="D452" s="411"/>
      <c r="E452" s="411"/>
      <c r="F452" s="411"/>
      <c r="G452" s="411"/>
      <c r="H452" s="64">
        <f>H450-H451</f>
        <v>9.240000000000002</v>
      </c>
    </row>
    <row r="453" spans="2:8" customFormat="1" x14ac:dyDescent="0.3">
      <c r="B453" s="59" t="s">
        <v>683</v>
      </c>
      <c r="C453" s="60" t="s">
        <v>129</v>
      </c>
      <c r="D453" s="425"/>
      <c r="E453" s="443"/>
      <c r="F453" s="443"/>
      <c r="G453" s="443"/>
      <c r="H453" s="426"/>
    </row>
    <row r="454" spans="2:8" customFormat="1" x14ac:dyDescent="0.3">
      <c r="B454" s="59"/>
      <c r="C454" s="60" t="s">
        <v>157</v>
      </c>
      <c r="D454" s="75"/>
      <c r="E454" s="425" t="s">
        <v>324</v>
      </c>
      <c r="F454" s="443"/>
      <c r="G454" s="426"/>
      <c r="H454" s="61">
        <f>2+2.97+2+2.97</f>
        <v>9.9400000000000013</v>
      </c>
    </row>
    <row r="455" spans="2:8" customFormat="1" x14ac:dyDescent="0.3">
      <c r="B455" s="59"/>
      <c r="C455" s="60" t="s">
        <v>60</v>
      </c>
      <c r="D455" s="75"/>
      <c r="E455" s="425" t="s">
        <v>332</v>
      </c>
      <c r="F455" s="443"/>
      <c r="G455" s="426"/>
      <c r="H455" s="61">
        <f>0.7*1</f>
        <v>0.7</v>
      </c>
    </row>
    <row r="456" spans="2:8" customFormat="1" x14ac:dyDescent="0.3">
      <c r="B456" s="411" t="s">
        <v>55</v>
      </c>
      <c r="C456" s="411"/>
      <c r="D456" s="411"/>
      <c r="E456" s="411"/>
      <c r="F456" s="411"/>
      <c r="G456" s="411"/>
      <c r="H456" s="64">
        <f>H454-H455</f>
        <v>9.240000000000002</v>
      </c>
    </row>
    <row r="457" spans="2:8" s="4" customFormat="1" x14ac:dyDescent="0.3">
      <c r="B457" s="59" t="s">
        <v>684</v>
      </c>
      <c r="C457" s="56" t="s">
        <v>144</v>
      </c>
      <c r="D457" s="425"/>
      <c r="E457" s="443"/>
      <c r="F457" s="443"/>
      <c r="G457" s="443"/>
      <c r="H457" s="426"/>
    </row>
    <row r="458" spans="2:8" x14ac:dyDescent="0.3">
      <c r="B458" s="59"/>
      <c r="C458" s="60" t="s">
        <v>157</v>
      </c>
      <c r="D458" s="75"/>
      <c r="E458" s="425" t="s">
        <v>325</v>
      </c>
      <c r="F458" s="443"/>
      <c r="G458" s="426"/>
      <c r="H458" s="61">
        <f>6+5.94+6+5.94</f>
        <v>23.880000000000003</v>
      </c>
    </row>
    <row r="459" spans="2:8" x14ac:dyDescent="0.3">
      <c r="B459" s="59"/>
      <c r="C459" s="60" t="s">
        <v>60</v>
      </c>
      <c r="D459" s="75"/>
      <c r="E459" s="425" t="s">
        <v>333</v>
      </c>
      <c r="F459" s="443"/>
      <c r="G459" s="426"/>
      <c r="H459" s="61">
        <f>0.9*1</f>
        <v>0.9</v>
      </c>
    </row>
    <row r="460" spans="2:8" s="4" customFormat="1" x14ac:dyDescent="0.3">
      <c r="B460" s="411" t="s">
        <v>55</v>
      </c>
      <c r="C460" s="411"/>
      <c r="D460" s="411"/>
      <c r="E460" s="411"/>
      <c r="F460" s="411"/>
      <c r="G460" s="411"/>
      <c r="H460" s="64">
        <f>H458-H459</f>
        <v>22.980000000000004</v>
      </c>
    </row>
    <row r="461" spans="2:8" x14ac:dyDescent="0.3">
      <c r="B461" s="59" t="s">
        <v>684</v>
      </c>
      <c r="C461" s="56" t="s">
        <v>142</v>
      </c>
      <c r="D461" s="425"/>
      <c r="E461" s="443"/>
      <c r="F461" s="443"/>
      <c r="G461" s="443"/>
      <c r="H461" s="426"/>
    </row>
    <row r="462" spans="2:8" x14ac:dyDescent="0.3">
      <c r="B462" s="59"/>
      <c r="C462" s="60" t="s">
        <v>157</v>
      </c>
      <c r="D462" s="75"/>
      <c r="E462" s="425" t="s">
        <v>326</v>
      </c>
      <c r="F462" s="443"/>
      <c r="G462" s="426"/>
      <c r="H462" s="61">
        <f>1.8+3.15+1.8+3.15</f>
        <v>9.9</v>
      </c>
    </row>
    <row r="463" spans="2:8" x14ac:dyDescent="0.3">
      <c r="B463" s="59"/>
      <c r="C463" s="60" t="s">
        <v>60</v>
      </c>
      <c r="D463" s="75"/>
      <c r="E463" s="425" t="s">
        <v>333</v>
      </c>
      <c r="F463" s="443"/>
      <c r="G463" s="426"/>
      <c r="H463" s="61">
        <f>0.9*1</f>
        <v>0.9</v>
      </c>
    </row>
    <row r="464" spans="2:8" x14ac:dyDescent="0.3">
      <c r="B464" s="411" t="s">
        <v>55</v>
      </c>
      <c r="C464" s="411"/>
      <c r="D464" s="411"/>
      <c r="E464" s="411"/>
      <c r="F464" s="411"/>
      <c r="G464" s="411"/>
      <c r="H464" s="64">
        <f>H462-H463</f>
        <v>9</v>
      </c>
    </row>
    <row r="465" spans="2:8" x14ac:dyDescent="0.3">
      <c r="B465" s="59" t="s">
        <v>685</v>
      </c>
      <c r="C465" s="56" t="s">
        <v>140</v>
      </c>
      <c r="D465" s="75"/>
      <c r="E465" s="32"/>
      <c r="F465" s="32"/>
      <c r="G465" s="32"/>
      <c r="H465" s="61"/>
    </row>
    <row r="466" spans="2:8" x14ac:dyDescent="0.3">
      <c r="B466" s="59"/>
      <c r="C466" s="60" t="s">
        <v>157</v>
      </c>
      <c r="D466" s="75"/>
      <c r="E466" s="425" t="s">
        <v>327</v>
      </c>
      <c r="F466" s="443"/>
      <c r="G466" s="426"/>
      <c r="H466" s="61">
        <f>4.11+3.15+4.11+3.15</f>
        <v>14.520000000000001</v>
      </c>
    </row>
    <row r="467" spans="2:8" x14ac:dyDescent="0.3">
      <c r="B467" s="59"/>
      <c r="C467" s="60" t="s">
        <v>60</v>
      </c>
      <c r="D467" s="75"/>
      <c r="E467" s="425" t="s">
        <v>334</v>
      </c>
      <c r="F467" s="443"/>
      <c r="G467" s="426"/>
      <c r="H467" s="61">
        <f>0.9*3</f>
        <v>2.7</v>
      </c>
    </row>
    <row r="468" spans="2:8" x14ac:dyDescent="0.3">
      <c r="B468" s="411" t="s">
        <v>55</v>
      </c>
      <c r="C468" s="411"/>
      <c r="D468" s="411"/>
      <c r="E468" s="411"/>
      <c r="F468" s="411"/>
      <c r="G468" s="411"/>
      <c r="H468" s="64">
        <f>H466-H467</f>
        <v>11.82</v>
      </c>
    </row>
    <row r="469" spans="2:8" customFormat="1" x14ac:dyDescent="0.3">
      <c r="B469" s="59" t="s">
        <v>686</v>
      </c>
      <c r="C469" s="56" t="s">
        <v>168</v>
      </c>
      <c r="D469" s="75"/>
      <c r="E469" s="150"/>
      <c r="F469" s="150"/>
      <c r="G469" s="150"/>
      <c r="H469" s="61"/>
    </row>
    <row r="470" spans="2:8" customFormat="1" x14ac:dyDescent="0.3">
      <c r="B470" s="59"/>
      <c r="C470" s="60" t="s">
        <v>157</v>
      </c>
      <c r="D470" s="75"/>
      <c r="E470" s="425" t="s">
        <v>325</v>
      </c>
      <c r="F470" s="443"/>
      <c r="G470" s="426"/>
      <c r="H470" s="61">
        <f>6+5.94+6+5.94</f>
        <v>23.880000000000003</v>
      </c>
    </row>
    <row r="471" spans="2:8" customFormat="1" x14ac:dyDescent="0.3">
      <c r="B471" s="59"/>
      <c r="C471" s="60" t="s">
        <v>60</v>
      </c>
      <c r="D471" s="75"/>
      <c r="E471" s="425" t="s">
        <v>333</v>
      </c>
      <c r="F471" s="443"/>
      <c r="G471" s="426"/>
      <c r="H471" s="61">
        <v>0.9</v>
      </c>
    </row>
    <row r="472" spans="2:8" x14ac:dyDescent="0.3">
      <c r="B472" s="411" t="s">
        <v>55</v>
      </c>
      <c r="C472" s="411"/>
      <c r="D472" s="411"/>
      <c r="E472" s="411"/>
      <c r="F472" s="411"/>
      <c r="G472" s="411"/>
      <c r="H472" s="64">
        <f>H470-H471</f>
        <v>22.980000000000004</v>
      </c>
    </row>
    <row r="473" spans="2:8" customFormat="1" x14ac:dyDescent="0.3">
      <c r="B473" s="59" t="s">
        <v>687</v>
      </c>
      <c r="C473" s="56" t="s">
        <v>169</v>
      </c>
      <c r="D473" s="75"/>
      <c r="E473" s="32"/>
      <c r="F473" s="32"/>
      <c r="G473" s="32"/>
      <c r="H473" s="61"/>
    </row>
    <row r="474" spans="2:8" customFormat="1" x14ac:dyDescent="0.3">
      <c r="B474" s="59"/>
      <c r="C474" s="60" t="s">
        <v>157</v>
      </c>
      <c r="D474" s="75"/>
      <c r="E474" s="425" t="s">
        <v>325</v>
      </c>
      <c r="F474" s="443"/>
      <c r="G474" s="426"/>
      <c r="H474" s="61">
        <f>6+5.94+6+5.94</f>
        <v>23.880000000000003</v>
      </c>
    </row>
    <row r="475" spans="2:8" customFormat="1" x14ac:dyDescent="0.3">
      <c r="B475" s="59"/>
      <c r="C475" s="60" t="s">
        <v>60</v>
      </c>
      <c r="D475" s="75"/>
      <c r="E475" s="425" t="s">
        <v>333</v>
      </c>
      <c r="F475" s="443"/>
      <c r="G475" s="426"/>
      <c r="H475" s="61">
        <v>0.9</v>
      </c>
    </row>
    <row r="476" spans="2:8" x14ac:dyDescent="0.3">
      <c r="B476" s="411" t="s">
        <v>55</v>
      </c>
      <c r="C476" s="411"/>
      <c r="D476" s="411"/>
      <c r="E476" s="411"/>
      <c r="F476" s="411"/>
      <c r="G476" s="411"/>
      <c r="H476" s="64">
        <f>H474-H475</f>
        <v>22.980000000000004</v>
      </c>
    </row>
    <row r="477" spans="2:8" s="4" customFormat="1" x14ac:dyDescent="0.3">
      <c r="B477" s="59" t="s">
        <v>688</v>
      </c>
      <c r="C477" s="56" t="s">
        <v>130</v>
      </c>
      <c r="D477" s="75"/>
      <c r="E477" s="32"/>
      <c r="F477" s="32"/>
      <c r="G477" s="32"/>
      <c r="H477" s="61"/>
    </row>
    <row r="478" spans="2:8" customFormat="1" x14ac:dyDescent="0.3">
      <c r="B478" s="59"/>
      <c r="C478" s="60" t="s">
        <v>157</v>
      </c>
      <c r="D478" s="75"/>
      <c r="E478" s="425" t="s">
        <v>328</v>
      </c>
      <c r="F478" s="443"/>
      <c r="G478" s="426"/>
      <c r="H478" s="61">
        <f>5.2+2.97+5.2+2.97</f>
        <v>16.34</v>
      </c>
    </row>
    <row r="479" spans="2:8" customFormat="1" x14ac:dyDescent="0.3">
      <c r="B479" s="59"/>
      <c r="C479" s="60" t="s">
        <v>60</v>
      </c>
      <c r="D479" s="75"/>
      <c r="E479" s="425" t="s">
        <v>333</v>
      </c>
      <c r="F479" s="443"/>
      <c r="G479" s="426"/>
      <c r="H479" s="61">
        <v>0.9</v>
      </c>
    </row>
    <row r="480" spans="2:8" x14ac:dyDescent="0.3">
      <c r="B480" s="411" t="s">
        <v>55</v>
      </c>
      <c r="C480" s="411"/>
      <c r="D480" s="411"/>
      <c r="E480" s="411"/>
      <c r="F480" s="411"/>
      <c r="G480" s="411"/>
      <c r="H480" s="64">
        <f>H478-H479</f>
        <v>15.44</v>
      </c>
    </row>
    <row r="481" spans="2:8" x14ac:dyDescent="0.3">
      <c r="B481" s="59" t="s">
        <v>689</v>
      </c>
      <c r="C481" s="56" t="s">
        <v>170</v>
      </c>
      <c r="D481" s="75"/>
      <c r="E481" s="32"/>
      <c r="F481" s="32"/>
      <c r="G481" s="32"/>
      <c r="H481" s="61"/>
    </row>
    <row r="482" spans="2:8" customFormat="1" x14ac:dyDescent="0.3">
      <c r="B482" s="59"/>
      <c r="C482" s="60" t="s">
        <v>157</v>
      </c>
      <c r="D482" s="75"/>
      <c r="E482" s="425" t="s">
        <v>329</v>
      </c>
      <c r="F482" s="443"/>
      <c r="G482" s="426"/>
      <c r="H482" s="61">
        <f>6+2.97+6+2.97</f>
        <v>17.940000000000001</v>
      </c>
    </row>
    <row r="483" spans="2:8" customFormat="1" x14ac:dyDescent="0.3">
      <c r="B483" s="59"/>
      <c r="C483" s="60" t="s">
        <v>60</v>
      </c>
      <c r="D483" s="75"/>
      <c r="E483" s="425" t="s">
        <v>333</v>
      </c>
      <c r="F483" s="443"/>
      <c r="G483" s="426"/>
      <c r="H483" s="61">
        <v>0.9</v>
      </c>
    </row>
    <row r="484" spans="2:8" x14ac:dyDescent="0.3">
      <c r="B484" s="411" t="s">
        <v>55</v>
      </c>
      <c r="C484" s="411"/>
      <c r="D484" s="411"/>
      <c r="E484" s="411"/>
      <c r="F484" s="411"/>
      <c r="G484" s="411"/>
      <c r="H484" s="64">
        <f>H482-H483</f>
        <v>17.040000000000003</v>
      </c>
    </row>
    <row r="485" spans="2:8" x14ac:dyDescent="0.3">
      <c r="B485" s="59" t="s">
        <v>690</v>
      </c>
      <c r="C485" s="56" t="s">
        <v>151</v>
      </c>
      <c r="D485" s="75"/>
      <c r="E485" s="32"/>
      <c r="F485" s="32"/>
      <c r="G485" s="32"/>
      <c r="H485" s="61"/>
    </row>
    <row r="486" spans="2:8" customFormat="1" x14ac:dyDescent="0.3">
      <c r="B486" s="59"/>
      <c r="C486" s="60" t="s">
        <v>157</v>
      </c>
      <c r="D486" s="75"/>
      <c r="E486" s="425" t="s">
        <v>335</v>
      </c>
      <c r="F486" s="443"/>
      <c r="G486" s="426"/>
      <c r="H486" s="61">
        <f>2+2.97+1.62+0.15</f>
        <v>6.7400000000000011</v>
      </c>
    </row>
    <row r="487" spans="2:8" customFormat="1" x14ac:dyDescent="0.3">
      <c r="B487" s="411" t="s">
        <v>55</v>
      </c>
      <c r="C487" s="411"/>
      <c r="D487" s="411"/>
      <c r="E487" s="411"/>
      <c r="F487" s="411"/>
      <c r="G487" s="411"/>
      <c r="H487" s="64">
        <f>H486</f>
        <v>6.7400000000000011</v>
      </c>
    </row>
    <row r="488" spans="2:8" x14ac:dyDescent="0.3">
      <c r="B488" s="59" t="s">
        <v>691</v>
      </c>
      <c r="C488" s="56" t="s">
        <v>135</v>
      </c>
      <c r="D488" s="75"/>
      <c r="E488" s="32"/>
      <c r="F488" s="32"/>
      <c r="G488" s="32"/>
      <c r="H488" s="61"/>
    </row>
    <row r="489" spans="2:8" s="4" customFormat="1" x14ac:dyDescent="0.3">
      <c r="B489" s="59"/>
      <c r="C489" s="60" t="s">
        <v>157</v>
      </c>
      <c r="D489" s="75"/>
      <c r="E489" s="425" t="s">
        <v>330</v>
      </c>
      <c r="F489" s="443"/>
      <c r="G489" s="426"/>
      <c r="H489" s="61">
        <f>3.88+2.97+3.88+2.97</f>
        <v>13.700000000000001</v>
      </c>
    </row>
    <row r="490" spans="2:8" customFormat="1" x14ac:dyDescent="0.3">
      <c r="B490" s="59"/>
      <c r="C490" s="60" t="s">
        <v>60</v>
      </c>
      <c r="D490" s="75"/>
      <c r="E490" s="425" t="s">
        <v>333</v>
      </c>
      <c r="F490" s="443"/>
      <c r="G490" s="426"/>
      <c r="H490" s="61">
        <v>0.9</v>
      </c>
    </row>
    <row r="491" spans="2:8" customFormat="1" x14ac:dyDescent="0.3">
      <c r="B491" s="411" t="s">
        <v>55</v>
      </c>
      <c r="C491" s="411"/>
      <c r="D491" s="411"/>
      <c r="E491" s="411"/>
      <c r="F491" s="411"/>
      <c r="G491" s="411"/>
      <c r="H491" s="64">
        <f>H489-H490</f>
        <v>12.8</v>
      </c>
    </row>
    <row r="492" spans="2:8" x14ac:dyDescent="0.3">
      <c r="B492" s="59" t="s">
        <v>692</v>
      </c>
      <c r="C492" s="60" t="s">
        <v>322</v>
      </c>
      <c r="D492" s="59"/>
      <c r="E492" s="32"/>
      <c r="F492" s="32"/>
      <c r="G492" s="32"/>
      <c r="H492" s="64"/>
    </row>
    <row r="493" spans="2:8" x14ac:dyDescent="0.3">
      <c r="B493" s="59"/>
      <c r="C493" s="60" t="s">
        <v>157</v>
      </c>
      <c r="D493" s="75"/>
      <c r="E493" s="425" t="s">
        <v>331</v>
      </c>
      <c r="F493" s="443"/>
      <c r="G493" s="426"/>
      <c r="H493" s="61">
        <f>21.3+21.3+22*0.1</f>
        <v>44.800000000000004</v>
      </c>
    </row>
    <row r="494" spans="2:8" customFormat="1" x14ac:dyDescent="0.3">
      <c r="B494" s="59"/>
      <c r="C494" s="60" t="s">
        <v>60</v>
      </c>
      <c r="D494" s="75"/>
      <c r="E494" s="425" t="s">
        <v>336</v>
      </c>
      <c r="F494" s="443"/>
      <c r="G494" s="426"/>
      <c r="H494" s="61">
        <f>0.9*7+0.7*2</f>
        <v>7.6999999999999993</v>
      </c>
    </row>
    <row r="495" spans="2:8" customFormat="1" x14ac:dyDescent="0.3">
      <c r="B495" s="411" t="s">
        <v>55</v>
      </c>
      <c r="C495" s="411"/>
      <c r="D495" s="411"/>
      <c r="E495" s="411"/>
      <c r="F495" s="411"/>
      <c r="G495" s="411"/>
      <c r="H495" s="64">
        <f>H493-H494</f>
        <v>37.100000000000009</v>
      </c>
    </row>
    <row r="496" spans="2:8" x14ac:dyDescent="0.3">
      <c r="B496" s="424" t="s">
        <v>9</v>
      </c>
      <c r="C496" s="424"/>
      <c r="D496" s="424"/>
      <c r="E496" s="424"/>
      <c r="F496" s="424"/>
      <c r="G496" s="424"/>
      <c r="H496" s="67">
        <f>H495+H491+H487+H484+H480+H476+H472+H468+H464+H460+H456+H452</f>
        <v>197.36</v>
      </c>
    </row>
    <row r="497" spans="2:12" ht="33" x14ac:dyDescent="0.3">
      <c r="B497" s="59" t="s">
        <v>411</v>
      </c>
      <c r="C497" s="60" t="s">
        <v>337</v>
      </c>
      <c r="D497" s="71" t="s">
        <v>21</v>
      </c>
      <c r="E497" s="425" t="s">
        <v>98</v>
      </c>
      <c r="F497" s="426"/>
      <c r="G497" s="59" t="s">
        <v>210</v>
      </c>
      <c r="H497" s="64" t="s">
        <v>100</v>
      </c>
    </row>
    <row r="498" spans="2:12" customFormat="1" x14ac:dyDescent="0.3">
      <c r="B498" s="59" t="s">
        <v>693</v>
      </c>
      <c r="C498" s="60" t="s">
        <v>302</v>
      </c>
      <c r="D498" s="71"/>
      <c r="E498" s="427">
        <v>3.6</v>
      </c>
      <c r="F498" s="428"/>
      <c r="G498" s="64">
        <v>7.5</v>
      </c>
      <c r="H498" s="64">
        <f>G498*E498</f>
        <v>27</v>
      </c>
    </row>
    <row r="499" spans="2:12" customFormat="1" x14ac:dyDescent="0.3">
      <c r="B499" s="424" t="s">
        <v>9</v>
      </c>
      <c r="C499" s="424"/>
      <c r="D499" s="424"/>
      <c r="E499" s="424"/>
      <c r="F499" s="424"/>
      <c r="G499" s="424"/>
      <c r="H499" s="67">
        <f>H498</f>
        <v>27</v>
      </c>
    </row>
    <row r="500" spans="2:12" ht="33" x14ac:dyDescent="0.3">
      <c r="B500" s="59" t="s">
        <v>464</v>
      </c>
      <c r="C500" s="60" t="s">
        <v>338</v>
      </c>
      <c r="D500" s="71" t="s">
        <v>339</v>
      </c>
      <c r="E500" s="490" t="s">
        <v>98</v>
      </c>
      <c r="F500" s="491"/>
      <c r="G500" s="492"/>
      <c r="H500" s="85" t="s">
        <v>314</v>
      </c>
      <c r="I500"/>
      <c r="J500"/>
      <c r="K500"/>
      <c r="L500"/>
    </row>
    <row r="501" spans="2:12" x14ac:dyDescent="0.3">
      <c r="B501" s="59" t="s">
        <v>694</v>
      </c>
      <c r="C501" s="60" t="s">
        <v>302</v>
      </c>
      <c r="D501" s="71"/>
      <c r="E501" s="425" t="s">
        <v>340</v>
      </c>
      <c r="F501" s="443"/>
      <c r="G501" s="426"/>
      <c r="H501" s="64">
        <f>3.6+7.5+3.6+7.5</f>
        <v>22.2</v>
      </c>
      <c r="I501"/>
      <c r="J501"/>
      <c r="K501"/>
      <c r="L501"/>
    </row>
    <row r="502" spans="2:12" customFormat="1" ht="17.25" thickBot="1" x14ac:dyDescent="0.35">
      <c r="B502" s="424" t="s">
        <v>9</v>
      </c>
      <c r="C502" s="424"/>
      <c r="D502" s="424"/>
      <c r="E502" s="424"/>
      <c r="F502" s="424"/>
      <c r="G502" s="424"/>
      <c r="H502" s="67">
        <f>H501</f>
        <v>22.2</v>
      </c>
    </row>
    <row r="503" spans="2:12" s="1" customFormat="1" ht="17.25" customHeight="1" thickBot="1" x14ac:dyDescent="0.3">
      <c r="B503" s="415" t="s">
        <v>711</v>
      </c>
      <c r="C503" s="416"/>
      <c r="D503" s="416"/>
      <c r="E503" s="416"/>
      <c r="F503" s="416"/>
      <c r="G503" s="416"/>
      <c r="H503" s="416"/>
      <c r="I503"/>
      <c r="J503"/>
      <c r="K503"/>
      <c r="L503"/>
    </row>
    <row r="504" spans="2:12" s="1" customFormat="1" ht="15" x14ac:dyDescent="0.25">
      <c r="B504" s="161" t="s">
        <v>709</v>
      </c>
      <c r="C504" s="33" t="s">
        <v>712</v>
      </c>
      <c r="D504" s="412"/>
      <c r="E504" s="413"/>
      <c r="F504" s="413"/>
      <c r="G504" s="413"/>
      <c r="H504" s="414"/>
      <c r="I504"/>
      <c r="J504"/>
      <c r="K504"/>
      <c r="L504"/>
    </row>
    <row r="505" spans="2:12" s="1" customFormat="1" ht="15" x14ac:dyDescent="0.25">
      <c r="B505" s="43" t="s">
        <v>412</v>
      </c>
      <c r="C505" s="44" t="s">
        <v>713</v>
      </c>
      <c r="D505" s="34" t="s">
        <v>271</v>
      </c>
      <c r="E505" s="162" t="s">
        <v>715</v>
      </c>
      <c r="F505" s="162" t="s">
        <v>716</v>
      </c>
      <c r="G505" s="162" t="s">
        <v>717</v>
      </c>
      <c r="H505" s="162" t="s">
        <v>8</v>
      </c>
      <c r="I505"/>
      <c r="J505"/>
      <c r="K505"/>
      <c r="L505"/>
    </row>
    <row r="506" spans="2:12" s="1" customFormat="1" x14ac:dyDescent="0.25">
      <c r="B506" s="43"/>
      <c r="C506" s="68" t="s">
        <v>718</v>
      </c>
      <c r="D506" s="34"/>
      <c r="E506" s="163">
        <v>5</v>
      </c>
      <c r="F506" s="163">
        <v>22</v>
      </c>
      <c r="G506" s="163">
        <v>8</v>
      </c>
      <c r="H506" s="163">
        <f>G506*F506*E506</f>
        <v>880</v>
      </c>
      <c r="I506"/>
      <c r="J506"/>
      <c r="K506"/>
      <c r="L506"/>
    </row>
    <row r="507" spans="2:12" s="1" customFormat="1" x14ac:dyDescent="0.3">
      <c r="B507" s="411" t="s">
        <v>9</v>
      </c>
      <c r="C507" s="411"/>
      <c r="D507" s="411"/>
      <c r="E507" s="411"/>
      <c r="F507" s="411"/>
      <c r="G507" s="411"/>
      <c r="H507" s="51">
        <f>H506</f>
        <v>880</v>
      </c>
      <c r="I507"/>
      <c r="J507"/>
      <c r="K507"/>
      <c r="L507"/>
    </row>
    <row r="508" spans="2:12" s="1" customFormat="1" ht="15" x14ac:dyDescent="0.25">
      <c r="B508" s="39" t="s">
        <v>413</v>
      </c>
      <c r="C508" s="40" t="s">
        <v>714</v>
      </c>
      <c r="D508" s="38" t="s">
        <v>271</v>
      </c>
      <c r="E508" s="162" t="s">
        <v>715</v>
      </c>
      <c r="F508" s="162" t="s">
        <v>716</v>
      </c>
      <c r="G508" s="162" t="s">
        <v>717</v>
      </c>
      <c r="H508" s="162" t="s">
        <v>8</v>
      </c>
      <c r="I508"/>
      <c r="J508"/>
      <c r="K508"/>
      <c r="L508"/>
    </row>
    <row r="509" spans="2:12" s="1" customFormat="1" x14ac:dyDescent="0.25">
      <c r="B509" s="39"/>
      <c r="C509" s="72" t="s">
        <v>719</v>
      </c>
      <c r="D509" s="38"/>
      <c r="E509" s="163">
        <v>5</v>
      </c>
      <c r="F509" s="163">
        <v>22</v>
      </c>
      <c r="G509" s="163">
        <v>7</v>
      </c>
      <c r="H509" s="163">
        <f>G509*F509*E509</f>
        <v>770</v>
      </c>
      <c r="I509"/>
      <c r="J509"/>
      <c r="K509"/>
      <c r="L509"/>
    </row>
    <row r="510" spans="2:12" s="1" customFormat="1" x14ac:dyDescent="0.25">
      <c r="B510" s="39"/>
      <c r="C510" s="72" t="s">
        <v>720</v>
      </c>
      <c r="D510" s="38"/>
      <c r="E510" s="163">
        <v>5</v>
      </c>
      <c r="F510" s="163">
        <v>8</v>
      </c>
      <c r="G510" s="163">
        <v>15</v>
      </c>
      <c r="H510" s="163">
        <f>G510*F510*E510</f>
        <v>600</v>
      </c>
      <c r="I510"/>
      <c r="J510"/>
      <c r="K510"/>
      <c r="L510"/>
    </row>
    <row r="511" spans="2:12" s="1" customFormat="1" ht="17.25" thickBot="1" x14ac:dyDescent="0.35">
      <c r="B511" s="411" t="s">
        <v>9</v>
      </c>
      <c r="C511" s="411"/>
      <c r="D511" s="411"/>
      <c r="E511" s="411"/>
      <c r="F511" s="411"/>
      <c r="G511" s="411"/>
      <c r="H511" s="51">
        <f>H509+H510</f>
        <v>1370</v>
      </c>
      <c r="I511"/>
      <c r="J511"/>
      <c r="K511"/>
      <c r="L511"/>
    </row>
    <row r="512" spans="2:12" customFormat="1" ht="17.25" thickBot="1" x14ac:dyDescent="0.3">
      <c r="B512" s="418" t="s">
        <v>22</v>
      </c>
      <c r="C512" s="419"/>
      <c r="D512" s="470"/>
      <c r="E512" s="470"/>
      <c r="F512" s="470"/>
      <c r="G512" s="470"/>
      <c r="H512" s="471"/>
    </row>
    <row r="513" spans="2:12" customFormat="1" x14ac:dyDescent="0.25">
      <c r="B513" s="158" t="s">
        <v>710</v>
      </c>
      <c r="C513" s="33" t="s">
        <v>202</v>
      </c>
      <c r="D513" s="429"/>
      <c r="E513" s="429"/>
      <c r="F513" s="429"/>
      <c r="G513" s="429"/>
      <c r="H513" s="429"/>
    </row>
    <row r="514" spans="2:12" ht="33" x14ac:dyDescent="0.3">
      <c r="B514" s="117" t="s">
        <v>414</v>
      </c>
      <c r="C514" s="68" t="s">
        <v>23</v>
      </c>
      <c r="D514" s="84"/>
      <c r="E514" s="84" t="s">
        <v>98</v>
      </c>
      <c r="F514" s="140" t="s">
        <v>103</v>
      </c>
      <c r="G514" s="84" t="s">
        <v>99</v>
      </c>
      <c r="H514" s="55" t="s">
        <v>100</v>
      </c>
      <c r="I514"/>
      <c r="J514"/>
      <c r="K514"/>
      <c r="L514"/>
    </row>
    <row r="515" spans="2:12" x14ac:dyDescent="0.3">
      <c r="B515" s="59" t="s">
        <v>729</v>
      </c>
      <c r="C515" s="56" t="s">
        <v>101</v>
      </c>
      <c r="D515" s="417"/>
      <c r="E515" s="417"/>
      <c r="F515" s="417"/>
      <c r="G515" s="417"/>
      <c r="H515" s="417"/>
    </row>
    <row r="516" spans="2:12" customFormat="1" x14ac:dyDescent="0.3">
      <c r="B516" s="59"/>
      <c r="C516" s="56" t="s">
        <v>102</v>
      </c>
      <c r="D516" s="59"/>
      <c r="E516" s="64">
        <f>5.5+2.5+5.5+2.5</f>
        <v>16</v>
      </c>
      <c r="F516" s="64">
        <v>1.2</v>
      </c>
      <c r="G516" s="64"/>
      <c r="H516" s="64">
        <f>F516*E516</f>
        <v>19.2</v>
      </c>
    </row>
    <row r="517" spans="2:12" x14ac:dyDescent="0.3">
      <c r="B517" s="59"/>
      <c r="C517" s="56" t="s">
        <v>63</v>
      </c>
      <c r="D517" s="59"/>
      <c r="E517" s="64">
        <v>5.5</v>
      </c>
      <c r="F517" s="64">
        <v>2.5</v>
      </c>
      <c r="G517" s="64"/>
      <c r="H517" s="64">
        <f>F517*E517</f>
        <v>13.75</v>
      </c>
    </row>
    <row r="518" spans="2:12" x14ac:dyDescent="0.3">
      <c r="B518" s="59"/>
      <c r="C518" s="56" t="s">
        <v>60</v>
      </c>
      <c r="D518" s="59"/>
      <c r="E518" s="64">
        <v>0.9</v>
      </c>
      <c r="F518" s="64">
        <v>0.3</v>
      </c>
      <c r="G518" s="64">
        <v>1</v>
      </c>
      <c r="H518" s="64">
        <f>G518*F518*E518</f>
        <v>0.27</v>
      </c>
    </row>
    <row r="519" spans="2:12" customFormat="1" x14ac:dyDescent="0.3">
      <c r="B519" s="59"/>
      <c r="C519" s="63" t="s">
        <v>61</v>
      </c>
      <c r="D519" s="90"/>
      <c r="E519" s="87">
        <v>2.5</v>
      </c>
      <c r="F519" s="87">
        <v>0.7</v>
      </c>
      <c r="G519" s="87">
        <v>1</v>
      </c>
      <c r="H519" s="64">
        <f>G519*F519*E519</f>
        <v>1.75</v>
      </c>
    </row>
    <row r="520" spans="2:12" customFormat="1" x14ac:dyDescent="0.3">
      <c r="B520" s="411" t="s">
        <v>55</v>
      </c>
      <c r="C520" s="411"/>
      <c r="D520" s="411"/>
      <c r="E520" s="411"/>
      <c r="F520" s="411"/>
      <c r="G520" s="411"/>
      <c r="H520" s="64">
        <f>H516+H517-H518-H519</f>
        <v>30.93</v>
      </c>
    </row>
    <row r="521" spans="2:12" x14ac:dyDescent="0.3">
      <c r="B521" s="59" t="s">
        <v>730</v>
      </c>
      <c r="C521" s="56" t="s">
        <v>104</v>
      </c>
      <c r="D521" s="417"/>
      <c r="E521" s="417"/>
      <c r="F521" s="417"/>
      <c r="G521" s="417"/>
      <c r="H521" s="417"/>
    </row>
    <row r="522" spans="2:12" x14ac:dyDescent="0.3">
      <c r="B522" s="59"/>
      <c r="C522" s="56" t="s">
        <v>102</v>
      </c>
      <c r="D522" s="59"/>
      <c r="E522" s="64">
        <f>5.5+2.5+5.5+2.5</f>
        <v>16</v>
      </c>
      <c r="F522" s="64">
        <v>1.2</v>
      </c>
      <c r="G522" s="64"/>
      <c r="H522" s="64">
        <f>F522*E522</f>
        <v>19.2</v>
      </c>
    </row>
    <row r="523" spans="2:12" customFormat="1" x14ac:dyDescent="0.3">
      <c r="B523" s="59"/>
      <c r="C523" s="56" t="s">
        <v>63</v>
      </c>
      <c r="D523" s="59"/>
      <c r="E523" s="64">
        <v>5.5</v>
      </c>
      <c r="F523" s="64">
        <v>2.5</v>
      </c>
      <c r="G523" s="64"/>
      <c r="H523" s="64">
        <f>F523*E523</f>
        <v>13.75</v>
      </c>
    </row>
    <row r="524" spans="2:12" customFormat="1" x14ac:dyDescent="0.3">
      <c r="B524" s="59"/>
      <c r="C524" s="56" t="s">
        <v>60</v>
      </c>
      <c r="D524" s="59"/>
      <c r="E524" s="64">
        <v>0.9</v>
      </c>
      <c r="F524" s="64">
        <v>0.3</v>
      </c>
      <c r="G524" s="64">
        <v>1</v>
      </c>
      <c r="H524" s="64">
        <f>G524*F524*E524</f>
        <v>0.27</v>
      </c>
    </row>
    <row r="525" spans="2:12" x14ac:dyDescent="0.3">
      <c r="B525" s="59"/>
      <c r="C525" s="63" t="s">
        <v>61</v>
      </c>
      <c r="D525" s="90"/>
      <c r="E525" s="87">
        <v>2.5</v>
      </c>
      <c r="F525" s="87">
        <v>0.7</v>
      </c>
      <c r="G525" s="87">
        <v>1</v>
      </c>
      <c r="H525" s="64">
        <f>G525*F525*E525</f>
        <v>1.75</v>
      </c>
    </row>
    <row r="526" spans="2:12" x14ac:dyDescent="0.3">
      <c r="B526" s="411" t="s">
        <v>55</v>
      </c>
      <c r="C526" s="411"/>
      <c r="D526" s="411"/>
      <c r="E526" s="411"/>
      <c r="F526" s="411"/>
      <c r="G526" s="411"/>
      <c r="H526" s="64">
        <f>H522+H523-H524-H525</f>
        <v>30.93</v>
      </c>
    </row>
    <row r="527" spans="2:12" x14ac:dyDescent="0.3">
      <c r="B527" s="59" t="s">
        <v>731</v>
      </c>
      <c r="C527" s="56" t="s">
        <v>105</v>
      </c>
      <c r="D527" s="417"/>
      <c r="E527" s="417"/>
      <c r="F527" s="417"/>
      <c r="G527" s="417"/>
      <c r="H527" s="417"/>
    </row>
    <row r="528" spans="2:12" x14ac:dyDescent="0.3">
      <c r="B528" s="59"/>
      <c r="C528" s="56" t="s">
        <v>106</v>
      </c>
      <c r="D528" s="59"/>
      <c r="E528" s="64">
        <f>5.5+6+5.5+6</f>
        <v>23</v>
      </c>
      <c r="F528" s="64">
        <v>1.5</v>
      </c>
      <c r="G528" s="64"/>
      <c r="H528" s="64">
        <f>F528*E528</f>
        <v>34.5</v>
      </c>
    </row>
    <row r="529" spans="2:8" x14ac:dyDescent="0.3">
      <c r="B529" s="59"/>
      <c r="C529" s="56" t="s">
        <v>63</v>
      </c>
      <c r="D529" s="59"/>
      <c r="E529" s="64">
        <v>5.5</v>
      </c>
      <c r="F529" s="64">
        <v>6</v>
      </c>
      <c r="G529" s="64"/>
      <c r="H529" s="64">
        <f>F529*E529</f>
        <v>33</v>
      </c>
    </row>
    <row r="530" spans="2:8" x14ac:dyDescent="0.3">
      <c r="B530" s="59"/>
      <c r="C530" s="56" t="s">
        <v>60</v>
      </c>
      <c r="D530" s="59"/>
      <c r="E530" s="64">
        <v>0.9</v>
      </c>
      <c r="F530" s="64">
        <v>0.6</v>
      </c>
      <c r="G530" s="64">
        <v>1</v>
      </c>
      <c r="H530" s="64">
        <f>G530*F530*E530</f>
        <v>0.54</v>
      </c>
    </row>
    <row r="531" spans="2:8" x14ac:dyDescent="0.3">
      <c r="B531" s="90"/>
      <c r="C531" s="63" t="s">
        <v>61</v>
      </c>
      <c r="D531" s="90"/>
      <c r="E531" s="87">
        <v>2.5</v>
      </c>
      <c r="F531" s="87">
        <v>1</v>
      </c>
      <c r="G531" s="87">
        <v>2</v>
      </c>
      <c r="H531" s="64">
        <f>G531*F531*E531</f>
        <v>5</v>
      </c>
    </row>
    <row r="532" spans="2:8" x14ac:dyDescent="0.3">
      <c r="B532" s="90"/>
      <c r="C532" s="63" t="s">
        <v>61</v>
      </c>
      <c r="D532" s="90"/>
      <c r="E532" s="87">
        <v>2.5</v>
      </c>
      <c r="F532" s="87">
        <v>0.7</v>
      </c>
      <c r="G532" s="87">
        <v>1</v>
      </c>
      <c r="H532" s="64">
        <f>G532*F532*E532</f>
        <v>1.75</v>
      </c>
    </row>
    <row r="533" spans="2:8" x14ac:dyDescent="0.3">
      <c r="B533" s="411" t="s">
        <v>55</v>
      </c>
      <c r="C533" s="411"/>
      <c r="D533" s="411"/>
      <c r="E533" s="411"/>
      <c r="F533" s="411"/>
      <c r="G533" s="411"/>
      <c r="H533" s="64">
        <f>H528+H529-H530-H532-H531</f>
        <v>60.209999999999994</v>
      </c>
    </row>
    <row r="534" spans="2:8" x14ac:dyDescent="0.3">
      <c r="B534" s="59" t="s">
        <v>732</v>
      </c>
      <c r="C534" s="56" t="s">
        <v>107</v>
      </c>
      <c r="D534" s="417"/>
      <c r="E534" s="417"/>
      <c r="F534" s="417"/>
      <c r="G534" s="417"/>
      <c r="H534" s="417"/>
    </row>
    <row r="535" spans="2:8" x14ac:dyDescent="0.3">
      <c r="B535" s="59"/>
      <c r="C535" s="56" t="s">
        <v>106</v>
      </c>
      <c r="D535" s="59"/>
      <c r="E535" s="64">
        <f>5.5+6+5.5+6</f>
        <v>23</v>
      </c>
      <c r="F535" s="64">
        <v>1.5</v>
      </c>
      <c r="G535" s="64"/>
      <c r="H535" s="64">
        <f>F535*E535</f>
        <v>34.5</v>
      </c>
    </row>
    <row r="536" spans="2:8" x14ac:dyDescent="0.3">
      <c r="B536" s="59"/>
      <c r="C536" s="56" t="s">
        <v>63</v>
      </c>
      <c r="D536" s="59"/>
      <c r="E536" s="64">
        <v>5.5</v>
      </c>
      <c r="F536" s="64">
        <v>6</v>
      </c>
      <c r="G536" s="64"/>
      <c r="H536" s="64">
        <f>F536*E536</f>
        <v>33</v>
      </c>
    </row>
    <row r="537" spans="2:8" x14ac:dyDescent="0.3">
      <c r="B537" s="59"/>
      <c r="C537" s="56" t="s">
        <v>60</v>
      </c>
      <c r="D537" s="59"/>
      <c r="E537" s="64">
        <v>0.9</v>
      </c>
      <c r="F537" s="64">
        <v>0.6</v>
      </c>
      <c r="G537" s="64">
        <v>1</v>
      </c>
      <c r="H537" s="64">
        <f>G537*F537*E537</f>
        <v>0.54</v>
      </c>
    </row>
    <row r="538" spans="2:8" x14ac:dyDescent="0.3">
      <c r="B538" s="59"/>
      <c r="C538" s="63" t="s">
        <v>61</v>
      </c>
      <c r="D538" s="90"/>
      <c r="E538" s="87">
        <v>2.5</v>
      </c>
      <c r="F538" s="87">
        <v>1</v>
      </c>
      <c r="G538" s="87">
        <v>2</v>
      </c>
      <c r="H538" s="64">
        <f>G538*F538*E538</f>
        <v>5</v>
      </c>
    </row>
    <row r="539" spans="2:8" x14ac:dyDescent="0.3">
      <c r="B539" s="59"/>
      <c r="C539" s="63" t="s">
        <v>61</v>
      </c>
      <c r="D539" s="90"/>
      <c r="E539" s="87">
        <v>2.5</v>
      </c>
      <c r="F539" s="87">
        <v>0.7</v>
      </c>
      <c r="G539" s="87">
        <v>1</v>
      </c>
      <c r="H539" s="64">
        <f>G539*F539*E539</f>
        <v>1.75</v>
      </c>
    </row>
    <row r="540" spans="2:8" x14ac:dyDescent="0.3">
      <c r="B540" s="411" t="s">
        <v>55</v>
      </c>
      <c r="C540" s="411"/>
      <c r="D540" s="411"/>
      <c r="E540" s="411"/>
      <c r="F540" s="411"/>
      <c r="G540" s="411"/>
      <c r="H540" s="64">
        <f>H535+H536-H537-H539-H538</f>
        <v>60.209999999999994</v>
      </c>
    </row>
    <row r="541" spans="2:8" x14ac:dyDescent="0.3">
      <c r="B541" s="59" t="s">
        <v>733</v>
      </c>
      <c r="C541" s="56" t="s">
        <v>108</v>
      </c>
      <c r="D541" s="417"/>
      <c r="E541" s="417"/>
      <c r="F541" s="417"/>
      <c r="G541" s="417"/>
      <c r="H541" s="417"/>
    </row>
    <row r="542" spans="2:8" x14ac:dyDescent="0.3">
      <c r="B542" s="59"/>
      <c r="C542" s="56" t="s">
        <v>106</v>
      </c>
      <c r="D542" s="59"/>
      <c r="E542" s="64">
        <f>5.5+6+5.5+6</f>
        <v>23</v>
      </c>
      <c r="F542" s="64">
        <v>1.5</v>
      </c>
      <c r="G542" s="64"/>
      <c r="H542" s="64">
        <f>F542*E542</f>
        <v>34.5</v>
      </c>
    </row>
    <row r="543" spans="2:8" x14ac:dyDescent="0.3">
      <c r="B543" s="59"/>
      <c r="C543" s="56" t="s">
        <v>63</v>
      </c>
      <c r="D543" s="59"/>
      <c r="E543" s="64">
        <v>5.5</v>
      </c>
      <c r="F543" s="64">
        <v>6</v>
      </c>
      <c r="G543" s="64"/>
      <c r="H543" s="64">
        <f>F543*E543</f>
        <v>33</v>
      </c>
    </row>
    <row r="544" spans="2:8" x14ac:dyDescent="0.3">
      <c r="B544" s="59"/>
      <c r="C544" s="56" t="s">
        <v>60</v>
      </c>
      <c r="D544" s="59"/>
      <c r="E544" s="64">
        <v>0.9</v>
      </c>
      <c r="F544" s="64">
        <v>0.6</v>
      </c>
      <c r="G544" s="64">
        <v>1</v>
      </c>
      <c r="H544" s="64">
        <f>G544*F544*E544</f>
        <v>0.54</v>
      </c>
    </row>
    <row r="545" spans="2:8" x14ac:dyDescent="0.3">
      <c r="B545" s="59"/>
      <c r="C545" s="63" t="s">
        <v>61</v>
      </c>
      <c r="D545" s="90"/>
      <c r="E545" s="87">
        <v>2.5</v>
      </c>
      <c r="F545" s="87">
        <v>1</v>
      </c>
      <c r="G545" s="87">
        <v>2</v>
      </c>
      <c r="H545" s="64">
        <f>G545*F545*E545</f>
        <v>5</v>
      </c>
    </row>
    <row r="546" spans="2:8" x14ac:dyDescent="0.3">
      <c r="B546" s="59"/>
      <c r="C546" s="63" t="s">
        <v>61</v>
      </c>
      <c r="D546" s="90"/>
      <c r="E546" s="87">
        <v>2.5</v>
      </c>
      <c r="F546" s="87">
        <v>0.7</v>
      </c>
      <c r="G546" s="87">
        <v>1</v>
      </c>
      <c r="H546" s="64">
        <f>G546*F546*E546</f>
        <v>1.75</v>
      </c>
    </row>
    <row r="547" spans="2:8" x14ac:dyDescent="0.3">
      <c r="B547" s="411" t="s">
        <v>55</v>
      </c>
      <c r="C547" s="411"/>
      <c r="D547" s="411"/>
      <c r="E547" s="411"/>
      <c r="F547" s="411"/>
      <c r="G547" s="411"/>
      <c r="H547" s="64">
        <f>H542+H543-H544-H546-H545</f>
        <v>60.209999999999994</v>
      </c>
    </row>
    <row r="548" spans="2:8" x14ac:dyDescent="0.3">
      <c r="B548" s="59" t="s">
        <v>734</v>
      </c>
      <c r="C548" s="56" t="s">
        <v>109</v>
      </c>
      <c r="D548" s="417"/>
      <c r="E548" s="417"/>
      <c r="F548" s="417"/>
      <c r="G548" s="417"/>
      <c r="H548" s="417"/>
    </row>
    <row r="549" spans="2:8" x14ac:dyDescent="0.3">
      <c r="B549" s="59"/>
      <c r="C549" s="56" t="s">
        <v>110</v>
      </c>
      <c r="D549" s="59"/>
      <c r="E549" s="64">
        <f>3.35+2.5+3.35+2.5</f>
        <v>11.7</v>
      </c>
      <c r="F549" s="64">
        <v>1.5</v>
      </c>
      <c r="G549" s="64"/>
      <c r="H549" s="64">
        <f>F549*E549</f>
        <v>17.549999999999997</v>
      </c>
    </row>
    <row r="550" spans="2:8" x14ac:dyDescent="0.3">
      <c r="B550" s="59"/>
      <c r="C550" s="56" t="s">
        <v>63</v>
      </c>
      <c r="D550" s="59"/>
      <c r="E550" s="64">
        <v>3.35</v>
      </c>
      <c r="F550" s="64">
        <v>2.5</v>
      </c>
      <c r="G550" s="64"/>
      <c r="H550" s="64">
        <f>F550*E550</f>
        <v>8.375</v>
      </c>
    </row>
    <row r="551" spans="2:8" x14ac:dyDescent="0.3">
      <c r="B551" s="59"/>
      <c r="C551" s="56" t="s">
        <v>60</v>
      </c>
      <c r="D551" s="59"/>
      <c r="E551" s="64">
        <v>0.9</v>
      </c>
      <c r="F551" s="64">
        <v>0.6</v>
      </c>
      <c r="G551" s="64">
        <v>1</v>
      </c>
      <c r="H551" s="64">
        <f>G551*F551*E551</f>
        <v>0.54</v>
      </c>
    </row>
    <row r="552" spans="2:8" x14ac:dyDescent="0.3">
      <c r="B552" s="59"/>
      <c r="C552" s="63" t="s">
        <v>61</v>
      </c>
      <c r="D552" s="90"/>
      <c r="E552" s="87">
        <v>1.5</v>
      </c>
      <c r="F552" s="87">
        <v>1</v>
      </c>
      <c r="G552" s="87">
        <v>1</v>
      </c>
      <c r="H552" s="64">
        <f>G552*F552*E552</f>
        <v>1.5</v>
      </c>
    </row>
    <row r="553" spans="2:8" s="4" customFormat="1" x14ac:dyDescent="0.3">
      <c r="B553" s="411" t="s">
        <v>55</v>
      </c>
      <c r="C553" s="411"/>
      <c r="D553" s="411"/>
      <c r="E553" s="411"/>
      <c r="F553" s="411"/>
      <c r="G553" s="411"/>
      <c r="H553" s="64">
        <f>H549+H550-H551-H552</f>
        <v>23.884999999999998</v>
      </c>
    </row>
    <row r="554" spans="2:8" x14ac:dyDescent="0.3">
      <c r="B554" s="59" t="s">
        <v>735</v>
      </c>
      <c r="C554" s="56" t="s">
        <v>111</v>
      </c>
      <c r="D554" s="417"/>
      <c r="E554" s="417"/>
      <c r="F554" s="417"/>
      <c r="G554" s="417"/>
      <c r="H554" s="417"/>
    </row>
    <row r="555" spans="2:8" x14ac:dyDescent="0.3">
      <c r="B555" s="59"/>
      <c r="C555" s="141" t="s">
        <v>126</v>
      </c>
      <c r="D555" s="59"/>
      <c r="E555" s="64">
        <f>6+5+1.3+0.15+1.35+1+1.35+1.9+5</f>
        <v>23.05</v>
      </c>
      <c r="F555" s="64">
        <v>1.5</v>
      </c>
      <c r="G555" s="64"/>
      <c r="H555" s="64">
        <f>F555*E555</f>
        <v>34.575000000000003</v>
      </c>
    </row>
    <row r="556" spans="2:8" s="4" customFormat="1" x14ac:dyDescent="0.3">
      <c r="B556" s="59"/>
      <c r="C556" s="142" t="s">
        <v>63</v>
      </c>
      <c r="D556" s="59"/>
      <c r="E556" s="64">
        <v>5</v>
      </c>
      <c r="F556" s="64">
        <v>6</v>
      </c>
      <c r="G556" s="64"/>
      <c r="H556" s="64">
        <f t="shared" ref="H556:H558" si="23">F556*E556</f>
        <v>30</v>
      </c>
    </row>
    <row r="557" spans="2:8" x14ac:dyDescent="0.3">
      <c r="B557" s="59"/>
      <c r="C557" s="142" t="s">
        <v>63</v>
      </c>
      <c r="D557" s="59"/>
      <c r="E557" s="64">
        <v>1.35</v>
      </c>
      <c r="F557" s="64">
        <v>1.8</v>
      </c>
      <c r="G557" s="64"/>
      <c r="H557" s="64">
        <f t="shared" si="23"/>
        <v>2.4300000000000002</v>
      </c>
    </row>
    <row r="558" spans="2:8" x14ac:dyDescent="0.3">
      <c r="B558" s="59"/>
      <c r="C558" s="142" t="s">
        <v>63</v>
      </c>
      <c r="D558" s="59"/>
      <c r="E558" s="64">
        <v>1.35</v>
      </c>
      <c r="F558" s="64">
        <v>1</v>
      </c>
      <c r="G558" s="64"/>
      <c r="H558" s="64">
        <f t="shared" si="23"/>
        <v>1.35</v>
      </c>
    </row>
    <row r="559" spans="2:8" x14ac:dyDescent="0.3">
      <c r="B559" s="59"/>
      <c r="C559" s="56" t="s">
        <v>60</v>
      </c>
      <c r="D559" s="59"/>
      <c r="E559" s="64">
        <v>0.9</v>
      </c>
      <c r="F559" s="64">
        <v>0.6</v>
      </c>
      <c r="G559" s="64">
        <v>3</v>
      </c>
      <c r="H559" s="64">
        <f>G559*F559*E559</f>
        <v>1.6199999999999999</v>
      </c>
    </row>
    <row r="560" spans="2:8" x14ac:dyDescent="0.3">
      <c r="B560" s="59"/>
      <c r="C560" s="63" t="s">
        <v>61</v>
      </c>
      <c r="D560" s="90"/>
      <c r="E560" s="87">
        <v>2.5</v>
      </c>
      <c r="F560" s="87">
        <v>0.7</v>
      </c>
      <c r="G560" s="87">
        <v>1</v>
      </c>
      <c r="H560" s="64">
        <f>G560*F560*E560</f>
        <v>1.75</v>
      </c>
    </row>
    <row r="561" spans="2:8" x14ac:dyDescent="0.3">
      <c r="B561" s="411" t="s">
        <v>55</v>
      </c>
      <c r="C561" s="411"/>
      <c r="D561" s="411"/>
      <c r="E561" s="411"/>
      <c r="F561" s="411"/>
      <c r="G561" s="411"/>
      <c r="H561" s="64">
        <f>H555+H556+H557+H558-H559-H560</f>
        <v>64.984999999999999</v>
      </c>
    </row>
    <row r="562" spans="2:8" x14ac:dyDescent="0.3">
      <c r="B562" s="59" t="s">
        <v>736</v>
      </c>
      <c r="C562" s="56" t="s">
        <v>112</v>
      </c>
      <c r="D562" s="417"/>
      <c r="E562" s="417"/>
      <c r="F562" s="417"/>
      <c r="G562" s="417"/>
      <c r="H562" s="417"/>
    </row>
    <row r="563" spans="2:8" s="4" customFormat="1" x14ac:dyDescent="0.3">
      <c r="B563" s="59"/>
      <c r="C563" s="56" t="s">
        <v>63</v>
      </c>
      <c r="D563" s="59"/>
      <c r="E563" s="64">
        <v>1.2</v>
      </c>
      <c r="F563" s="64">
        <v>1.75</v>
      </c>
      <c r="G563" s="64"/>
      <c r="H563" s="64">
        <f>F563*E563</f>
        <v>2.1</v>
      </c>
    </row>
    <row r="564" spans="2:8" s="4" customFormat="1" x14ac:dyDescent="0.3">
      <c r="B564" s="411" t="s">
        <v>55</v>
      </c>
      <c r="C564" s="411"/>
      <c r="D564" s="411"/>
      <c r="E564" s="411"/>
      <c r="F564" s="411"/>
      <c r="G564" s="411"/>
      <c r="H564" s="64">
        <f>H563</f>
        <v>2.1</v>
      </c>
    </row>
    <row r="565" spans="2:8" x14ac:dyDescent="0.3">
      <c r="B565" s="59" t="s">
        <v>737</v>
      </c>
      <c r="C565" s="56" t="s">
        <v>113</v>
      </c>
      <c r="D565" s="417"/>
      <c r="E565" s="417"/>
      <c r="F565" s="417"/>
      <c r="G565" s="417"/>
      <c r="H565" s="417"/>
    </row>
    <row r="566" spans="2:8" x14ac:dyDescent="0.3">
      <c r="B566" s="59"/>
      <c r="C566" s="56" t="s">
        <v>63</v>
      </c>
      <c r="D566" s="59"/>
      <c r="E566" s="64">
        <v>1.2</v>
      </c>
      <c r="F566" s="64">
        <v>1.85</v>
      </c>
      <c r="G566" s="64"/>
      <c r="H566" s="64">
        <f>F566*E566</f>
        <v>2.2200000000000002</v>
      </c>
    </row>
    <row r="567" spans="2:8" x14ac:dyDescent="0.3">
      <c r="B567" s="411" t="s">
        <v>55</v>
      </c>
      <c r="C567" s="411"/>
      <c r="D567" s="411"/>
      <c r="E567" s="411"/>
      <c r="F567" s="411"/>
      <c r="G567" s="411"/>
      <c r="H567" s="64">
        <f>H566</f>
        <v>2.2200000000000002</v>
      </c>
    </row>
    <row r="568" spans="2:8" x14ac:dyDescent="0.3">
      <c r="B568" s="59" t="s">
        <v>738</v>
      </c>
      <c r="C568" s="56" t="s">
        <v>114</v>
      </c>
      <c r="D568" s="417"/>
      <c r="E568" s="417"/>
      <c r="F568" s="417"/>
      <c r="G568" s="417"/>
      <c r="H568" s="417"/>
    </row>
    <row r="569" spans="2:8" ht="15.75" customHeight="1" x14ac:dyDescent="0.3">
      <c r="B569" s="59"/>
      <c r="C569" s="56" t="s">
        <v>115</v>
      </c>
      <c r="D569" s="59"/>
      <c r="E569" s="64">
        <f>2.8+5+2.8+5</f>
        <v>15.6</v>
      </c>
      <c r="F569" s="87">
        <v>1.5</v>
      </c>
      <c r="G569" s="64"/>
      <c r="H569" s="64">
        <f>F569*E569</f>
        <v>23.4</v>
      </c>
    </row>
    <row r="570" spans="2:8" x14ac:dyDescent="0.3">
      <c r="B570" s="59"/>
      <c r="C570" s="56" t="s">
        <v>63</v>
      </c>
      <c r="D570" s="59"/>
      <c r="E570" s="64">
        <v>2.8</v>
      </c>
      <c r="F570" s="64">
        <v>5</v>
      </c>
      <c r="G570" s="64"/>
      <c r="H570" s="64">
        <f>F570*E570</f>
        <v>14</v>
      </c>
    </row>
    <row r="571" spans="2:8" x14ac:dyDescent="0.3">
      <c r="B571" s="59"/>
      <c r="C571" s="56" t="s">
        <v>60</v>
      </c>
      <c r="D571" s="59"/>
      <c r="E571" s="64">
        <v>0.9</v>
      </c>
      <c r="F571" s="64">
        <v>0.6</v>
      </c>
      <c r="G571" s="64">
        <v>1</v>
      </c>
      <c r="H571" s="64">
        <f>F571*E571*G571</f>
        <v>0.54</v>
      </c>
    </row>
    <row r="572" spans="2:8" ht="15" customHeight="1" x14ac:dyDescent="0.3">
      <c r="B572" s="59"/>
      <c r="C572" s="56" t="s">
        <v>60</v>
      </c>
      <c r="D572" s="59"/>
      <c r="E572" s="64">
        <v>0.7</v>
      </c>
      <c r="F572" s="64">
        <v>0.6</v>
      </c>
      <c r="G572" s="64">
        <v>1</v>
      </c>
      <c r="H572" s="64">
        <f>G572*F572*E572</f>
        <v>0.42</v>
      </c>
    </row>
    <row r="573" spans="2:8" s="4" customFormat="1" x14ac:dyDescent="0.3">
      <c r="B573" s="59"/>
      <c r="C573" s="63" t="s">
        <v>61</v>
      </c>
      <c r="D573" s="90"/>
      <c r="E573" s="87">
        <v>2.5</v>
      </c>
      <c r="F573" s="87">
        <v>0.7</v>
      </c>
      <c r="G573" s="87">
        <v>1</v>
      </c>
      <c r="H573" s="64">
        <f>G573*F573*E573</f>
        <v>1.75</v>
      </c>
    </row>
    <row r="574" spans="2:8" x14ac:dyDescent="0.3">
      <c r="B574" s="411" t="s">
        <v>55</v>
      </c>
      <c r="C574" s="411"/>
      <c r="D574" s="411"/>
      <c r="E574" s="411"/>
      <c r="F574" s="411"/>
      <c r="G574" s="411"/>
      <c r="H574" s="64">
        <f>H569+H570-H572-H573-H571</f>
        <v>34.69</v>
      </c>
    </row>
    <row r="575" spans="2:8" x14ac:dyDescent="0.3">
      <c r="B575" s="59" t="s">
        <v>739</v>
      </c>
      <c r="C575" s="56" t="s">
        <v>116</v>
      </c>
      <c r="D575" s="417"/>
      <c r="E575" s="417"/>
      <c r="F575" s="417"/>
      <c r="G575" s="417"/>
      <c r="H575" s="417"/>
    </row>
    <row r="576" spans="2:8" x14ac:dyDescent="0.3">
      <c r="B576" s="59"/>
      <c r="C576" s="56" t="s">
        <v>117</v>
      </c>
      <c r="D576" s="59"/>
      <c r="E576" s="64">
        <f>3.05+5+3.05+5</f>
        <v>16.100000000000001</v>
      </c>
      <c r="F576" s="87">
        <v>1.5</v>
      </c>
      <c r="G576" s="64"/>
      <c r="H576" s="64">
        <f>F576*E576</f>
        <v>24.150000000000002</v>
      </c>
    </row>
    <row r="577" spans="2:8" x14ac:dyDescent="0.3">
      <c r="B577" s="59"/>
      <c r="C577" s="56" t="s">
        <v>63</v>
      </c>
      <c r="D577" s="59"/>
      <c r="E577" s="64">
        <v>3.05</v>
      </c>
      <c r="F577" s="64">
        <v>5</v>
      </c>
      <c r="G577" s="64"/>
      <c r="H577" s="64">
        <f>F577*E577</f>
        <v>15.25</v>
      </c>
    </row>
    <row r="578" spans="2:8" x14ac:dyDescent="0.3">
      <c r="B578" s="59"/>
      <c r="C578" s="56" t="s">
        <v>60</v>
      </c>
      <c r="D578" s="59"/>
      <c r="E578" s="64">
        <v>0.9</v>
      </c>
      <c r="F578" s="64">
        <v>0.6</v>
      </c>
      <c r="G578" s="64">
        <v>3</v>
      </c>
      <c r="H578" s="64">
        <f>G578*F578*E578</f>
        <v>1.6199999999999999</v>
      </c>
    </row>
    <row r="579" spans="2:8" x14ac:dyDescent="0.3">
      <c r="B579" s="59"/>
      <c r="C579" s="63" t="s">
        <v>61</v>
      </c>
      <c r="D579" s="90"/>
      <c r="E579" s="87">
        <v>2.5</v>
      </c>
      <c r="F579" s="87">
        <v>1</v>
      </c>
      <c r="G579" s="87">
        <v>2</v>
      </c>
      <c r="H579" s="64">
        <f>G579*F579*E579</f>
        <v>5</v>
      </c>
    </row>
    <row r="580" spans="2:8" x14ac:dyDescent="0.3">
      <c r="B580" s="411" t="s">
        <v>55</v>
      </c>
      <c r="C580" s="411"/>
      <c r="D580" s="411"/>
      <c r="E580" s="411"/>
      <c r="F580" s="411"/>
      <c r="G580" s="411"/>
      <c r="H580" s="64">
        <f>H576+H577-H579-H578</f>
        <v>32.780000000000008</v>
      </c>
    </row>
    <row r="581" spans="2:8" x14ac:dyDescent="0.3">
      <c r="B581" s="59" t="s">
        <v>740</v>
      </c>
      <c r="C581" s="56" t="s">
        <v>118</v>
      </c>
      <c r="D581" s="417"/>
      <c r="E581" s="417"/>
      <c r="F581" s="417"/>
      <c r="G581" s="417"/>
      <c r="H581" s="417"/>
    </row>
    <row r="582" spans="2:8" x14ac:dyDescent="0.3">
      <c r="B582" s="59"/>
      <c r="C582" s="56" t="s">
        <v>119</v>
      </c>
      <c r="D582" s="59"/>
      <c r="E582" s="64">
        <f>5.5+5.2+5.5+5.2</f>
        <v>21.4</v>
      </c>
      <c r="F582" s="87">
        <v>1.5</v>
      </c>
      <c r="G582" s="64"/>
      <c r="H582" s="64">
        <f>F582*E582</f>
        <v>32.099999999999994</v>
      </c>
    </row>
    <row r="583" spans="2:8" ht="15" customHeight="1" x14ac:dyDescent="0.3">
      <c r="B583" s="59"/>
      <c r="C583" s="56" t="s">
        <v>63</v>
      </c>
      <c r="D583" s="59"/>
      <c r="E583" s="64">
        <v>5.2</v>
      </c>
      <c r="F583" s="64">
        <v>5.5</v>
      </c>
      <c r="G583" s="64"/>
      <c r="H583" s="64">
        <f>F583*E583</f>
        <v>28.6</v>
      </c>
    </row>
    <row r="584" spans="2:8" s="4" customFormat="1" x14ac:dyDescent="0.3">
      <c r="B584" s="59"/>
      <c r="C584" s="56" t="s">
        <v>64</v>
      </c>
      <c r="D584" s="90"/>
      <c r="E584" s="87">
        <v>2</v>
      </c>
      <c r="F584" s="87">
        <v>1</v>
      </c>
      <c r="G584" s="87">
        <v>1</v>
      </c>
      <c r="H584" s="64">
        <f>G584*F584*E584</f>
        <v>2</v>
      </c>
    </row>
    <row r="585" spans="2:8" x14ac:dyDescent="0.3">
      <c r="B585" s="59"/>
      <c r="C585" s="56" t="s">
        <v>64</v>
      </c>
      <c r="D585" s="90"/>
      <c r="E585" s="87">
        <v>2.5</v>
      </c>
      <c r="F585" s="87">
        <v>1</v>
      </c>
      <c r="G585" s="87">
        <v>1</v>
      </c>
      <c r="H585" s="64">
        <f>G585*F585*E585</f>
        <v>2.5</v>
      </c>
    </row>
    <row r="586" spans="2:8" x14ac:dyDescent="0.3">
      <c r="B586" s="411" t="s">
        <v>55</v>
      </c>
      <c r="C586" s="411"/>
      <c r="D586" s="411"/>
      <c r="E586" s="411"/>
      <c r="F586" s="411"/>
      <c r="G586" s="411"/>
      <c r="H586" s="64">
        <f>H582+H583-H585-H584</f>
        <v>56.199999999999996</v>
      </c>
    </row>
    <row r="587" spans="2:8" x14ac:dyDescent="0.3">
      <c r="B587" s="59" t="s">
        <v>741</v>
      </c>
      <c r="C587" s="56" t="s">
        <v>120</v>
      </c>
      <c r="D587" s="417"/>
      <c r="E587" s="417"/>
      <c r="F587" s="417"/>
      <c r="G587" s="417"/>
      <c r="H587" s="417"/>
    </row>
    <row r="588" spans="2:8" x14ac:dyDescent="0.3">
      <c r="B588" s="59"/>
      <c r="C588" s="56" t="s">
        <v>106</v>
      </c>
      <c r="D588" s="59"/>
      <c r="E588" s="64">
        <f>5.5+6+5.5+6</f>
        <v>23</v>
      </c>
      <c r="F588" s="64">
        <v>1.5</v>
      </c>
      <c r="G588" s="64"/>
      <c r="H588" s="64">
        <f>F588*E588</f>
        <v>34.5</v>
      </c>
    </row>
    <row r="589" spans="2:8" x14ac:dyDescent="0.3">
      <c r="B589" s="59"/>
      <c r="C589" s="56" t="s">
        <v>63</v>
      </c>
      <c r="D589" s="59"/>
      <c r="E589" s="64">
        <v>5.5</v>
      </c>
      <c r="F589" s="64">
        <v>6</v>
      </c>
      <c r="G589" s="64"/>
      <c r="H589" s="64">
        <f>F589*E589</f>
        <v>33</v>
      </c>
    </row>
    <row r="590" spans="2:8" ht="13.5" customHeight="1" x14ac:dyDescent="0.3">
      <c r="B590" s="59"/>
      <c r="C590" s="56" t="s">
        <v>60</v>
      </c>
      <c r="D590" s="59"/>
      <c r="E590" s="64">
        <v>0.9</v>
      </c>
      <c r="F590" s="64">
        <v>0.6</v>
      </c>
      <c r="G590" s="64">
        <v>1</v>
      </c>
      <c r="H590" s="64">
        <f>G590*F590*E590</f>
        <v>0.54</v>
      </c>
    </row>
    <row r="591" spans="2:8" x14ac:dyDescent="0.3">
      <c r="B591" s="90"/>
      <c r="C591" s="63" t="s">
        <v>61</v>
      </c>
      <c r="D591" s="90"/>
      <c r="E591" s="87">
        <v>2.5</v>
      </c>
      <c r="F591" s="87">
        <v>1</v>
      </c>
      <c r="G591" s="87">
        <v>2</v>
      </c>
      <c r="H591" s="64">
        <f>G591*F591*E591</f>
        <v>5</v>
      </c>
    </row>
    <row r="592" spans="2:8" x14ac:dyDescent="0.3">
      <c r="B592" s="90"/>
      <c r="C592" s="63" t="s">
        <v>61</v>
      </c>
      <c r="D592" s="90"/>
      <c r="E592" s="87">
        <v>2.5</v>
      </c>
      <c r="F592" s="87">
        <v>0.7</v>
      </c>
      <c r="G592" s="87">
        <v>1</v>
      </c>
      <c r="H592" s="64">
        <f>G592*F592*E592</f>
        <v>1.75</v>
      </c>
    </row>
    <row r="593" spans="2:8" x14ac:dyDescent="0.3">
      <c r="B593" s="411" t="s">
        <v>55</v>
      </c>
      <c r="C593" s="411"/>
      <c r="D593" s="411"/>
      <c r="E593" s="411"/>
      <c r="F593" s="411"/>
      <c r="G593" s="411"/>
      <c r="H593" s="64">
        <f>H588+H589-H590-H592-H591</f>
        <v>60.209999999999994</v>
      </c>
    </row>
    <row r="594" spans="2:8" x14ac:dyDescent="0.3">
      <c r="B594" s="59" t="s">
        <v>742</v>
      </c>
      <c r="C594" s="56" t="s">
        <v>121</v>
      </c>
      <c r="D594" s="417"/>
      <c r="E594" s="417"/>
      <c r="F594" s="417"/>
      <c r="G594" s="417"/>
      <c r="H594" s="417"/>
    </row>
    <row r="595" spans="2:8" x14ac:dyDescent="0.3">
      <c r="B595" s="59"/>
      <c r="C595" s="56" t="s">
        <v>106</v>
      </c>
      <c r="D595" s="59"/>
      <c r="E595" s="64">
        <f>5.5+6+5.5+6</f>
        <v>23</v>
      </c>
      <c r="F595" s="64">
        <v>1.5</v>
      </c>
      <c r="G595" s="64"/>
      <c r="H595" s="64">
        <f>F595*E595</f>
        <v>34.5</v>
      </c>
    </row>
    <row r="596" spans="2:8" x14ac:dyDescent="0.3">
      <c r="B596" s="59"/>
      <c r="C596" s="56" t="s">
        <v>63</v>
      </c>
      <c r="D596" s="59"/>
      <c r="E596" s="64">
        <v>5.5</v>
      </c>
      <c r="F596" s="64">
        <v>6</v>
      </c>
      <c r="G596" s="64"/>
      <c r="H596" s="64">
        <f>F596*E596</f>
        <v>33</v>
      </c>
    </row>
    <row r="597" spans="2:8" x14ac:dyDescent="0.3">
      <c r="B597" s="59"/>
      <c r="C597" s="56" t="s">
        <v>60</v>
      </c>
      <c r="D597" s="59"/>
      <c r="E597" s="64">
        <v>0.9</v>
      </c>
      <c r="F597" s="64">
        <v>0.6</v>
      </c>
      <c r="G597" s="64">
        <v>1</v>
      </c>
      <c r="H597" s="64">
        <f>G597*F597*E597</f>
        <v>0.54</v>
      </c>
    </row>
    <row r="598" spans="2:8" x14ac:dyDescent="0.3">
      <c r="B598" s="90"/>
      <c r="C598" s="63" t="s">
        <v>61</v>
      </c>
      <c r="D598" s="90"/>
      <c r="E598" s="87">
        <v>2.5</v>
      </c>
      <c r="F598" s="87">
        <v>1</v>
      </c>
      <c r="G598" s="87">
        <v>2</v>
      </c>
      <c r="H598" s="64">
        <f>G598*F598*E598</f>
        <v>5</v>
      </c>
    </row>
    <row r="599" spans="2:8" x14ac:dyDescent="0.3">
      <c r="B599" s="90"/>
      <c r="C599" s="63" t="s">
        <v>61</v>
      </c>
      <c r="D599" s="90"/>
      <c r="E599" s="87">
        <v>2.5</v>
      </c>
      <c r="F599" s="87">
        <v>0.7</v>
      </c>
      <c r="G599" s="87">
        <v>1</v>
      </c>
      <c r="H599" s="64">
        <f>G599*F599*E599</f>
        <v>1.75</v>
      </c>
    </row>
    <row r="600" spans="2:8" x14ac:dyDescent="0.3">
      <c r="B600" s="411" t="s">
        <v>55</v>
      </c>
      <c r="C600" s="411"/>
      <c r="D600" s="411"/>
      <c r="E600" s="411"/>
      <c r="F600" s="411"/>
      <c r="G600" s="411"/>
      <c r="H600" s="64">
        <f>H595+H596-H597-H599-H598</f>
        <v>60.209999999999994</v>
      </c>
    </row>
    <row r="601" spans="2:8" x14ac:dyDescent="0.3">
      <c r="B601" s="59" t="s">
        <v>743</v>
      </c>
      <c r="C601" s="56" t="s">
        <v>122</v>
      </c>
      <c r="D601" s="417"/>
      <c r="E601" s="417"/>
      <c r="F601" s="417"/>
      <c r="G601" s="417"/>
      <c r="H601" s="417"/>
    </row>
    <row r="602" spans="2:8" x14ac:dyDescent="0.3">
      <c r="B602" s="59"/>
      <c r="C602" s="56" t="s">
        <v>106</v>
      </c>
      <c r="D602" s="59"/>
      <c r="E602" s="64">
        <f>5.5+6+5.5+6</f>
        <v>23</v>
      </c>
      <c r="F602" s="64">
        <v>1.5</v>
      </c>
      <c r="G602" s="64"/>
      <c r="H602" s="64">
        <f>F602*E602</f>
        <v>34.5</v>
      </c>
    </row>
    <row r="603" spans="2:8" x14ac:dyDescent="0.3">
      <c r="B603" s="59"/>
      <c r="C603" s="56" t="s">
        <v>63</v>
      </c>
      <c r="D603" s="59"/>
      <c r="E603" s="64">
        <v>5.5</v>
      </c>
      <c r="F603" s="64">
        <v>6</v>
      </c>
      <c r="G603" s="64"/>
      <c r="H603" s="64">
        <f>F603*E603</f>
        <v>33</v>
      </c>
    </row>
    <row r="604" spans="2:8" x14ac:dyDescent="0.3">
      <c r="B604" s="59"/>
      <c r="C604" s="56" t="s">
        <v>60</v>
      </c>
      <c r="D604" s="59"/>
      <c r="E604" s="64">
        <v>0.9</v>
      </c>
      <c r="F604" s="64">
        <v>0.6</v>
      </c>
      <c r="G604" s="64">
        <v>1</v>
      </c>
      <c r="H604" s="64">
        <f>G604*F604*E604</f>
        <v>0.54</v>
      </c>
    </row>
    <row r="605" spans="2:8" x14ac:dyDescent="0.3">
      <c r="B605" s="90"/>
      <c r="C605" s="63" t="s">
        <v>61</v>
      </c>
      <c r="D605" s="90"/>
      <c r="E605" s="87">
        <v>2.5</v>
      </c>
      <c r="F605" s="87">
        <v>1</v>
      </c>
      <c r="G605" s="87">
        <v>2</v>
      </c>
      <c r="H605" s="64">
        <f>G605*F605*E605</f>
        <v>5</v>
      </c>
    </row>
    <row r="606" spans="2:8" x14ac:dyDescent="0.3">
      <c r="B606" s="90"/>
      <c r="C606" s="63" t="s">
        <v>61</v>
      </c>
      <c r="D606" s="90"/>
      <c r="E606" s="87">
        <v>2.5</v>
      </c>
      <c r="F606" s="87">
        <v>0.7</v>
      </c>
      <c r="G606" s="87">
        <v>1</v>
      </c>
      <c r="H606" s="64">
        <f>G606*F606*E606</f>
        <v>1.75</v>
      </c>
    </row>
    <row r="607" spans="2:8" x14ac:dyDescent="0.3">
      <c r="B607" s="411" t="s">
        <v>55</v>
      </c>
      <c r="C607" s="411"/>
      <c r="D607" s="411"/>
      <c r="E607" s="411"/>
      <c r="F607" s="411"/>
      <c r="G607" s="411"/>
      <c r="H607" s="64">
        <f>H602+H603-H604-H606-H605</f>
        <v>60.209999999999994</v>
      </c>
    </row>
    <row r="608" spans="2:8" x14ac:dyDescent="0.3">
      <c r="B608" s="59" t="s">
        <v>744</v>
      </c>
      <c r="C608" s="56" t="s">
        <v>123</v>
      </c>
      <c r="D608" s="417"/>
      <c r="E608" s="417"/>
      <c r="F608" s="417"/>
      <c r="G608" s="417"/>
      <c r="H608" s="417"/>
    </row>
    <row r="609" spans="2:8" x14ac:dyDescent="0.3">
      <c r="B609" s="59"/>
      <c r="C609" s="56" t="s">
        <v>106</v>
      </c>
      <c r="D609" s="59"/>
      <c r="E609" s="64">
        <f>5.5+6+5.5+6</f>
        <v>23</v>
      </c>
      <c r="F609" s="64">
        <v>1.5</v>
      </c>
      <c r="G609" s="64"/>
      <c r="H609" s="64">
        <f>F609*E609</f>
        <v>34.5</v>
      </c>
    </row>
    <row r="610" spans="2:8" x14ac:dyDescent="0.3">
      <c r="B610" s="59"/>
      <c r="C610" s="56" t="s">
        <v>63</v>
      </c>
      <c r="D610" s="59"/>
      <c r="E610" s="64">
        <v>5.5</v>
      </c>
      <c r="F610" s="64">
        <v>6</v>
      </c>
      <c r="G610" s="64"/>
      <c r="H610" s="64">
        <f>F610*E610</f>
        <v>33</v>
      </c>
    </row>
    <row r="611" spans="2:8" x14ac:dyDescent="0.3">
      <c r="B611" s="59"/>
      <c r="C611" s="56" t="s">
        <v>60</v>
      </c>
      <c r="D611" s="59"/>
      <c r="E611" s="64">
        <v>0.9</v>
      </c>
      <c r="F611" s="64">
        <v>0.6</v>
      </c>
      <c r="G611" s="64">
        <v>1</v>
      </c>
      <c r="H611" s="64">
        <f>G611*F611*E611</f>
        <v>0.54</v>
      </c>
    </row>
    <row r="612" spans="2:8" x14ac:dyDescent="0.3">
      <c r="B612" s="90"/>
      <c r="C612" s="63" t="s">
        <v>61</v>
      </c>
      <c r="D612" s="90"/>
      <c r="E612" s="87">
        <v>2.5</v>
      </c>
      <c r="F612" s="87">
        <v>1</v>
      </c>
      <c r="G612" s="87">
        <v>2</v>
      </c>
      <c r="H612" s="64">
        <f>G612*F612*E612</f>
        <v>5</v>
      </c>
    </row>
    <row r="613" spans="2:8" x14ac:dyDescent="0.3">
      <c r="B613" s="90"/>
      <c r="C613" s="63" t="s">
        <v>61</v>
      </c>
      <c r="D613" s="90"/>
      <c r="E613" s="87">
        <v>2.5</v>
      </c>
      <c r="F613" s="87">
        <v>0.7</v>
      </c>
      <c r="G613" s="87">
        <v>1</v>
      </c>
      <c r="H613" s="64">
        <f>G613*F613*E613</f>
        <v>1.75</v>
      </c>
    </row>
    <row r="614" spans="2:8" x14ac:dyDescent="0.3">
      <c r="B614" s="411" t="s">
        <v>55</v>
      </c>
      <c r="C614" s="411"/>
      <c r="D614" s="411"/>
      <c r="E614" s="411"/>
      <c r="F614" s="411"/>
      <c r="G614" s="411"/>
      <c r="H614" s="64">
        <f>H609+H610-H611-H613-H612</f>
        <v>60.209999999999994</v>
      </c>
    </row>
    <row r="615" spans="2:8" x14ac:dyDescent="0.3">
      <c r="B615" s="59" t="s">
        <v>745</v>
      </c>
      <c r="C615" s="56" t="s">
        <v>302</v>
      </c>
      <c r="D615" s="417"/>
      <c r="E615" s="417"/>
      <c r="F615" s="417"/>
      <c r="G615" s="417"/>
      <c r="H615" s="417"/>
    </row>
    <row r="616" spans="2:8" x14ac:dyDescent="0.3">
      <c r="B616" s="59"/>
      <c r="C616" s="56" t="s">
        <v>367</v>
      </c>
      <c r="D616" s="59"/>
      <c r="E616" s="64">
        <f>7.5+3.6+7.5+3.6</f>
        <v>22.200000000000003</v>
      </c>
      <c r="F616" s="64">
        <v>1.5</v>
      </c>
      <c r="G616" s="64"/>
      <c r="H616" s="64">
        <f>F616*E616</f>
        <v>33.300000000000004</v>
      </c>
    </row>
    <row r="617" spans="2:8" x14ac:dyDescent="0.3">
      <c r="B617" s="59"/>
      <c r="C617" s="56" t="s">
        <v>60</v>
      </c>
      <c r="D617" s="59"/>
      <c r="E617" s="64">
        <v>0.9</v>
      </c>
      <c r="F617" s="64">
        <v>0.6</v>
      </c>
      <c r="G617" s="64">
        <v>1</v>
      </c>
      <c r="H617" s="64">
        <f>G617*F617*E617</f>
        <v>0.54</v>
      </c>
    </row>
    <row r="618" spans="2:8" x14ac:dyDescent="0.3">
      <c r="B618" s="90"/>
      <c r="C618" s="63" t="s">
        <v>61</v>
      </c>
      <c r="D618" s="90"/>
      <c r="E618" s="87">
        <v>2.5</v>
      </c>
      <c r="F618" s="87">
        <v>1</v>
      </c>
      <c r="G618" s="87">
        <v>2</v>
      </c>
      <c r="H618" s="64">
        <f>G618*F618*E618</f>
        <v>5</v>
      </c>
    </row>
    <row r="619" spans="2:8" x14ac:dyDescent="0.3">
      <c r="B619" s="411" t="s">
        <v>55</v>
      </c>
      <c r="C619" s="411"/>
      <c r="D619" s="411"/>
      <c r="E619" s="411"/>
      <c r="F619" s="411"/>
      <c r="G619" s="411"/>
      <c r="H619" s="64">
        <f>H616-H617-H618</f>
        <v>27.760000000000005</v>
      </c>
    </row>
    <row r="620" spans="2:8" x14ac:dyDescent="0.3">
      <c r="B620" s="59" t="s">
        <v>746</v>
      </c>
      <c r="C620" s="56" t="s">
        <v>124</v>
      </c>
      <c r="D620" s="417"/>
      <c r="E620" s="417"/>
      <c r="F620" s="417"/>
      <c r="G620" s="417"/>
      <c r="H620" s="417"/>
    </row>
    <row r="621" spans="2:8" x14ac:dyDescent="0.3">
      <c r="B621" s="59"/>
      <c r="C621" s="56" t="s">
        <v>366</v>
      </c>
      <c r="D621" s="59"/>
      <c r="E621" s="64">
        <f>11.6+26.75+12.3+8.5+2</f>
        <v>61.150000000000006</v>
      </c>
      <c r="F621" s="64">
        <v>1.5</v>
      </c>
      <c r="G621" s="64"/>
      <c r="H621" s="64">
        <f>F621*E621</f>
        <v>91.725000000000009</v>
      </c>
    </row>
    <row r="622" spans="2:8" x14ac:dyDescent="0.3">
      <c r="B622" s="59"/>
      <c r="C622" s="56" t="s">
        <v>417</v>
      </c>
      <c r="D622" s="59"/>
      <c r="E622" s="64">
        <f>2*3.14*0.12</f>
        <v>0.75360000000000005</v>
      </c>
      <c r="F622" s="64">
        <v>1.5</v>
      </c>
      <c r="G622" s="64">
        <v>20</v>
      </c>
      <c r="H622" s="64">
        <f>F622*E622*G622</f>
        <v>22.608000000000001</v>
      </c>
    </row>
    <row r="623" spans="2:8" x14ac:dyDescent="0.3">
      <c r="B623" s="59"/>
      <c r="C623" s="56" t="s">
        <v>418</v>
      </c>
      <c r="D623" s="59"/>
      <c r="E623" s="64">
        <f>0.3+0.15+0.3+0.15</f>
        <v>0.9</v>
      </c>
      <c r="F623" s="64">
        <v>1.5</v>
      </c>
      <c r="G623" s="64">
        <v>1</v>
      </c>
      <c r="H623" s="64">
        <f>F623*E623*G623</f>
        <v>1.35</v>
      </c>
    </row>
    <row r="624" spans="2:8" x14ac:dyDescent="0.3">
      <c r="B624" s="59"/>
      <c r="C624" s="142" t="s">
        <v>63</v>
      </c>
      <c r="D624" s="59"/>
      <c r="E624" s="64">
        <v>2</v>
      </c>
      <c r="F624" s="64">
        <v>24.75</v>
      </c>
      <c r="G624" s="64"/>
      <c r="H624" s="64">
        <f>F624*E624</f>
        <v>49.5</v>
      </c>
    </row>
    <row r="625" spans="2:8" x14ac:dyDescent="0.3">
      <c r="B625" s="59"/>
      <c r="C625" s="142" t="s">
        <v>63</v>
      </c>
      <c r="D625" s="59"/>
      <c r="E625" s="64">
        <v>2.85</v>
      </c>
      <c r="F625" s="64">
        <v>5.8</v>
      </c>
      <c r="G625" s="64"/>
      <c r="H625" s="64">
        <f>F625*E625</f>
        <v>16.53</v>
      </c>
    </row>
    <row r="626" spans="2:8" x14ac:dyDescent="0.3">
      <c r="B626" s="59"/>
      <c r="C626" s="142" t="s">
        <v>63</v>
      </c>
      <c r="D626" s="59"/>
      <c r="E626" s="64">
        <v>2</v>
      </c>
      <c r="F626" s="64">
        <v>24.75</v>
      </c>
      <c r="G626" s="64"/>
      <c r="H626" s="64">
        <f>F626*E626</f>
        <v>49.5</v>
      </c>
    </row>
    <row r="627" spans="2:8" x14ac:dyDescent="0.3">
      <c r="B627" s="59"/>
      <c r="C627" s="142" t="s">
        <v>63</v>
      </c>
      <c r="D627" s="59"/>
      <c r="E627" s="64">
        <v>5.8</v>
      </c>
      <c r="F627" s="64">
        <v>2</v>
      </c>
      <c r="G627" s="64"/>
      <c r="H627" s="64">
        <f>F627*E627</f>
        <v>11.6</v>
      </c>
    </row>
    <row r="628" spans="2:8" s="4" customFormat="1" x14ac:dyDescent="0.3">
      <c r="B628" s="59"/>
      <c r="C628" s="142" t="s">
        <v>60</v>
      </c>
      <c r="D628" s="59"/>
      <c r="E628" s="64">
        <v>0.9</v>
      </c>
      <c r="F628" s="64">
        <v>0.6</v>
      </c>
      <c r="G628" s="64">
        <v>11</v>
      </c>
      <c r="H628" s="64">
        <f>F628*E628*G628</f>
        <v>5.94</v>
      </c>
    </row>
    <row r="629" spans="2:8" x14ac:dyDescent="0.3">
      <c r="B629" s="59"/>
      <c r="C629" s="142" t="s">
        <v>125</v>
      </c>
      <c r="D629" s="59"/>
      <c r="E629" s="64">
        <v>2</v>
      </c>
      <c r="F629" s="64">
        <v>0.6</v>
      </c>
      <c r="G629" s="64">
        <v>1</v>
      </c>
      <c r="H629" s="64">
        <f>F629*E629*G629</f>
        <v>1.2</v>
      </c>
    </row>
    <row r="630" spans="2:8" x14ac:dyDescent="0.3">
      <c r="B630" s="90"/>
      <c r="C630" s="63" t="s">
        <v>61</v>
      </c>
      <c r="D630" s="90"/>
      <c r="E630" s="87">
        <v>2.5</v>
      </c>
      <c r="F630" s="87">
        <v>0.7</v>
      </c>
      <c r="G630" s="87">
        <v>7</v>
      </c>
      <c r="H630" s="64">
        <f>F630*E630*G630</f>
        <v>12.25</v>
      </c>
    </row>
    <row r="631" spans="2:8" x14ac:dyDescent="0.3">
      <c r="B631" s="90"/>
      <c r="C631" s="63" t="s">
        <v>61</v>
      </c>
      <c r="D631" s="90"/>
      <c r="E631" s="87">
        <v>0.5</v>
      </c>
      <c r="F631" s="87">
        <v>1</v>
      </c>
      <c r="G631" s="87">
        <v>1</v>
      </c>
      <c r="H631" s="64">
        <f>F631*E631*G631</f>
        <v>0.5</v>
      </c>
    </row>
    <row r="632" spans="2:8" x14ac:dyDescent="0.3">
      <c r="B632" s="90"/>
      <c r="C632" s="63" t="s">
        <v>61</v>
      </c>
      <c r="D632" s="90"/>
      <c r="E632" s="87">
        <v>1.5</v>
      </c>
      <c r="F632" s="87">
        <v>1</v>
      </c>
      <c r="G632" s="87">
        <v>1</v>
      </c>
      <c r="H632" s="64">
        <f>F632*E632*G632</f>
        <v>1.5</v>
      </c>
    </row>
    <row r="633" spans="2:8" x14ac:dyDescent="0.3">
      <c r="B633" s="411" t="s">
        <v>55</v>
      </c>
      <c r="C633" s="411"/>
      <c r="D633" s="411"/>
      <c r="E633" s="411"/>
      <c r="F633" s="411"/>
      <c r="G633" s="411"/>
      <c r="H633" s="64">
        <f>H621+H622+H624+H625+H623+H626+H627-H628-H629-H630-H631-H632</f>
        <v>221.42300000000003</v>
      </c>
    </row>
    <row r="634" spans="2:8" x14ac:dyDescent="0.3">
      <c r="B634" s="59" t="s">
        <v>747</v>
      </c>
      <c r="C634" s="56" t="s">
        <v>127</v>
      </c>
      <c r="D634" s="417"/>
      <c r="E634" s="417"/>
      <c r="F634" s="417"/>
      <c r="G634" s="417"/>
      <c r="H634" s="417"/>
    </row>
    <row r="635" spans="2:8" x14ac:dyDescent="0.3">
      <c r="B635" s="59"/>
      <c r="C635" s="56" t="s">
        <v>128</v>
      </c>
      <c r="D635" s="59"/>
      <c r="E635" s="64">
        <f>2.97+2+2.97+2</f>
        <v>9.9400000000000013</v>
      </c>
      <c r="F635" s="64">
        <v>1.0900000000000001</v>
      </c>
      <c r="G635" s="64"/>
      <c r="H635" s="64">
        <f>F635*E635</f>
        <v>10.834600000000002</v>
      </c>
    </row>
    <row r="636" spans="2:8" x14ac:dyDescent="0.3">
      <c r="B636" s="59"/>
      <c r="C636" s="56" t="s">
        <v>60</v>
      </c>
      <c r="D636" s="59"/>
      <c r="E636" s="64">
        <v>0.7</v>
      </c>
      <c r="F636" s="64">
        <v>0.5</v>
      </c>
      <c r="G636" s="64">
        <v>1</v>
      </c>
      <c r="H636" s="64">
        <f>G636*F636*E636</f>
        <v>0.35</v>
      </c>
    </row>
    <row r="637" spans="2:8" x14ac:dyDescent="0.3">
      <c r="B637" s="59"/>
      <c r="C637" s="63" t="s">
        <v>61</v>
      </c>
      <c r="D637" s="90"/>
      <c r="E637" s="87">
        <v>1</v>
      </c>
      <c r="F637" s="87">
        <v>0.8</v>
      </c>
      <c r="G637" s="87">
        <v>1</v>
      </c>
      <c r="H637" s="64">
        <f>G637*F637*E637</f>
        <v>0.8</v>
      </c>
    </row>
    <row r="638" spans="2:8" x14ac:dyDescent="0.3">
      <c r="B638" s="411" t="s">
        <v>55</v>
      </c>
      <c r="C638" s="411"/>
      <c r="D638" s="411"/>
      <c r="E638" s="411"/>
      <c r="F638" s="411"/>
      <c r="G638" s="411"/>
      <c r="H638" s="64">
        <f>H635-H636-H637</f>
        <v>9.6846000000000014</v>
      </c>
    </row>
    <row r="639" spans="2:8" x14ac:dyDescent="0.3">
      <c r="B639" s="59" t="s">
        <v>748</v>
      </c>
      <c r="C639" s="56" t="s">
        <v>129</v>
      </c>
      <c r="D639" s="417"/>
      <c r="E639" s="417"/>
      <c r="F639" s="417"/>
      <c r="G639" s="417"/>
      <c r="H639" s="417"/>
    </row>
    <row r="640" spans="2:8" x14ac:dyDescent="0.3">
      <c r="B640" s="59"/>
      <c r="C640" s="56" t="s">
        <v>128</v>
      </c>
      <c r="D640" s="59"/>
      <c r="E640" s="64">
        <f>2.97+2+2.97+2</f>
        <v>9.9400000000000013</v>
      </c>
      <c r="F640" s="64">
        <v>1.0900000000000001</v>
      </c>
      <c r="G640" s="64"/>
      <c r="H640" s="64">
        <f>F640*E640</f>
        <v>10.834600000000002</v>
      </c>
    </row>
    <row r="641" spans="2:8" s="4" customFormat="1" x14ac:dyDescent="0.3">
      <c r="B641" s="59"/>
      <c r="C641" s="56" t="s">
        <v>60</v>
      </c>
      <c r="D641" s="59"/>
      <c r="E641" s="64">
        <v>0.7</v>
      </c>
      <c r="F641" s="64">
        <v>0.5</v>
      </c>
      <c r="G641" s="64">
        <v>1</v>
      </c>
      <c r="H641" s="64">
        <f>G641*F641*E641</f>
        <v>0.35</v>
      </c>
    </row>
    <row r="642" spans="2:8" s="4" customFormat="1" x14ac:dyDescent="0.3">
      <c r="B642" s="59"/>
      <c r="C642" s="63" t="s">
        <v>61</v>
      </c>
      <c r="D642" s="90"/>
      <c r="E642" s="87">
        <v>1</v>
      </c>
      <c r="F642" s="87">
        <v>0.8</v>
      </c>
      <c r="G642" s="87">
        <v>1</v>
      </c>
      <c r="H642" s="64">
        <f>G642*F642*E642</f>
        <v>0.8</v>
      </c>
    </row>
    <row r="643" spans="2:8" s="4" customFormat="1" x14ac:dyDescent="0.3">
      <c r="B643" s="411" t="s">
        <v>55</v>
      </c>
      <c r="C643" s="411"/>
      <c r="D643" s="411"/>
      <c r="E643" s="411"/>
      <c r="F643" s="411"/>
      <c r="G643" s="411"/>
      <c r="H643" s="64">
        <f>H640-H641-H642</f>
        <v>9.6846000000000014</v>
      </c>
    </row>
    <row r="644" spans="2:8" s="4" customFormat="1" x14ac:dyDescent="0.3">
      <c r="B644" s="59" t="s">
        <v>749</v>
      </c>
      <c r="C644" s="56" t="s">
        <v>130</v>
      </c>
      <c r="D644" s="417"/>
      <c r="E644" s="417"/>
      <c r="F644" s="417"/>
      <c r="G644" s="417"/>
      <c r="H644" s="417"/>
    </row>
    <row r="645" spans="2:8" x14ac:dyDescent="0.3">
      <c r="B645" s="59"/>
      <c r="C645" s="56" t="s">
        <v>131</v>
      </c>
      <c r="D645" s="59"/>
      <c r="E645" s="64">
        <f>2.97+5.2+2.97+5.2</f>
        <v>16.34</v>
      </c>
      <c r="F645" s="64">
        <v>1.19</v>
      </c>
      <c r="G645" s="64"/>
      <c r="H645" s="64">
        <f>F645*E645</f>
        <v>19.444599999999998</v>
      </c>
    </row>
    <row r="646" spans="2:8" x14ac:dyDescent="0.3">
      <c r="B646" s="59"/>
      <c r="C646" s="56" t="s">
        <v>60</v>
      </c>
      <c r="D646" s="59"/>
      <c r="E646" s="64">
        <v>0.9</v>
      </c>
      <c r="F646" s="64">
        <v>0.6</v>
      </c>
      <c r="G646" s="64">
        <v>1</v>
      </c>
      <c r="H646" s="64">
        <f>G646*F646*E646</f>
        <v>0.54</v>
      </c>
    </row>
    <row r="647" spans="2:8" x14ac:dyDescent="0.3">
      <c r="B647" s="90"/>
      <c r="C647" s="63" t="s">
        <v>61</v>
      </c>
      <c r="D647" s="90"/>
      <c r="E647" s="87">
        <v>1.5</v>
      </c>
      <c r="F647" s="87">
        <v>0.6</v>
      </c>
      <c r="G647" s="87">
        <v>2</v>
      </c>
      <c r="H647" s="64">
        <f>G647*F647*E647</f>
        <v>1.7999999999999998</v>
      </c>
    </row>
    <row r="648" spans="2:8" x14ac:dyDescent="0.3">
      <c r="B648" s="411" t="s">
        <v>55</v>
      </c>
      <c r="C648" s="411"/>
      <c r="D648" s="411"/>
      <c r="E648" s="411"/>
      <c r="F648" s="411"/>
      <c r="G648" s="411"/>
      <c r="H648" s="64">
        <f>H645-H646-H647</f>
        <v>17.104599999999998</v>
      </c>
    </row>
    <row r="649" spans="2:8" x14ac:dyDescent="0.3">
      <c r="B649" s="59" t="s">
        <v>750</v>
      </c>
      <c r="C649" s="56" t="s">
        <v>132</v>
      </c>
      <c r="D649" s="417"/>
      <c r="E649" s="417"/>
      <c r="F649" s="417"/>
      <c r="G649" s="417"/>
      <c r="H649" s="417"/>
    </row>
    <row r="650" spans="2:8" x14ac:dyDescent="0.3">
      <c r="B650" s="59"/>
      <c r="C650" s="56" t="s">
        <v>133</v>
      </c>
      <c r="D650" s="59"/>
      <c r="E650" s="64">
        <f>2.97+6+2.97+6</f>
        <v>17.940000000000001</v>
      </c>
      <c r="F650" s="64">
        <v>1.19</v>
      </c>
      <c r="G650" s="64"/>
      <c r="H650" s="64">
        <f>F650*E650</f>
        <v>21.348600000000001</v>
      </c>
    </row>
    <row r="651" spans="2:8" x14ac:dyDescent="0.3">
      <c r="B651" s="59"/>
      <c r="C651" s="56" t="s">
        <v>60</v>
      </c>
      <c r="D651" s="59"/>
      <c r="E651" s="64">
        <v>0.9</v>
      </c>
      <c r="F651" s="64">
        <v>0.6</v>
      </c>
      <c r="G651" s="64">
        <v>1</v>
      </c>
      <c r="H651" s="64">
        <f>G651*F651*E651</f>
        <v>0.54</v>
      </c>
    </row>
    <row r="652" spans="2:8" x14ac:dyDescent="0.3">
      <c r="B652" s="59"/>
      <c r="C652" s="63" t="s">
        <v>61</v>
      </c>
      <c r="D652" s="90"/>
      <c r="E652" s="87">
        <v>1.5</v>
      </c>
      <c r="F652" s="87">
        <v>0.6</v>
      </c>
      <c r="G652" s="87">
        <v>3</v>
      </c>
      <c r="H652" s="64">
        <f>G652*F652*E652</f>
        <v>2.6999999999999997</v>
      </c>
    </row>
    <row r="653" spans="2:8" x14ac:dyDescent="0.3">
      <c r="B653" s="411" t="s">
        <v>55</v>
      </c>
      <c r="C653" s="411"/>
      <c r="D653" s="411"/>
      <c r="E653" s="411"/>
      <c r="F653" s="411"/>
      <c r="G653" s="411"/>
      <c r="H653" s="64">
        <f>H650-H651-H652</f>
        <v>18.108600000000003</v>
      </c>
    </row>
    <row r="654" spans="2:8" x14ac:dyDescent="0.3">
      <c r="B654" s="59" t="s">
        <v>751</v>
      </c>
      <c r="C654" s="56" t="s">
        <v>58</v>
      </c>
      <c r="D654" s="417"/>
      <c r="E654" s="417"/>
      <c r="F654" s="417"/>
      <c r="G654" s="417"/>
      <c r="H654" s="417"/>
    </row>
    <row r="655" spans="2:8" x14ac:dyDescent="0.3">
      <c r="B655" s="59"/>
      <c r="C655" s="56" t="s">
        <v>134</v>
      </c>
      <c r="D655" s="59"/>
      <c r="E655" s="64">
        <f>2.97+2+2+1.62+0.15</f>
        <v>8.74</v>
      </c>
      <c r="F655" s="64">
        <v>1.19</v>
      </c>
      <c r="G655" s="64"/>
      <c r="H655" s="64">
        <f>F655*E655</f>
        <v>10.400599999999999</v>
      </c>
    </row>
    <row r="656" spans="2:8" x14ac:dyDescent="0.3">
      <c r="B656" s="90"/>
      <c r="C656" s="63" t="s">
        <v>61</v>
      </c>
      <c r="D656" s="90"/>
      <c r="E656" s="87">
        <v>1.5</v>
      </c>
      <c r="F656" s="87">
        <v>0.6</v>
      </c>
      <c r="G656" s="87">
        <v>1</v>
      </c>
      <c r="H656" s="64">
        <f>G656*F656*E656</f>
        <v>0.89999999999999991</v>
      </c>
    </row>
    <row r="657" spans="2:8" x14ac:dyDescent="0.3">
      <c r="B657" s="411" t="s">
        <v>55</v>
      </c>
      <c r="C657" s="411"/>
      <c r="D657" s="411"/>
      <c r="E657" s="411"/>
      <c r="F657" s="411"/>
      <c r="G657" s="411"/>
      <c r="H657" s="64">
        <f>H655-H656</f>
        <v>9.5005999999999986</v>
      </c>
    </row>
    <row r="658" spans="2:8" x14ac:dyDescent="0.3">
      <c r="B658" s="59" t="s">
        <v>752</v>
      </c>
      <c r="C658" s="56" t="s">
        <v>135</v>
      </c>
      <c r="D658" s="417"/>
      <c r="E658" s="417"/>
      <c r="F658" s="417"/>
      <c r="G658" s="417"/>
      <c r="H658" s="417"/>
    </row>
    <row r="659" spans="2:8" x14ac:dyDescent="0.3">
      <c r="B659" s="59"/>
      <c r="C659" s="56" t="s">
        <v>136</v>
      </c>
      <c r="D659" s="59"/>
      <c r="E659" s="64">
        <f>1.62+3.89+2.97+3.89</f>
        <v>12.370000000000001</v>
      </c>
      <c r="F659" s="64">
        <v>1.19</v>
      </c>
      <c r="G659" s="64"/>
      <c r="H659" s="64">
        <f>F659*E659</f>
        <v>14.7203</v>
      </c>
    </row>
    <row r="660" spans="2:8" x14ac:dyDescent="0.3">
      <c r="B660" s="59"/>
      <c r="C660" s="56" t="s">
        <v>60</v>
      </c>
      <c r="D660" s="59"/>
      <c r="E660" s="64">
        <v>0.9</v>
      </c>
      <c r="F660" s="64">
        <v>0.6</v>
      </c>
      <c r="G660" s="64">
        <v>1</v>
      </c>
      <c r="H660" s="64">
        <f>G660*F660*E660</f>
        <v>0.54</v>
      </c>
    </row>
    <row r="661" spans="2:8" x14ac:dyDescent="0.3">
      <c r="B661" s="90"/>
      <c r="C661" s="63" t="s">
        <v>61</v>
      </c>
      <c r="D661" s="90"/>
      <c r="E661" s="87">
        <v>1.5</v>
      </c>
      <c r="F661" s="87">
        <v>0.6</v>
      </c>
      <c r="G661" s="87">
        <v>1</v>
      </c>
      <c r="H661" s="64">
        <f>G661*F661*E661</f>
        <v>0.89999999999999991</v>
      </c>
    </row>
    <row r="662" spans="2:8" x14ac:dyDescent="0.3">
      <c r="B662" s="411" t="s">
        <v>55</v>
      </c>
      <c r="C662" s="411"/>
      <c r="D662" s="411"/>
      <c r="E662" s="411"/>
      <c r="F662" s="411"/>
      <c r="G662" s="411"/>
      <c r="H662" s="64">
        <f>H659-H660-H661</f>
        <v>13.280299999999999</v>
      </c>
    </row>
    <row r="663" spans="2:8" x14ac:dyDescent="0.3">
      <c r="B663" s="59" t="s">
        <v>753</v>
      </c>
      <c r="C663" s="56" t="s">
        <v>137</v>
      </c>
      <c r="D663" s="417"/>
      <c r="E663" s="417"/>
      <c r="F663" s="417"/>
      <c r="G663" s="417"/>
      <c r="H663" s="417"/>
    </row>
    <row r="664" spans="2:8" ht="15.75" customHeight="1" x14ac:dyDescent="0.3">
      <c r="B664" s="59"/>
      <c r="C664" s="56" t="s">
        <v>138</v>
      </c>
      <c r="D664" s="59"/>
      <c r="E664" s="64">
        <f>6+5.94+6+5.94</f>
        <v>23.880000000000003</v>
      </c>
      <c r="F664" s="64">
        <v>1.19</v>
      </c>
      <c r="G664" s="64"/>
      <c r="H664" s="64">
        <f>F664*E664</f>
        <v>28.417200000000001</v>
      </c>
    </row>
    <row r="665" spans="2:8" x14ac:dyDescent="0.3">
      <c r="B665" s="59"/>
      <c r="C665" s="56" t="s">
        <v>60</v>
      </c>
      <c r="D665" s="59"/>
      <c r="E665" s="64">
        <v>0.9</v>
      </c>
      <c r="F665" s="64">
        <v>0.6</v>
      </c>
      <c r="G665" s="64">
        <v>1</v>
      </c>
      <c r="H665" s="64">
        <f>G665*F665*E665</f>
        <v>0.54</v>
      </c>
    </row>
    <row r="666" spans="2:8" x14ac:dyDescent="0.3">
      <c r="B666" s="59"/>
      <c r="C666" s="63" t="s">
        <v>61</v>
      </c>
      <c r="D666" s="90"/>
      <c r="E666" s="87">
        <v>1.5</v>
      </c>
      <c r="F666" s="87">
        <v>0.6</v>
      </c>
      <c r="G666" s="87">
        <v>3</v>
      </c>
      <c r="H666" s="64">
        <f>G666*F666*E666</f>
        <v>2.6999999999999997</v>
      </c>
    </row>
    <row r="667" spans="2:8" x14ac:dyDescent="0.3">
      <c r="B667" s="411" t="s">
        <v>55</v>
      </c>
      <c r="C667" s="411"/>
      <c r="D667" s="411"/>
      <c r="E667" s="411"/>
      <c r="F667" s="411"/>
      <c r="G667" s="411"/>
      <c r="H667" s="64">
        <f>H664-H665-H666</f>
        <v>25.177200000000003</v>
      </c>
    </row>
    <row r="668" spans="2:8" x14ac:dyDescent="0.3">
      <c r="B668" s="59" t="s">
        <v>754</v>
      </c>
      <c r="C668" s="56" t="s">
        <v>139</v>
      </c>
      <c r="D668" s="417"/>
      <c r="E668" s="417"/>
      <c r="F668" s="417"/>
      <c r="G668" s="417"/>
      <c r="H668" s="417"/>
    </row>
    <row r="669" spans="2:8" x14ac:dyDescent="0.3">
      <c r="B669" s="59"/>
      <c r="C669" s="56" t="s">
        <v>138</v>
      </c>
      <c r="D669" s="59"/>
      <c r="E669" s="64">
        <f>6+5.94+6+5.94</f>
        <v>23.880000000000003</v>
      </c>
      <c r="F669" s="64">
        <v>1.19</v>
      </c>
      <c r="G669" s="64"/>
      <c r="H669" s="64">
        <f>F669*E669</f>
        <v>28.417200000000001</v>
      </c>
    </row>
    <row r="670" spans="2:8" x14ac:dyDescent="0.3">
      <c r="B670" s="59"/>
      <c r="C670" s="56" t="s">
        <v>60</v>
      </c>
      <c r="D670" s="59"/>
      <c r="E670" s="64">
        <v>0.9</v>
      </c>
      <c r="F670" s="64">
        <v>0.6</v>
      </c>
      <c r="G670" s="64">
        <v>1</v>
      </c>
      <c r="H670" s="64">
        <f>G670*F670*E670</f>
        <v>0.54</v>
      </c>
    </row>
    <row r="671" spans="2:8" x14ac:dyDescent="0.3">
      <c r="B671" s="59"/>
      <c r="C671" s="63" t="s">
        <v>61</v>
      </c>
      <c r="D671" s="90"/>
      <c r="E671" s="87">
        <v>1.5</v>
      </c>
      <c r="F671" s="87">
        <v>0.6</v>
      </c>
      <c r="G671" s="87">
        <v>3</v>
      </c>
      <c r="H671" s="64">
        <f>G671*F671*E671</f>
        <v>2.6999999999999997</v>
      </c>
    </row>
    <row r="672" spans="2:8" x14ac:dyDescent="0.3">
      <c r="B672" s="411" t="s">
        <v>55</v>
      </c>
      <c r="C672" s="411"/>
      <c r="D672" s="411"/>
      <c r="E672" s="411"/>
      <c r="F672" s="411"/>
      <c r="G672" s="411"/>
      <c r="H672" s="64">
        <f>H669-H670-H671</f>
        <v>25.177200000000003</v>
      </c>
    </row>
    <row r="673" spans="2:8" x14ac:dyDescent="0.3">
      <c r="B673" s="59" t="s">
        <v>755</v>
      </c>
      <c r="C673" s="56" t="s">
        <v>140</v>
      </c>
      <c r="D673" s="417"/>
      <c r="E673" s="417"/>
      <c r="F673" s="417"/>
      <c r="G673" s="417"/>
      <c r="H673" s="417"/>
    </row>
    <row r="674" spans="2:8" x14ac:dyDescent="0.3">
      <c r="B674" s="59"/>
      <c r="C674" s="56" t="s">
        <v>141</v>
      </c>
      <c r="D674" s="59"/>
      <c r="E674" s="64">
        <f>4.11+3.15+4.11+3.15</f>
        <v>14.520000000000001</v>
      </c>
      <c r="F674" s="64">
        <v>1.19</v>
      </c>
      <c r="G674" s="64"/>
      <c r="H674" s="64">
        <f>F674*E674</f>
        <v>17.2788</v>
      </c>
    </row>
    <row r="675" spans="2:8" x14ac:dyDescent="0.3">
      <c r="B675" s="59"/>
      <c r="C675" s="56" t="s">
        <v>60</v>
      </c>
      <c r="D675" s="59"/>
      <c r="E675" s="64">
        <v>0.9</v>
      </c>
      <c r="F675" s="64">
        <v>0.6</v>
      </c>
      <c r="G675" s="64">
        <v>3</v>
      </c>
      <c r="H675" s="64">
        <f>G675*F675*E675</f>
        <v>1.6199999999999999</v>
      </c>
    </row>
    <row r="676" spans="2:8" x14ac:dyDescent="0.3">
      <c r="B676" s="411" t="s">
        <v>55</v>
      </c>
      <c r="C676" s="411"/>
      <c r="D676" s="411"/>
      <c r="E676" s="411"/>
      <c r="F676" s="411"/>
      <c r="G676" s="411"/>
      <c r="H676" s="64">
        <f>H674-H675</f>
        <v>15.658800000000001</v>
      </c>
    </row>
    <row r="677" spans="2:8" x14ac:dyDescent="0.3">
      <c r="B677" s="59" t="s">
        <v>756</v>
      </c>
      <c r="C677" s="56" t="s">
        <v>144</v>
      </c>
      <c r="D677" s="417"/>
      <c r="E677" s="417"/>
      <c r="F677" s="417"/>
      <c r="G677" s="417"/>
      <c r="H677" s="417"/>
    </row>
    <row r="678" spans="2:8" x14ac:dyDescent="0.3">
      <c r="B678" s="59"/>
      <c r="C678" s="56" t="s">
        <v>138</v>
      </c>
      <c r="D678" s="59"/>
      <c r="E678" s="64">
        <f>6+5.94+6+5.94</f>
        <v>23.880000000000003</v>
      </c>
      <c r="F678" s="64">
        <v>1.19</v>
      </c>
      <c r="G678" s="64"/>
      <c r="H678" s="64">
        <f>F678*E678</f>
        <v>28.417200000000001</v>
      </c>
    </row>
    <row r="679" spans="2:8" s="4" customFormat="1" x14ac:dyDescent="0.3">
      <c r="B679" s="59"/>
      <c r="C679" s="56" t="s">
        <v>60</v>
      </c>
      <c r="D679" s="59"/>
      <c r="E679" s="64">
        <v>0.9</v>
      </c>
      <c r="F679" s="64">
        <v>0.6</v>
      </c>
      <c r="G679" s="64">
        <v>2</v>
      </c>
      <c r="H679" s="64">
        <f>G679*F679*E679</f>
        <v>1.08</v>
      </c>
    </row>
    <row r="680" spans="2:8" x14ac:dyDescent="0.3">
      <c r="B680" s="59"/>
      <c r="C680" s="63" t="s">
        <v>61</v>
      </c>
      <c r="D680" s="90"/>
      <c r="E680" s="87">
        <v>1.5</v>
      </c>
      <c r="F680" s="87">
        <v>0.6</v>
      </c>
      <c r="G680" s="87">
        <v>3</v>
      </c>
      <c r="H680" s="64">
        <f>G680*F680*E680</f>
        <v>2.6999999999999997</v>
      </c>
    </row>
    <row r="681" spans="2:8" x14ac:dyDescent="0.3">
      <c r="B681" s="411" t="s">
        <v>55</v>
      </c>
      <c r="C681" s="411"/>
      <c r="D681" s="411"/>
      <c r="E681" s="411"/>
      <c r="F681" s="411"/>
      <c r="G681" s="411"/>
      <c r="H681" s="64">
        <f>H678-H679-H680</f>
        <v>24.637200000000004</v>
      </c>
    </row>
    <row r="682" spans="2:8" x14ac:dyDescent="0.3">
      <c r="B682" s="59" t="s">
        <v>757</v>
      </c>
      <c r="C682" s="56" t="s">
        <v>145</v>
      </c>
      <c r="D682" s="417"/>
      <c r="E682" s="417"/>
      <c r="F682" s="417"/>
      <c r="G682" s="417"/>
      <c r="H682" s="417"/>
    </row>
    <row r="683" spans="2:8" x14ac:dyDescent="0.3">
      <c r="B683" s="59"/>
      <c r="C683" s="56" t="s">
        <v>147</v>
      </c>
      <c r="D683" s="59"/>
      <c r="E683" s="64">
        <v>21.3</v>
      </c>
      <c r="F683" s="64">
        <v>2.0499999999999998</v>
      </c>
      <c r="G683" s="64"/>
      <c r="H683" s="64">
        <f>F683*E683</f>
        <v>43.664999999999999</v>
      </c>
    </row>
    <row r="684" spans="2:8" x14ac:dyDescent="0.3">
      <c r="B684" s="59"/>
      <c r="C684" s="56" t="s">
        <v>147</v>
      </c>
      <c r="D684" s="59"/>
      <c r="E684" s="64">
        <v>21.3</v>
      </c>
      <c r="F684" s="64">
        <v>1.39</v>
      </c>
      <c r="G684" s="64"/>
      <c r="H684" s="64">
        <f t="shared" ref="H684" si="24">F684*E684</f>
        <v>29.606999999999999</v>
      </c>
    </row>
    <row r="685" spans="2:8" x14ac:dyDescent="0.3">
      <c r="B685" s="59"/>
      <c r="C685" s="56" t="s">
        <v>146</v>
      </c>
      <c r="D685" s="59"/>
      <c r="E685" s="64">
        <f>0.1+0.1+0.1+0.1</f>
        <v>0.4</v>
      </c>
      <c r="F685" s="64">
        <v>0.8</v>
      </c>
      <c r="G685" s="64">
        <v>16</v>
      </c>
      <c r="H685" s="64">
        <f>F685*E685*G685</f>
        <v>5.120000000000001</v>
      </c>
    </row>
    <row r="686" spans="2:8" x14ac:dyDescent="0.3">
      <c r="B686" s="59"/>
      <c r="C686" s="142" t="s">
        <v>60</v>
      </c>
      <c r="D686" s="59"/>
      <c r="E686" s="64">
        <v>0.9</v>
      </c>
      <c r="F686" s="64">
        <v>0.6</v>
      </c>
      <c r="G686" s="64">
        <v>7</v>
      </c>
      <c r="H686" s="64">
        <f>F686*E686*G686</f>
        <v>3.7800000000000002</v>
      </c>
    </row>
    <row r="687" spans="2:8" x14ac:dyDescent="0.3">
      <c r="B687" s="59"/>
      <c r="C687" s="142" t="s">
        <v>60</v>
      </c>
      <c r="D687" s="59"/>
      <c r="E687" s="64">
        <v>0.7</v>
      </c>
      <c r="F687" s="64">
        <v>0.6</v>
      </c>
      <c r="G687" s="64">
        <v>2</v>
      </c>
      <c r="H687" s="64">
        <f>F687*E687*G687</f>
        <v>0.84</v>
      </c>
    </row>
    <row r="688" spans="2:8" x14ac:dyDescent="0.3">
      <c r="B688" s="59"/>
      <c r="C688" s="63" t="s">
        <v>61</v>
      </c>
      <c r="D688" s="90"/>
      <c r="E688" s="87">
        <v>1.5</v>
      </c>
      <c r="F688" s="87">
        <v>0.6</v>
      </c>
      <c r="G688" s="87">
        <v>5</v>
      </c>
      <c r="H688" s="64">
        <f>F688*E688*G688</f>
        <v>4.5</v>
      </c>
    </row>
    <row r="689" spans="2:8" x14ac:dyDescent="0.3">
      <c r="B689" s="411" t="s">
        <v>55</v>
      </c>
      <c r="C689" s="411"/>
      <c r="D689" s="411"/>
      <c r="E689" s="411"/>
      <c r="F689" s="411"/>
      <c r="G689" s="411"/>
      <c r="H689" s="64">
        <f>H683+H684+H685-H686-H687-H688</f>
        <v>69.271999999999991</v>
      </c>
    </row>
    <row r="690" spans="2:8" x14ac:dyDescent="0.3">
      <c r="B690" s="59" t="s">
        <v>758</v>
      </c>
      <c r="C690" s="63" t="s">
        <v>148</v>
      </c>
      <c r="D690" s="417"/>
      <c r="E690" s="417"/>
      <c r="F690" s="417"/>
      <c r="G690" s="417"/>
      <c r="H690" s="417"/>
    </row>
    <row r="691" spans="2:8" x14ac:dyDescent="0.3">
      <c r="B691" s="59"/>
      <c r="C691" s="63" t="s">
        <v>232</v>
      </c>
      <c r="D691" s="90"/>
      <c r="E691" s="87">
        <f>9.05+4.8+9.05+4.8+0.45</f>
        <v>28.150000000000002</v>
      </c>
      <c r="F691" s="87">
        <v>1.25</v>
      </c>
      <c r="G691" s="87"/>
      <c r="H691" s="64">
        <f>F691*E691</f>
        <v>35.1875</v>
      </c>
    </row>
    <row r="692" spans="2:8" x14ac:dyDescent="0.3">
      <c r="B692" s="59"/>
      <c r="C692" s="63" t="s">
        <v>60</v>
      </c>
      <c r="D692" s="90"/>
      <c r="E692" s="87">
        <v>2.4</v>
      </c>
      <c r="F692" s="87">
        <v>0.7</v>
      </c>
      <c r="G692" s="87">
        <v>1</v>
      </c>
      <c r="H692" s="64">
        <f>G692*F692*E692</f>
        <v>1.68</v>
      </c>
    </row>
    <row r="693" spans="2:8" x14ac:dyDescent="0.3">
      <c r="B693" s="59"/>
      <c r="C693" s="63" t="s">
        <v>60</v>
      </c>
      <c r="D693" s="90"/>
      <c r="E693" s="87">
        <v>0.8</v>
      </c>
      <c r="F693" s="87">
        <v>0.6</v>
      </c>
      <c r="G693" s="87">
        <v>1</v>
      </c>
      <c r="H693" s="64">
        <f>G693*F693*E693</f>
        <v>0.48</v>
      </c>
    </row>
    <row r="694" spans="2:8" x14ac:dyDescent="0.3">
      <c r="B694" s="59"/>
      <c r="C694" s="63" t="s">
        <v>61</v>
      </c>
      <c r="D694" s="90"/>
      <c r="E694" s="87">
        <v>2</v>
      </c>
      <c r="F694" s="87">
        <v>0.7</v>
      </c>
      <c r="G694" s="87">
        <v>4</v>
      </c>
      <c r="H694" s="64">
        <f>G694*F694*E694</f>
        <v>5.6</v>
      </c>
    </row>
    <row r="695" spans="2:8" s="4" customFormat="1" x14ac:dyDescent="0.3">
      <c r="B695" s="411" t="s">
        <v>55</v>
      </c>
      <c r="C695" s="411"/>
      <c r="D695" s="411"/>
      <c r="E695" s="411"/>
      <c r="F695" s="411"/>
      <c r="G695" s="411"/>
      <c r="H695" s="64">
        <f>H691-H692-H694-H693</f>
        <v>27.427499999999998</v>
      </c>
    </row>
    <row r="696" spans="2:8" x14ac:dyDescent="0.3">
      <c r="B696" s="59" t="s">
        <v>759</v>
      </c>
      <c r="C696" s="63" t="s">
        <v>149</v>
      </c>
      <c r="D696" s="417"/>
      <c r="E696" s="417"/>
      <c r="F696" s="417"/>
      <c r="G696" s="417"/>
      <c r="H696" s="417"/>
    </row>
    <row r="697" spans="2:8" x14ac:dyDescent="0.3">
      <c r="B697" s="59"/>
      <c r="C697" s="63" t="s">
        <v>150</v>
      </c>
      <c r="D697" s="90"/>
      <c r="E697" s="87">
        <f>4.55+4.8+4.55+4.8</f>
        <v>18.7</v>
      </c>
      <c r="F697" s="87">
        <v>0.95</v>
      </c>
      <c r="G697" s="87"/>
      <c r="H697" s="64">
        <f>F697*E697</f>
        <v>17.764999999999997</v>
      </c>
    </row>
    <row r="698" spans="2:8" x14ac:dyDescent="0.3">
      <c r="B698" s="59"/>
      <c r="C698" s="63" t="s">
        <v>60</v>
      </c>
      <c r="D698" s="90"/>
      <c r="E698" s="87">
        <v>0.8</v>
      </c>
      <c r="F698" s="87">
        <v>0.3</v>
      </c>
      <c r="G698" s="87">
        <v>3</v>
      </c>
      <c r="H698" s="64">
        <f>G698*F698*E698</f>
        <v>0.72</v>
      </c>
    </row>
    <row r="699" spans="2:8" x14ac:dyDescent="0.3">
      <c r="B699" s="90"/>
      <c r="C699" s="63" t="s">
        <v>61</v>
      </c>
      <c r="D699" s="90"/>
      <c r="E699" s="87">
        <v>2</v>
      </c>
      <c r="F699" s="87">
        <v>0.3</v>
      </c>
      <c r="G699" s="87">
        <v>1</v>
      </c>
      <c r="H699" s="64">
        <f>G699*F699*E699</f>
        <v>0.6</v>
      </c>
    </row>
    <row r="700" spans="2:8" x14ac:dyDescent="0.3">
      <c r="B700" s="411" t="s">
        <v>55</v>
      </c>
      <c r="C700" s="411"/>
      <c r="D700" s="411"/>
      <c r="E700" s="411"/>
      <c r="F700" s="411"/>
      <c r="G700" s="411"/>
      <c r="H700" s="64">
        <f>H697-H698-H699</f>
        <v>16.444999999999997</v>
      </c>
    </row>
    <row r="701" spans="2:8" x14ac:dyDescent="0.3">
      <c r="B701" s="59" t="s">
        <v>760</v>
      </c>
      <c r="C701" s="63" t="s">
        <v>151</v>
      </c>
      <c r="D701" s="417"/>
      <c r="E701" s="417"/>
      <c r="F701" s="417"/>
      <c r="G701" s="417"/>
      <c r="H701" s="417"/>
    </row>
    <row r="702" spans="2:8" x14ac:dyDescent="0.3">
      <c r="B702" s="59"/>
      <c r="C702" s="63" t="s">
        <v>152</v>
      </c>
      <c r="D702" s="90"/>
      <c r="E702" s="87">
        <f>2.05+4.8+2.05+4.8</f>
        <v>13.7</v>
      </c>
      <c r="F702" s="87">
        <v>1.25</v>
      </c>
      <c r="G702" s="87"/>
      <c r="H702" s="64">
        <f>F702*E702</f>
        <v>17.125</v>
      </c>
    </row>
    <row r="703" spans="2:8" x14ac:dyDescent="0.3">
      <c r="B703" s="59"/>
      <c r="C703" s="63" t="s">
        <v>60</v>
      </c>
      <c r="D703" s="90"/>
      <c r="E703" s="87">
        <v>0.8</v>
      </c>
      <c r="F703" s="87">
        <v>0.6</v>
      </c>
      <c r="G703" s="87">
        <v>1</v>
      </c>
      <c r="H703" s="64">
        <f>G703*F703*E703</f>
        <v>0.48</v>
      </c>
    </row>
    <row r="704" spans="2:8" x14ac:dyDescent="0.3">
      <c r="B704" s="411" t="s">
        <v>55</v>
      </c>
      <c r="C704" s="411"/>
      <c r="D704" s="411"/>
      <c r="E704" s="411"/>
      <c r="F704" s="411"/>
      <c r="G704" s="411"/>
      <c r="H704" s="64">
        <f>H702-H703</f>
        <v>16.645</v>
      </c>
    </row>
    <row r="705" spans="2:8" x14ac:dyDescent="0.3">
      <c r="B705" s="59" t="s">
        <v>761</v>
      </c>
      <c r="C705" s="63" t="s">
        <v>153</v>
      </c>
      <c r="D705" s="417"/>
      <c r="E705" s="417"/>
      <c r="F705" s="417"/>
      <c r="G705" s="417"/>
      <c r="H705" s="417"/>
    </row>
    <row r="706" spans="2:8" x14ac:dyDescent="0.3">
      <c r="B706" s="59"/>
      <c r="C706" s="63" t="s">
        <v>275</v>
      </c>
      <c r="D706" s="90"/>
      <c r="E706" s="87">
        <f>2.2+3.4+2.2+3.4</f>
        <v>11.2</v>
      </c>
      <c r="F706" s="87">
        <v>0.95</v>
      </c>
      <c r="G706" s="87"/>
      <c r="H706" s="64">
        <f>F706*E706</f>
        <v>10.639999999999999</v>
      </c>
    </row>
    <row r="707" spans="2:8" x14ac:dyDescent="0.3">
      <c r="B707" s="59"/>
      <c r="C707" s="63" t="s">
        <v>60</v>
      </c>
      <c r="D707" s="90"/>
      <c r="E707" s="87">
        <v>0.8</v>
      </c>
      <c r="F707" s="87">
        <v>0.6</v>
      </c>
      <c r="G707" s="87">
        <v>1</v>
      </c>
      <c r="H707" s="64">
        <f>G707*F707*E707</f>
        <v>0.48</v>
      </c>
    </row>
    <row r="708" spans="2:8" x14ac:dyDescent="0.3">
      <c r="B708" s="59"/>
      <c r="C708" s="63" t="s">
        <v>60</v>
      </c>
      <c r="D708" s="90"/>
      <c r="E708" s="87">
        <v>2.4</v>
      </c>
      <c r="F708" s="87">
        <v>0.6</v>
      </c>
      <c r="G708" s="87">
        <v>1</v>
      </c>
      <c r="H708" s="64">
        <f>G708*F708*E708</f>
        <v>1.44</v>
      </c>
    </row>
    <row r="709" spans="2:8" x14ac:dyDescent="0.3">
      <c r="B709" s="411" t="s">
        <v>55</v>
      </c>
      <c r="C709" s="411"/>
      <c r="D709" s="411"/>
      <c r="E709" s="411"/>
      <c r="F709" s="411"/>
      <c r="G709" s="411"/>
      <c r="H709" s="64">
        <f>H706-H707-H708</f>
        <v>8.7199999999999989</v>
      </c>
    </row>
    <row r="710" spans="2:8" x14ac:dyDescent="0.3">
      <c r="B710" s="59" t="s">
        <v>762</v>
      </c>
      <c r="C710" s="63" t="s">
        <v>155</v>
      </c>
      <c r="D710" s="417"/>
      <c r="E710" s="417"/>
      <c r="F710" s="417"/>
      <c r="G710" s="417"/>
      <c r="H710" s="417"/>
    </row>
    <row r="711" spans="2:8" x14ac:dyDescent="0.3">
      <c r="B711" s="59"/>
      <c r="C711" s="63" t="s">
        <v>146</v>
      </c>
      <c r="D711" s="90"/>
      <c r="E711" s="87">
        <v>0.4</v>
      </c>
      <c r="F711" s="87">
        <v>0.8</v>
      </c>
      <c r="G711" s="87">
        <v>6</v>
      </c>
      <c r="H711" s="64">
        <f>G711*F711*E711</f>
        <v>1.9200000000000004</v>
      </c>
    </row>
    <row r="712" spans="2:8" x14ac:dyDescent="0.3">
      <c r="B712" s="411" t="s">
        <v>55</v>
      </c>
      <c r="C712" s="411"/>
      <c r="D712" s="411"/>
      <c r="E712" s="411"/>
      <c r="F712" s="411"/>
      <c r="G712" s="411"/>
      <c r="H712" s="64">
        <f>H711</f>
        <v>1.9200000000000004</v>
      </c>
    </row>
    <row r="713" spans="2:8" x14ac:dyDescent="0.3">
      <c r="B713" s="59" t="s">
        <v>763</v>
      </c>
      <c r="C713" s="56" t="s">
        <v>156</v>
      </c>
      <c r="D713" s="417"/>
      <c r="E713" s="417"/>
      <c r="F713" s="417"/>
      <c r="G713" s="417"/>
      <c r="H713" s="417"/>
    </row>
    <row r="714" spans="2:8" x14ac:dyDescent="0.3">
      <c r="B714" s="59"/>
      <c r="C714" s="56" t="s">
        <v>158</v>
      </c>
      <c r="D714" s="59"/>
      <c r="E714" s="64">
        <f>21.3+21.3</f>
        <v>42.6</v>
      </c>
      <c r="F714" s="64">
        <v>2.9</v>
      </c>
      <c r="G714" s="64"/>
      <c r="H714" s="64">
        <f>F714*E714</f>
        <v>123.54</v>
      </c>
    </row>
    <row r="715" spans="2:8" x14ac:dyDescent="0.3">
      <c r="B715" s="59"/>
      <c r="C715" s="56" t="s">
        <v>159</v>
      </c>
      <c r="D715" s="59"/>
      <c r="E715" s="64">
        <f>3.54+2.9</f>
        <v>6.4399999999999995</v>
      </c>
      <c r="F715" s="64">
        <v>3.03</v>
      </c>
      <c r="G715" s="64"/>
      <c r="H715" s="64">
        <f t="shared" ref="H715:H723" si="25">F715*E715</f>
        <v>19.513199999999998</v>
      </c>
    </row>
    <row r="716" spans="2:8" x14ac:dyDescent="0.3">
      <c r="B716" s="59"/>
      <c r="C716" s="56" t="s">
        <v>160</v>
      </c>
      <c r="D716" s="59"/>
      <c r="E716" s="64">
        <f>2.9+3.53</f>
        <v>6.43</v>
      </c>
      <c r="F716" s="64">
        <v>3.01</v>
      </c>
      <c r="G716" s="64"/>
      <c r="H716" s="64">
        <f t="shared" si="25"/>
        <v>19.354299999999999</v>
      </c>
    </row>
    <row r="717" spans="2:8" x14ac:dyDescent="0.3">
      <c r="B717" s="59"/>
      <c r="C717" s="56" t="s">
        <v>161</v>
      </c>
      <c r="D717" s="59"/>
      <c r="E717" s="64">
        <f>2.78+3.58</f>
        <v>6.3599999999999994</v>
      </c>
      <c r="F717" s="64">
        <v>2.99</v>
      </c>
      <c r="G717" s="64"/>
      <c r="H717" s="64">
        <f t="shared" si="25"/>
        <v>19.016400000000001</v>
      </c>
    </row>
    <row r="718" spans="2:8" ht="33" x14ac:dyDescent="0.3">
      <c r="B718" s="59"/>
      <c r="C718" s="141" t="s">
        <v>276</v>
      </c>
      <c r="D718" s="59"/>
      <c r="E718" s="64">
        <f>5.4+0.45+3.95+0.45+4.7+7.3+0.15+5.1+2.2+5.4+5.1+3.4</f>
        <v>43.6</v>
      </c>
      <c r="F718" s="64">
        <v>3.9</v>
      </c>
      <c r="G718" s="64"/>
      <c r="H718" s="64">
        <f t="shared" si="25"/>
        <v>170.04</v>
      </c>
    </row>
    <row r="719" spans="2:8" x14ac:dyDescent="0.3">
      <c r="B719" s="59"/>
      <c r="C719" s="141" t="s">
        <v>377</v>
      </c>
      <c r="D719" s="59"/>
      <c r="E719" s="64">
        <f>30.4+5.8+30.1+5.15+3.9+7.8+3.9</f>
        <v>87.050000000000011</v>
      </c>
      <c r="F719" s="64">
        <v>3.15</v>
      </c>
      <c r="G719" s="64"/>
      <c r="H719" s="64">
        <f t="shared" ref="H719" si="26">F719*E719</f>
        <v>274.20750000000004</v>
      </c>
    </row>
    <row r="720" spans="2:8" x14ac:dyDescent="0.3">
      <c r="B720" s="59"/>
      <c r="C720" s="141" t="s">
        <v>376</v>
      </c>
      <c r="D720" s="59"/>
      <c r="E720" s="64">
        <f>5.65+2.95+3.9+7.8+2.65</f>
        <v>22.95</v>
      </c>
      <c r="F720" s="64">
        <v>5</v>
      </c>
      <c r="G720" s="64"/>
      <c r="H720" s="64">
        <f t="shared" si="25"/>
        <v>114.75</v>
      </c>
    </row>
    <row r="721" spans="2:8" x14ac:dyDescent="0.3">
      <c r="B721" s="59"/>
      <c r="C721" s="56" t="s">
        <v>164</v>
      </c>
      <c r="D721" s="59"/>
      <c r="E721" s="64">
        <f>2.02+0.15+0.15+0.4</f>
        <v>2.7199999999999998</v>
      </c>
      <c r="F721" s="64">
        <v>7.03</v>
      </c>
      <c r="G721" s="64"/>
      <c r="H721" s="64">
        <f t="shared" si="25"/>
        <v>19.121599999999997</v>
      </c>
    </row>
    <row r="722" spans="2:8" x14ac:dyDescent="0.3">
      <c r="B722" s="59"/>
      <c r="C722" s="56" t="s">
        <v>165</v>
      </c>
      <c r="D722" s="59"/>
      <c r="E722" s="64">
        <f>8.15+8.15+0.15+0.15</f>
        <v>16.599999999999998</v>
      </c>
      <c r="F722" s="64">
        <v>1.5</v>
      </c>
      <c r="G722" s="64"/>
      <c r="H722" s="64">
        <f>F722*E722</f>
        <v>24.9</v>
      </c>
    </row>
    <row r="723" spans="2:8" x14ac:dyDescent="0.3">
      <c r="B723" s="59"/>
      <c r="C723" s="56" t="s">
        <v>162</v>
      </c>
      <c r="D723" s="59"/>
      <c r="E723" s="64">
        <f>1.7+4.35+7.15+1.05+4.71</f>
        <v>18.96</v>
      </c>
      <c r="F723" s="64">
        <v>1</v>
      </c>
      <c r="G723" s="64"/>
      <c r="H723" s="64">
        <f t="shared" si="25"/>
        <v>18.96</v>
      </c>
    </row>
    <row r="724" spans="2:8" x14ac:dyDescent="0.3">
      <c r="B724" s="59"/>
      <c r="C724" s="56" t="s">
        <v>163</v>
      </c>
      <c r="D724" s="59"/>
      <c r="E724" s="64">
        <f>0.4+0.4+0.4+0.4</f>
        <v>1.6</v>
      </c>
      <c r="F724" s="64">
        <v>2.5</v>
      </c>
      <c r="G724" s="64">
        <v>2</v>
      </c>
      <c r="H724" s="64">
        <f>G724*F724*E724</f>
        <v>8</v>
      </c>
    </row>
    <row r="725" spans="2:8" x14ac:dyDescent="0.3">
      <c r="B725" s="90"/>
      <c r="C725" s="63" t="s">
        <v>60</v>
      </c>
      <c r="D725" s="90"/>
      <c r="E725" s="87">
        <v>2.4</v>
      </c>
      <c r="F725" s="87">
        <v>2.2000000000000002</v>
      </c>
      <c r="G725" s="87">
        <v>1</v>
      </c>
      <c r="H725" s="87">
        <f t="shared" ref="H725:H736" si="27">G725*F725*E725</f>
        <v>5.28</v>
      </c>
    </row>
    <row r="726" spans="2:8" x14ac:dyDescent="0.3">
      <c r="B726" s="90"/>
      <c r="C726" s="63" t="s">
        <v>60</v>
      </c>
      <c r="D726" s="90"/>
      <c r="E726" s="87">
        <v>2.85</v>
      </c>
      <c r="F726" s="87">
        <v>2.1</v>
      </c>
      <c r="G726" s="87">
        <v>1</v>
      </c>
      <c r="H726" s="87">
        <f t="shared" si="27"/>
        <v>5.9850000000000003</v>
      </c>
    </row>
    <row r="727" spans="2:8" x14ac:dyDescent="0.3">
      <c r="B727" s="90"/>
      <c r="C727" s="63" t="s">
        <v>64</v>
      </c>
      <c r="D727" s="90"/>
      <c r="E727" s="87">
        <v>2.5</v>
      </c>
      <c r="F727" s="87">
        <v>2.5</v>
      </c>
      <c r="G727" s="87">
        <v>1</v>
      </c>
      <c r="H727" s="87">
        <f t="shared" si="27"/>
        <v>6.25</v>
      </c>
    </row>
    <row r="728" spans="2:8" x14ac:dyDescent="0.3">
      <c r="B728" s="90"/>
      <c r="C728" s="63" t="s">
        <v>64</v>
      </c>
      <c r="D728" s="90"/>
      <c r="E728" s="87">
        <v>2</v>
      </c>
      <c r="F728" s="87">
        <v>2.5</v>
      </c>
      <c r="G728" s="87">
        <v>1</v>
      </c>
      <c r="H728" s="87">
        <f t="shared" si="27"/>
        <v>5</v>
      </c>
    </row>
    <row r="729" spans="2:8" x14ac:dyDescent="0.3">
      <c r="B729" s="90"/>
      <c r="C729" s="63" t="s">
        <v>61</v>
      </c>
      <c r="D729" s="90"/>
      <c r="E729" s="87">
        <v>1.5</v>
      </c>
      <c r="F729" s="87">
        <v>1</v>
      </c>
      <c r="G729" s="87">
        <v>12</v>
      </c>
      <c r="H729" s="87">
        <f t="shared" si="27"/>
        <v>18</v>
      </c>
    </row>
    <row r="730" spans="2:8" x14ac:dyDescent="0.3">
      <c r="B730" s="90"/>
      <c r="C730" s="63" t="s">
        <v>61</v>
      </c>
      <c r="D730" s="90"/>
      <c r="E730" s="87">
        <v>2</v>
      </c>
      <c r="F730" s="87">
        <v>1</v>
      </c>
      <c r="G730" s="87">
        <v>1</v>
      </c>
      <c r="H730" s="87">
        <f t="shared" si="27"/>
        <v>2</v>
      </c>
    </row>
    <row r="731" spans="2:8" s="4" customFormat="1" x14ac:dyDescent="0.3">
      <c r="B731" s="90"/>
      <c r="C731" s="63" t="s">
        <v>61</v>
      </c>
      <c r="D731" s="90"/>
      <c r="E731" s="87">
        <v>0.8</v>
      </c>
      <c r="F731" s="87">
        <v>1</v>
      </c>
      <c r="G731" s="87">
        <v>1</v>
      </c>
      <c r="H731" s="87">
        <f t="shared" si="27"/>
        <v>0.8</v>
      </c>
    </row>
    <row r="732" spans="2:8" x14ac:dyDescent="0.3">
      <c r="B732" s="90"/>
      <c r="C732" s="63" t="s">
        <v>61</v>
      </c>
      <c r="D732" s="90"/>
      <c r="E732" s="87">
        <v>2</v>
      </c>
      <c r="F732" s="87">
        <v>1.8</v>
      </c>
      <c r="G732" s="87">
        <v>4</v>
      </c>
      <c r="H732" s="87">
        <f t="shared" si="27"/>
        <v>14.4</v>
      </c>
    </row>
    <row r="733" spans="2:8" x14ac:dyDescent="0.3">
      <c r="B733" s="90"/>
      <c r="C733" s="63" t="s">
        <v>61</v>
      </c>
      <c r="D733" s="90"/>
      <c r="E733" s="87">
        <v>2.5</v>
      </c>
      <c r="F733" s="87">
        <v>0.7</v>
      </c>
      <c r="G733" s="87">
        <v>4</v>
      </c>
      <c r="H733" s="87">
        <f t="shared" si="27"/>
        <v>7</v>
      </c>
    </row>
    <row r="734" spans="2:8" x14ac:dyDescent="0.3">
      <c r="B734" s="90"/>
      <c r="C734" s="63" t="s">
        <v>61</v>
      </c>
      <c r="D734" s="90"/>
      <c r="E734" s="87">
        <v>2.5</v>
      </c>
      <c r="F734" s="87">
        <v>1.5</v>
      </c>
      <c r="G734" s="87">
        <v>14</v>
      </c>
      <c r="H734" s="87">
        <f t="shared" si="27"/>
        <v>52.5</v>
      </c>
    </row>
    <row r="735" spans="2:8" x14ac:dyDescent="0.3">
      <c r="B735" s="90"/>
      <c r="C735" s="63" t="s">
        <v>61</v>
      </c>
      <c r="D735" s="90"/>
      <c r="E735" s="87">
        <v>1.5</v>
      </c>
      <c r="F735" s="87">
        <v>1.5</v>
      </c>
      <c r="G735" s="87">
        <v>1</v>
      </c>
      <c r="H735" s="87">
        <f t="shared" si="27"/>
        <v>2.25</v>
      </c>
    </row>
    <row r="736" spans="2:8" x14ac:dyDescent="0.3">
      <c r="B736" s="90"/>
      <c r="C736" s="63" t="s">
        <v>61</v>
      </c>
      <c r="D736" s="90"/>
      <c r="E736" s="87">
        <v>0.5</v>
      </c>
      <c r="F736" s="87">
        <v>0.5</v>
      </c>
      <c r="G736" s="87">
        <v>1</v>
      </c>
      <c r="H736" s="87">
        <f t="shared" si="27"/>
        <v>0.25</v>
      </c>
    </row>
    <row r="737" spans="2:8" x14ac:dyDescent="0.3">
      <c r="B737" s="411" t="s">
        <v>55</v>
      </c>
      <c r="C737" s="411"/>
      <c r="D737" s="411"/>
      <c r="E737" s="411"/>
      <c r="F737" s="411"/>
      <c r="G737" s="411"/>
      <c r="H737" s="64">
        <f>H714+H715+H716+H717+H718+H719+H720+H721+H722+H723+H724-H725-H726-H727-H728-H729-H730-H731-H732-H733-H734-H735-H736</f>
        <v>691.68799999999999</v>
      </c>
    </row>
    <row r="738" spans="2:8" x14ac:dyDescent="0.3">
      <c r="B738" s="411" t="s">
        <v>9</v>
      </c>
      <c r="C738" s="411"/>
      <c r="D738" s="411"/>
      <c r="E738" s="411"/>
      <c r="F738" s="411"/>
      <c r="G738" s="411"/>
      <c r="H738" s="64">
        <f>H737+H712+H709+H704+H700+H695+H689+H681+H676+H672+H667+H662+H657+H653+H648+H643+H638+H633+H614+H607+H600+H593+H586+H580+H574+H567+H564+H561+H553+H547+H540+H533+H526+H520+H619</f>
        <v>1949.5042000000005</v>
      </c>
    </row>
    <row r="739" spans="2:8" ht="33" x14ac:dyDescent="0.3">
      <c r="B739" s="59" t="s">
        <v>566</v>
      </c>
      <c r="C739" s="89" t="s">
        <v>201</v>
      </c>
      <c r="D739" s="59" t="s">
        <v>195</v>
      </c>
      <c r="E739" s="59" t="s">
        <v>98</v>
      </c>
      <c r="F739" s="66" t="s">
        <v>237</v>
      </c>
      <c r="G739" s="59" t="s">
        <v>99</v>
      </c>
      <c r="H739" s="64" t="s">
        <v>100</v>
      </c>
    </row>
    <row r="740" spans="2:8" x14ac:dyDescent="0.3">
      <c r="B740" s="59" t="s">
        <v>764</v>
      </c>
      <c r="C740" s="72" t="s">
        <v>111</v>
      </c>
      <c r="D740" s="417"/>
      <c r="E740" s="417"/>
      <c r="F740" s="417"/>
      <c r="G740" s="417"/>
      <c r="H740" s="417"/>
    </row>
    <row r="741" spans="2:8" s="4" customFormat="1" x14ac:dyDescent="0.3">
      <c r="B741" s="59"/>
      <c r="C741" s="72" t="s">
        <v>241</v>
      </c>
      <c r="D741" s="59"/>
      <c r="E741" s="64">
        <v>0.6</v>
      </c>
      <c r="F741" s="64">
        <v>3</v>
      </c>
      <c r="G741" s="59"/>
      <c r="H741" s="64">
        <f>F741*E741</f>
        <v>1.7999999999999998</v>
      </c>
    </row>
    <row r="742" spans="2:8" x14ac:dyDescent="0.3">
      <c r="B742" s="59"/>
      <c r="C742" s="72" t="s">
        <v>235</v>
      </c>
      <c r="D742" s="59"/>
      <c r="E742" s="64">
        <v>2</v>
      </c>
      <c r="F742" s="64">
        <v>0.5</v>
      </c>
      <c r="G742" s="59"/>
      <c r="H742" s="64">
        <f>F742*E742</f>
        <v>1</v>
      </c>
    </row>
    <row r="743" spans="2:8" x14ac:dyDescent="0.3">
      <c r="B743" s="411" t="s">
        <v>55</v>
      </c>
      <c r="C743" s="411"/>
      <c r="D743" s="411"/>
      <c r="E743" s="411"/>
      <c r="F743" s="411"/>
      <c r="G743" s="411"/>
      <c r="H743" s="64">
        <f>H742+H741</f>
        <v>2.8</v>
      </c>
    </row>
    <row r="744" spans="2:8" x14ac:dyDescent="0.3">
      <c r="B744" s="59" t="s">
        <v>765</v>
      </c>
      <c r="C744" s="72" t="s">
        <v>565</v>
      </c>
      <c r="D744" s="417"/>
      <c r="E744" s="417"/>
      <c r="F744" s="417"/>
      <c r="G744" s="417"/>
      <c r="H744" s="417"/>
    </row>
    <row r="745" spans="2:8" s="4" customFormat="1" x14ac:dyDescent="0.3">
      <c r="B745" s="59"/>
      <c r="C745" s="72" t="s">
        <v>63</v>
      </c>
      <c r="D745" s="59"/>
      <c r="E745" s="64">
        <v>1.5</v>
      </c>
      <c r="F745" s="64">
        <v>3</v>
      </c>
      <c r="G745" s="59"/>
      <c r="H745" s="64">
        <f>F745*E745</f>
        <v>4.5</v>
      </c>
    </row>
    <row r="746" spans="2:8" x14ac:dyDescent="0.3">
      <c r="B746" s="411" t="s">
        <v>55</v>
      </c>
      <c r="C746" s="411"/>
      <c r="D746" s="411"/>
      <c r="E746" s="411"/>
      <c r="F746" s="411"/>
      <c r="G746" s="411"/>
      <c r="H746" s="64">
        <f>H745</f>
        <v>4.5</v>
      </c>
    </row>
    <row r="747" spans="2:8" x14ac:dyDescent="0.3">
      <c r="B747" s="411" t="s">
        <v>9</v>
      </c>
      <c r="C747" s="411"/>
      <c r="D747" s="411"/>
      <c r="E747" s="411"/>
      <c r="F747" s="411"/>
      <c r="G747" s="411"/>
      <c r="H747" s="64">
        <f>H743+H746</f>
        <v>7.3</v>
      </c>
    </row>
    <row r="748" spans="2:8" x14ac:dyDescent="0.3">
      <c r="B748" s="59" t="s">
        <v>721</v>
      </c>
      <c r="C748" s="89" t="s">
        <v>204</v>
      </c>
      <c r="D748" s="417"/>
      <c r="E748" s="417"/>
      <c r="F748" s="417"/>
      <c r="G748" s="417"/>
      <c r="H748" s="417"/>
    </row>
    <row r="749" spans="2:8" x14ac:dyDescent="0.3">
      <c r="B749" s="90" t="s">
        <v>766</v>
      </c>
      <c r="C749" s="63" t="s">
        <v>148</v>
      </c>
      <c r="D749" s="417"/>
      <c r="E749" s="417"/>
      <c r="F749" s="417"/>
      <c r="G749" s="417"/>
      <c r="H749" s="417"/>
    </row>
    <row r="750" spans="2:8" x14ac:dyDescent="0.3">
      <c r="B750" s="90"/>
      <c r="C750" s="63" t="s">
        <v>233</v>
      </c>
      <c r="D750" s="90"/>
      <c r="E750" s="87">
        <f>9.05+4.8+5.25+0.45</f>
        <v>19.55</v>
      </c>
      <c r="F750" s="87">
        <v>1</v>
      </c>
      <c r="G750" s="87"/>
      <c r="H750" s="64">
        <f>F750*E750</f>
        <v>19.55</v>
      </c>
    </row>
    <row r="751" spans="2:8" x14ac:dyDescent="0.3">
      <c r="B751" s="90"/>
      <c r="C751" s="63" t="s">
        <v>60</v>
      </c>
      <c r="D751" s="90"/>
      <c r="E751" s="87">
        <v>2.4</v>
      </c>
      <c r="F751" s="87">
        <v>1</v>
      </c>
      <c r="G751" s="87">
        <v>1</v>
      </c>
      <c r="H751" s="64">
        <f>G751*F751*E751</f>
        <v>2.4</v>
      </c>
    </row>
    <row r="752" spans="2:8" x14ac:dyDescent="0.3">
      <c r="B752" s="90"/>
      <c r="C752" s="63" t="s">
        <v>60</v>
      </c>
      <c r="D752" s="90"/>
      <c r="E752" s="87">
        <v>0.8</v>
      </c>
      <c r="F752" s="87">
        <v>1</v>
      </c>
      <c r="G752" s="87">
        <v>1</v>
      </c>
      <c r="H752" s="64">
        <f>G752*F752*E752</f>
        <v>0.8</v>
      </c>
    </row>
    <row r="753" spans="2:8" x14ac:dyDescent="0.3">
      <c r="B753" s="90"/>
      <c r="C753" s="63" t="s">
        <v>61</v>
      </c>
      <c r="D753" s="90"/>
      <c r="E753" s="87">
        <v>2</v>
      </c>
      <c r="F753" s="87">
        <v>0.6</v>
      </c>
      <c r="G753" s="87">
        <v>4</v>
      </c>
      <c r="H753" s="64">
        <f>G753*F753*E753</f>
        <v>4.8</v>
      </c>
    </row>
    <row r="754" spans="2:8" x14ac:dyDescent="0.3">
      <c r="B754" s="411" t="s">
        <v>55</v>
      </c>
      <c r="C754" s="411"/>
      <c r="D754" s="411"/>
      <c r="E754" s="411"/>
      <c r="F754" s="411"/>
      <c r="G754" s="411"/>
      <c r="H754" s="64">
        <f>H750-H751-H752-H753</f>
        <v>11.55</v>
      </c>
    </row>
    <row r="755" spans="2:8" x14ac:dyDescent="0.3">
      <c r="B755" s="90" t="s">
        <v>767</v>
      </c>
      <c r="C755" s="62" t="s">
        <v>234</v>
      </c>
      <c r="D755" s="417"/>
      <c r="E755" s="417"/>
      <c r="F755" s="417"/>
      <c r="G755" s="417"/>
      <c r="H755" s="417"/>
    </row>
    <row r="756" spans="2:8" x14ac:dyDescent="0.3">
      <c r="B756" s="90"/>
      <c r="C756" s="63" t="s">
        <v>235</v>
      </c>
      <c r="D756" s="90"/>
      <c r="E756" s="87">
        <v>2</v>
      </c>
      <c r="F756" s="87">
        <v>1.5</v>
      </c>
      <c r="G756" s="90"/>
      <c r="H756" s="87">
        <f>F756*E756</f>
        <v>3</v>
      </c>
    </row>
    <row r="757" spans="2:8" x14ac:dyDescent="0.3">
      <c r="B757" s="411" t="s">
        <v>55</v>
      </c>
      <c r="C757" s="411"/>
      <c r="D757" s="411"/>
      <c r="E757" s="411"/>
      <c r="F757" s="411"/>
      <c r="G757" s="411"/>
      <c r="H757" s="64">
        <f>H756</f>
        <v>3</v>
      </c>
    </row>
    <row r="758" spans="2:8" x14ac:dyDescent="0.3">
      <c r="B758" s="90" t="s">
        <v>768</v>
      </c>
      <c r="C758" s="72" t="s">
        <v>238</v>
      </c>
      <c r="D758" s="417"/>
      <c r="E758" s="417"/>
      <c r="F758" s="417"/>
      <c r="G758" s="417"/>
      <c r="H758" s="417"/>
    </row>
    <row r="759" spans="2:8" s="4" customFormat="1" x14ac:dyDescent="0.3">
      <c r="B759" s="59"/>
      <c r="C759" s="72" t="s">
        <v>239</v>
      </c>
      <c r="D759" s="59"/>
      <c r="E759" s="64">
        <f>1+1.5</f>
        <v>2.5</v>
      </c>
      <c r="F759" s="64">
        <v>0.6</v>
      </c>
      <c r="G759" s="59"/>
      <c r="H759" s="64">
        <f>F759*E759</f>
        <v>1.5</v>
      </c>
    </row>
    <row r="760" spans="2:8" x14ac:dyDescent="0.3">
      <c r="B760" s="411" t="s">
        <v>55</v>
      </c>
      <c r="C760" s="411"/>
      <c r="D760" s="411"/>
      <c r="E760" s="411"/>
      <c r="F760" s="411"/>
      <c r="G760" s="411"/>
      <c r="H760" s="64">
        <f>H759</f>
        <v>1.5</v>
      </c>
    </row>
    <row r="761" spans="2:8" x14ac:dyDescent="0.3">
      <c r="B761" s="90" t="s">
        <v>769</v>
      </c>
      <c r="C761" s="72" t="s">
        <v>104</v>
      </c>
      <c r="D761" s="417"/>
      <c r="E761" s="417"/>
      <c r="F761" s="417"/>
      <c r="G761" s="417"/>
      <c r="H761" s="417"/>
    </row>
    <row r="762" spans="2:8" x14ac:dyDescent="0.3">
      <c r="B762" s="59"/>
      <c r="C762" s="72" t="s">
        <v>240</v>
      </c>
      <c r="D762" s="59"/>
      <c r="E762" s="59">
        <f>1.25+1.5</f>
        <v>2.75</v>
      </c>
      <c r="F762" s="64">
        <v>0.6</v>
      </c>
      <c r="G762" s="59"/>
      <c r="H762" s="64">
        <f>F762*E762</f>
        <v>1.65</v>
      </c>
    </row>
    <row r="763" spans="2:8" x14ac:dyDescent="0.3">
      <c r="B763" s="411" t="s">
        <v>55</v>
      </c>
      <c r="C763" s="411"/>
      <c r="D763" s="411"/>
      <c r="E763" s="411"/>
      <c r="F763" s="411"/>
      <c r="G763" s="411"/>
      <c r="H763" s="64">
        <f>H762</f>
        <v>1.65</v>
      </c>
    </row>
    <row r="764" spans="2:8" x14ac:dyDescent="0.3">
      <c r="B764" s="90" t="s">
        <v>770</v>
      </c>
      <c r="C764" s="72" t="s">
        <v>111</v>
      </c>
      <c r="D764" s="417"/>
      <c r="E764" s="417"/>
      <c r="F764" s="417"/>
      <c r="G764" s="417"/>
      <c r="H764" s="417"/>
    </row>
    <row r="765" spans="2:8" x14ac:dyDescent="0.3">
      <c r="B765" s="59"/>
      <c r="C765" s="72" t="s">
        <v>241</v>
      </c>
      <c r="D765" s="59"/>
      <c r="E765" s="64">
        <v>0.6</v>
      </c>
      <c r="F765" s="64">
        <v>3</v>
      </c>
      <c r="G765" s="59"/>
      <c r="H765" s="64">
        <f>F765*E765</f>
        <v>1.7999999999999998</v>
      </c>
    </row>
    <row r="766" spans="2:8" x14ac:dyDescent="0.3">
      <c r="B766" s="59"/>
      <c r="C766" s="72" t="s">
        <v>235</v>
      </c>
      <c r="D766" s="59"/>
      <c r="E766" s="64">
        <v>2</v>
      </c>
      <c r="F766" s="64">
        <v>0.5</v>
      </c>
      <c r="G766" s="59"/>
      <c r="H766" s="64">
        <f>F766*E766</f>
        <v>1</v>
      </c>
    </row>
    <row r="767" spans="2:8" x14ac:dyDescent="0.3">
      <c r="B767" s="411" t="s">
        <v>55</v>
      </c>
      <c r="C767" s="411"/>
      <c r="D767" s="411"/>
      <c r="E767" s="411"/>
      <c r="F767" s="411"/>
      <c r="G767" s="411"/>
      <c r="H767" s="64">
        <f>H766+H765</f>
        <v>2.8</v>
      </c>
    </row>
    <row r="768" spans="2:8" s="4" customFormat="1" x14ac:dyDescent="0.3">
      <c r="B768" s="90" t="s">
        <v>771</v>
      </c>
      <c r="C768" s="78" t="s">
        <v>302</v>
      </c>
      <c r="D768" s="59"/>
      <c r="E768" s="131"/>
      <c r="F768" s="131"/>
      <c r="G768" s="131"/>
      <c r="H768" s="64"/>
    </row>
    <row r="769" spans="2:8" s="4" customFormat="1" x14ac:dyDescent="0.3">
      <c r="B769" s="59"/>
      <c r="C769" s="78" t="s">
        <v>364</v>
      </c>
      <c r="D769" s="59"/>
      <c r="E769" s="64">
        <f>7.8+3.9+3.9+2</f>
        <v>17.600000000000001</v>
      </c>
      <c r="F769" s="64">
        <v>3.15</v>
      </c>
      <c r="G769" s="64"/>
      <c r="H769" s="64">
        <f>F769*E769</f>
        <v>55.440000000000005</v>
      </c>
    </row>
    <row r="770" spans="2:8" s="4" customFormat="1" x14ac:dyDescent="0.3">
      <c r="B770" s="59"/>
      <c r="C770" s="78" t="s">
        <v>60</v>
      </c>
      <c r="D770" s="59"/>
      <c r="E770" s="64">
        <v>0.9</v>
      </c>
      <c r="F770" s="64">
        <v>2.1</v>
      </c>
      <c r="G770" s="64">
        <v>1</v>
      </c>
      <c r="H770" s="64">
        <f>F770*E770*G770</f>
        <v>1.8900000000000001</v>
      </c>
    </row>
    <row r="771" spans="2:8" s="4" customFormat="1" x14ac:dyDescent="0.3">
      <c r="B771" s="59"/>
      <c r="C771" s="63" t="s">
        <v>61</v>
      </c>
      <c r="D771" s="59"/>
      <c r="E771" s="64">
        <v>2.5</v>
      </c>
      <c r="F771" s="64">
        <v>1.5</v>
      </c>
      <c r="G771" s="64">
        <v>2</v>
      </c>
      <c r="H771" s="64">
        <f>F771*E771*G771</f>
        <v>7.5</v>
      </c>
    </row>
    <row r="772" spans="2:8" s="4" customFormat="1" x14ac:dyDescent="0.3">
      <c r="B772" s="59"/>
      <c r="C772" s="78" t="s">
        <v>365</v>
      </c>
      <c r="D772" s="59"/>
      <c r="E772" s="64">
        <f>7.5+3.6+3.6+2</f>
        <v>16.7</v>
      </c>
      <c r="F772" s="64">
        <v>3</v>
      </c>
      <c r="G772" s="64"/>
      <c r="H772" s="64">
        <f>F772*E772</f>
        <v>50.099999999999994</v>
      </c>
    </row>
    <row r="773" spans="2:8" s="4" customFormat="1" x14ac:dyDescent="0.3">
      <c r="B773" s="59"/>
      <c r="C773" s="78" t="s">
        <v>60</v>
      </c>
      <c r="D773" s="59"/>
      <c r="E773" s="64">
        <v>0.9</v>
      </c>
      <c r="F773" s="64">
        <v>2.1</v>
      </c>
      <c r="G773" s="64">
        <v>1</v>
      </c>
      <c r="H773" s="64">
        <f>F773*E773*G773</f>
        <v>1.8900000000000001</v>
      </c>
    </row>
    <row r="774" spans="2:8" s="4" customFormat="1" x14ac:dyDescent="0.3">
      <c r="B774" s="59"/>
      <c r="C774" s="63" t="s">
        <v>61</v>
      </c>
      <c r="D774" s="59"/>
      <c r="E774" s="64">
        <v>2.5</v>
      </c>
      <c r="F774" s="64">
        <v>1.5</v>
      </c>
      <c r="G774" s="64">
        <v>2</v>
      </c>
      <c r="H774" s="64">
        <f>F774*E774*G774</f>
        <v>7.5</v>
      </c>
    </row>
    <row r="775" spans="2:8" s="4" customFormat="1" x14ac:dyDescent="0.3">
      <c r="B775" s="411" t="s">
        <v>55</v>
      </c>
      <c r="C775" s="411"/>
      <c r="D775" s="411"/>
      <c r="E775" s="411"/>
      <c r="F775" s="411"/>
      <c r="G775" s="411"/>
      <c r="H775" s="64">
        <f>H769+H772-H770-H771-H773-H774</f>
        <v>86.759999999999991</v>
      </c>
    </row>
    <row r="776" spans="2:8" x14ac:dyDescent="0.3">
      <c r="B776" s="411" t="s">
        <v>9</v>
      </c>
      <c r="C776" s="411"/>
      <c r="D776" s="411"/>
      <c r="E776" s="411"/>
      <c r="F776" s="411"/>
      <c r="G776" s="411"/>
      <c r="H776" s="64">
        <f>H767+H763+H760+H757+H754+H775</f>
        <v>107.25999999999999</v>
      </c>
    </row>
    <row r="777" spans="2:8" x14ac:dyDescent="0.3">
      <c r="B777" s="59" t="s">
        <v>722</v>
      </c>
      <c r="C777" s="72" t="s">
        <v>298</v>
      </c>
      <c r="D777" s="73"/>
      <c r="E777" s="73"/>
      <c r="F777" s="73"/>
      <c r="G777" s="73"/>
      <c r="H777" s="64"/>
    </row>
    <row r="778" spans="2:8" x14ac:dyDescent="0.3">
      <c r="B778" s="59" t="s">
        <v>772</v>
      </c>
      <c r="C778" s="56" t="s">
        <v>105</v>
      </c>
      <c r="D778" s="417"/>
      <c r="E778" s="417"/>
      <c r="F778" s="417"/>
      <c r="G778" s="417"/>
      <c r="H778" s="417"/>
    </row>
    <row r="779" spans="2:8" x14ac:dyDescent="0.3">
      <c r="B779" s="59"/>
      <c r="C779" s="56" t="s">
        <v>106</v>
      </c>
      <c r="D779" s="59"/>
      <c r="E779" s="64">
        <f>5.5+6+5.5+6</f>
        <v>23</v>
      </c>
      <c r="F779" s="64">
        <v>1.5</v>
      </c>
      <c r="G779" s="64"/>
      <c r="H779" s="64">
        <f>F779*E779</f>
        <v>34.5</v>
      </c>
    </row>
    <row r="780" spans="2:8" x14ac:dyDescent="0.3">
      <c r="B780" s="59"/>
      <c r="C780" s="56" t="s">
        <v>60</v>
      </c>
      <c r="D780" s="59"/>
      <c r="E780" s="64">
        <v>0.9</v>
      </c>
      <c r="F780" s="64">
        <v>1.5</v>
      </c>
      <c r="G780" s="64">
        <v>1</v>
      </c>
      <c r="H780" s="64">
        <f>G780*F780*E780</f>
        <v>1.35</v>
      </c>
    </row>
    <row r="781" spans="2:8" s="4" customFormat="1" x14ac:dyDescent="0.3">
      <c r="B781" s="90"/>
      <c r="C781" s="63" t="s">
        <v>61</v>
      </c>
      <c r="D781" s="90"/>
      <c r="E781" s="87">
        <v>2.5</v>
      </c>
      <c r="F781" s="87">
        <v>0.5</v>
      </c>
      <c r="G781" s="87">
        <v>2</v>
      </c>
      <c r="H781" s="64">
        <f>G781*F781*E781</f>
        <v>2.5</v>
      </c>
    </row>
    <row r="782" spans="2:8" x14ac:dyDescent="0.3">
      <c r="B782" s="411" t="s">
        <v>55</v>
      </c>
      <c r="C782" s="411"/>
      <c r="D782" s="411"/>
      <c r="E782" s="411"/>
      <c r="F782" s="411"/>
      <c r="G782" s="411"/>
      <c r="H782" s="64">
        <f>H779-H780-H781</f>
        <v>30.65</v>
      </c>
    </row>
    <row r="783" spans="2:8" x14ac:dyDescent="0.3">
      <c r="B783" s="59" t="s">
        <v>773</v>
      </c>
      <c r="C783" s="56" t="s">
        <v>107</v>
      </c>
      <c r="D783" s="417"/>
      <c r="E783" s="417"/>
      <c r="F783" s="417"/>
      <c r="G783" s="417"/>
      <c r="H783" s="417"/>
    </row>
    <row r="784" spans="2:8" x14ac:dyDescent="0.3">
      <c r="B784" s="59"/>
      <c r="C784" s="56" t="s">
        <v>106</v>
      </c>
      <c r="D784" s="59"/>
      <c r="E784" s="64">
        <f>5.5+6+5.5+6</f>
        <v>23</v>
      </c>
      <c r="F784" s="64">
        <v>1.5</v>
      </c>
      <c r="G784" s="64"/>
      <c r="H784" s="64">
        <f>F784*E784</f>
        <v>34.5</v>
      </c>
    </row>
    <row r="785" spans="2:8" x14ac:dyDescent="0.3">
      <c r="B785" s="59"/>
      <c r="C785" s="56" t="s">
        <v>60</v>
      </c>
      <c r="D785" s="59"/>
      <c r="E785" s="64">
        <v>0.9</v>
      </c>
      <c r="F785" s="64">
        <v>1.5</v>
      </c>
      <c r="G785" s="64">
        <v>1</v>
      </c>
      <c r="H785" s="64">
        <f>G785*F785*E785</f>
        <v>1.35</v>
      </c>
    </row>
    <row r="786" spans="2:8" x14ac:dyDescent="0.3">
      <c r="B786" s="59"/>
      <c r="C786" s="63" t="s">
        <v>61</v>
      </c>
      <c r="D786" s="90"/>
      <c r="E786" s="87">
        <v>2.5</v>
      </c>
      <c r="F786" s="87">
        <v>0.5</v>
      </c>
      <c r="G786" s="87">
        <v>2</v>
      </c>
      <c r="H786" s="64">
        <f>G786*F786*E786</f>
        <v>2.5</v>
      </c>
    </row>
    <row r="787" spans="2:8" x14ac:dyDescent="0.3">
      <c r="B787" s="411" t="s">
        <v>55</v>
      </c>
      <c r="C787" s="411"/>
      <c r="D787" s="411"/>
      <c r="E787" s="411"/>
      <c r="F787" s="411"/>
      <c r="G787" s="411"/>
      <c r="H787" s="64">
        <f>H784-H786-H785</f>
        <v>30.65</v>
      </c>
    </row>
    <row r="788" spans="2:8" x14ac:dyDescent="0.3">
      <c r="B788" s="59" t="s">
        <v>774</v>
      </c>
      <c r="C788" s="56" t="s">
        <v>108</v>
      </c>
      <c r="D788" s="417"/>
      <c r="E788" s="417"/>
      <c r="F788" s="417"/>
      <c r="G788" s="417"/>
      <c r="H788" s="417"/>
    </row>
    <row r="789" spans="2:8" x14ac:dyDescent="0.3">
      <c r="B789" s="59"/>
      <c r="C789" s="56" t="s">
        <v>106</v>
      </c>
      <c r="D789" s="59"/>
      <c r="E789" s="64">
        <f>5.5+6+5.5+6</f>
        <v>23</v>
      </c>
      <c r="F789" s="64">
        <v>1.5</v>
      </c>
      <c r="G789" s="64"/>
      <c r="H789" s="64">
        <f>F789*E789</f>
        <v>34.5</v>
      </c>
    </row>
    <row r="790" spans="2:8" x14ac:dyDescent="0.3">
      <c r="B790" s="59"/>
      <c r="C790" s="56" t="s">
        <v>60</v>
      </c>
      <c r="D790" s="59"/>
      <c r="E790" s="64">
        <v>0.9</v>
      </c>
      <c r="F790" s="64">
        <v>1.5</v>
      </c>
      <c r="G790" s="64">
        <v>1</v>
      </c>
      <c r="H790" s="64">
        <f>G790*F790*E790</f>
        <v>1.35</v>
      </c>
    </row>
    <row r="791" spans="2:8" x14ac:dyDescent="0.3">
      <c r="B791" s="59"/>
      <c r="C791" s="63" t="s">
        <v>61</v>
      </c>
      <c r="D791" s="90"/>
      <c r="E791" s="87">
        <v>2.5</v>
      </c>
      <c r="F791" s="87">
        <v>0.5</v>
      </c>
      <c r="G791" s="87">
        <v>2</v>
      </c>
      <c r="H791" s="64">
        <f>G791*F791*E791</f>
        <v>2.5</v>
      </c>
    </row>
    <row r="792" spans="2:8" x14ac:dyDescent="0.3">
      <c r="B792" s="411" t="s">
        <v>55</v>
      </c>
      <c r="C792" s="411"/>
      <c r="D792" s="411"/>
      <c r="E792" s="411"/>
      <c r="F792" s="411"/>
      <c r="G792" s="411"/>
      <c r="H792" s="64">
        <f>H789-H790-H791</f>
        <v>30.65</v>
      </c>
    </row>
    <row r="793" spans="2:8" x14ac:dyDescent="0.3">
      <c r="B793" s="59" t="s">
        <v>775</v>
      </c>
      <c r="C793" s="56" t="s">
        <v>109</v>
      </c>
      <c r="D793" s="417"/>
      <c r="E793" s="417"/>
      <c r="F793" s="417"/>
      <c r="G793" s="417"/>
      <c r="H793" s="417"/>
    </row>
    <row r="794" spans="2:8" x14ac:dyDescent="0.3">
      <c r="B794" s="59"/>
      <c r="C794" s="56" t="s">
        <v>110</v>
      </c>
      <c r="D794" s="59"/>
      <c r="E794" s="64">
        <f>3.35+2.5+3.35+2.5</f>
        <v>11.7</v>
      </c>
      <c r="F794" s="64">
        <v>1.5</v>
      </c>
      <c r="G794" s="64"/>
      <c r="H794" s="64">
        <f>F794*E794</f>
        <v>17.549999999999997</v>
      </c>
    </row>
    <row r="795" spans="2:8" x14ac:dyDescent="0.3">
      <c r="B795" s="59"/>
      <c r="C795" s="56" t="s">
        <v>60</v>
      </c>
      <c r="D795" s="59"/>
      <c r="E795" s="64">
        <v>0.9</v>
      </c>
      <c r="F795" s="64">
        <v>1.5</v>
      </c>
      <c r="G795" s="64">
        <v>1</v>
      </c>
      <c r="H795" s="64">
        <f>G795*F795*E795</f>
        <v>1.35</v>
      </c>
    </row>
    <row r="796" spans="2:8" s="4" customFormat="1" x14ac:dyDescent="0.3">
      <c r="B796" s="59"/>
      <c r="C796" s="63" t="s">
        <v>61</v>
      </c>
      <c r="D796" s="90"/>
      <c r="E796" s="87">
        <v>1.5</v>
      </c>
      <c r="F796" s="87">
        <v>0.5</v>
      </c>
      <c r="G796" s="87">
        <v>1</v>
      </c>
      <c r="H796" s="64">
        <f>G796*F796*E796</f>
        <v>0.75</v>
      </c>
    </row>
    <row r="797" spans="2:8" x14ac:dyDescent="0.3">
      <c r="B797" s="411" t="s">
        <v>55</v>
      </c>
      <c r="C797" s="411"/>
      <c r="D797" s="411"/>
      <c r="E797" s="411"/>
      <c r="F797" s="411"/>
      <c r="G797" s="411"/>
      <c r="H797" s="64">
        <f>H794-H795-H796</f>
        <v>15.449999999999996</v>
      </c>
    </row>
    <row r="798" spans="2:8" x14ac:dyDescent="0.3">
      <c r="B798" s="59" t="s">
        <v>776</v>
      </c>
      <c r="C798" s="56" t="s">
        <v>111</v>
      </c>
      <c r="D798" s="417"/>
      <c r="E798" s="417"/>
      <c r="F798" s="417"/>
      <c r="G798" s="417"/>
      <c r="H798" s="417"/>
    </row>
    <row r="799" spans="2:8" x14ac:dyDescent="0.3">
      <c r="B799" s="59"/>
      <c r="C799" s="141" t="s">
        <v>126</v>
      </c>
      <c r="D799" s="59"/>
      <c r="E799" s="64">
        <f>6+5+1.3+0.15+1.35+1+1.35+1.9+5</f>
        <v>23.05</v>
      </c>
      <c r="F799" s="64">
        <v>1.5</v>
      </c>
      <c r="G799" s="64"/>
      <c r="H799" s="64">
        <f>F799*E799</f>
        <v>34.575000000000003</v>
      </c>
    </row>
    <row r="800" spans="2:8" x14ac:dyDescent="0.3">
      <c r="B800" s="59"/>
      <c r="C800" s="56" t="s">
        <v>60</v>
      </c>
      <c r="D800" s="59"/>
      <c r="E800" s="64">
        <v>0.9</v>
      </c>
      <c r="F800" s="64">
        <v>1.5</v>
      </c>
      <c r="G800" s="64">
        <v>2</v>
      </c>
      <c r="H800" s="64">
        <f>G800*F800*E800</f>
        <v>2.7</v>
      </c>
    </row>
    <row r="801" spans="2:8" x14ac:dyDescent="0.3">
      <c r="B801" s="411" t="s">
        <v>55</v>
      </c>
      <c r="C801" s="411"/>
      <c r="D801" s="411"/>
      <c r="E801" s="411"/>
      <c r="F801" s="411"/>
      <c r="G801" s="411"/>
      <c r="H801" s="64">
        <f>H799-H800</f>
        <v>31.875000000000004</v>
      </c>
    </row>
    <row r="802" spans="2:8" x14ac:dyDescent="0.3">
      <c r="B802" s="59" t="s">
        <v>777</v>
      </c>
      <c r="C802" s="56" t="s">
        <v>114</v>
      </c>
      <c r="D802" s="417"/>
      <c r="E802" s="417"/>
      <c r="F802" s="417"/>
      <c r="G802" s="417"/>
      <c r="H802" s="417"/>
    </row>
    <row r="803" spans="2:8" x14ac:dyDescent="0.3">
      <c r="B803" s="59"/>
      <c r="C803" s="56" t="s">
        <v>115</v>
      </c>
      <c r="D803" s="59"/>
      <c r="E803" s="64">
        <f>2.8+5+2.8+5</f>
        <v>15.6</v>
      </c>
      <c r="F803" s="87">
        <v>1.5</v>
      </c>
      <c r="G803" s="64"/>
      <c r="H803" s="64">
        <f>F803*E803</f>
        <v>23.4</v>
      </c>
    </row>
    <row r="804" spans="2:8" x14ac:dyDescent="0.3">
      <c r="B804" s="59"/>
      <c r="C804" s="56" t="s">
        <v>60</v>
      </c>
      <c r="D804" s="59"/>
      <c r="E804" s="64">
        <v>0.9</v>
      </c>
      <c r="F804" s="64">
        <v>1.5</v>
      </c>
      <c r="G804" s="64">
        <v>1</v>
      </c>
      <c r="H804" s="64">
        <f>F804*E804*G804</f>
        <v>1.35</v>
      </c>
    </row>
    <row r="805" spans="2:8" x14ac:dyDescent="0.3">
      <c r="B805" s="59"/>
      <c r="C805" s="56" t="s">
        <v>60</v>
      </c>
      <c r="D805" s="59"/>
      <c r="E805" s="64">
        <v>0.7</v>
      </c>
      <c r="F805" s="64">
        <v>1.5</v>
      </c>
      <c r="G805" s="64">
        <v>1</v>
      </c>
      <c r="H805" s="64">
        <f>G805*F805*E805</f>
        <v>1.0499999999999998</v>
      </c>
    </row>
    <row r="806" spans="2:8" x14ac:dyDescent="0.3">
      <c r="B806" s="411" t="s">
        <v>55</v>
      </c>
      <c r="C806" s="411"/>
      <c r="D806" s="411"/>
      <c r="E806" s="411"/>
      <c r="F806" s="411"/>
      <c r="G806" s="411"/>
      <c r="H806" s="64">
        <f>H803-H804-H805</f>
        <v>20.999999999999996</v>
      </c>
    </row>
    <row r="807" spans="2:8" x14ac:dyDescent="0.3">
      <c r="B807" s="59" t="s">
        <v>778</v>
      </c>
      <c r="C807" s="56" t="s">
        <v>116</v>
      </c>
      <c r="D807" s="417"/>
      <c r="E807" s="417"/>
      <c r="F807" s="417"/>
      <c r="G807" s="417"/>
      <c r="H807" s="417"/>
    </row>
    <row r="808" spans="2:8" x14ac:dyDescent="0.3">
      <c r="B808" s="59"/>
      <c r="C808" s="56" t="s">
        <v>117</v>
      </c>
      <c r="D808" s="59"/>
      <c r="E808" s="64">
        <f>3.05+5+3.05+5</f>
        <v>16.100000000000001</v>
      </c>
      <c r="F808" s="87">
        <v>1.5</v>
      </c>
      <c r="G808" s="64"/>
      <c r="H808" s="64">
        <f>F808*E808</f>
        <v>24.150000000000002</v>
      </c>
    </row>
    <row r="809" spans="2:8" x14ac:dyDescent="0.3">
      <c r="B809" s="59"/>
      <c r="C809" s="56" t="s">
        <v>60</v>
      </c>
      <c r="D809" s="59"/>
      <c r="E809" s="64">
        <v>0.9</v>
      </c>
      <c r="F809" s="64">
        <v>1.5</v>
      </c>
      <c r="G809" s="64">
        <v>3</v>
      </c>
      <c r="H809" s="64">
        <f>G809*F809*E809</f>
        <v>4.05</v>
      </c>
    </row>
    <row r="810" spans="2:8" x14ac:dyDescent="0.3">
      <c r="B810" s="59"/>
      <c r="C810" s="63" t="s">
        <v>61</v>
      </c>
      <c r="D810" s="90"/>
      <c r="E810" s="87">
        <v>2.5</v>
      </c>
      <c r="F810" s="87">
        <v>0.5</v>
      </c>
      <c r="G810" s="87">
        <v>2</v>
      </c>
      <c r="H810" s="64">
        <f>G810*F810*E810</f>
        <v>2.5</v>
      </c>
    </row>
    <row r="811" spans="2:8" x14ac:dyDescent="0.3">
      <c r="B811" s="411" t="s">
        <v>55</v>
      </c>
      <c r="C811" s="411"/>
      <c r="D811" s="411"/>
      <c r="E811" s="411"/>
      <c r="F811" s="411"/>
      <c r="G811" s="411"/>
      <c r="H811" s="64">
        <f>H808-H809-H810</f>
        <v>17.600000000000001</v>
      </c>
    </row>
    <row r="812" spans="2:8" x14ac:dyDescent="0.3">
      <c r="B812" s="59" t="s">
        <v>779</v>
      </c>
      <c r="C812" s="56" t="s">
        <v>118</v>
      </c>
      <c r="D812" s="417"/>
      <c r="E812" s="417"/>
      <c r="F812" s="417"/>
      <c r="G812" s="417"/>
      <c r="H812" s="417"/>
    </row>
    <row r="813" spans="2:8" x14ac:dyDescent="0.3">
      <c r="B813" s="59"/>
      <c r="C813" s="56" t="s">
        <v>119</v>
      </c>
      <c r="D813" s="59"/>
      <c r="E813" s="64">
        <f>5.5+5.2+5.5+5.2</f>
        <v>21.4</v>
      </c>
      <c r="F813" s="87">
        <v>1.5</v>
      </c>
      <c r="G813" s="64"/>
      <c r="H813" s="64">
        <f>F813*E813</f>
        <v>32.099999999999994</v>
      </c>
    </row>
    <row r="814" spans="2:8" x14ac:dyDescent="0.3">
      <c r="B814" s="59"/>
      <c r="C814" s="56" t="s">
        <v>64</v>
      </c>
      <c r="D814" s="90"/>
      <c r="E814" s="87">
        <v>2</v>
      </c>
      <c r="F814" s="87">
        <v>1.5</v>
      </c>
      <c r="G814" s="87">
        <v>1</v>
      </c>
      <c r="H814" s="64">
        <f>G814*F814*E814</f>
        <v>3</v>
      </c>
    </row>
    <row r="815" spans="2:8" x14ac:dyDescent="0.3">
      <c r="B815" s="59"/>
      <c r="C815" s="56" t="s">
        <v>64</v>
      </c>
      <c r="D815" s="90"/>
      <c r="E815" s="87">
        <v>2.5</v>
      </c>
      <c r="F815" s="87">
        <v>1.5</v>
      </c>
      <c r="G815" s="87">
        <v>1</v>
      </c>
      <c r="H815" s="64">
        <f>G815*F815*E815</f>
        <v>3.75</v>
      </c>
    </row>
    <row r="816" spans="2:8" s="4" customFormat="1" x14ac:dyDescent="0.3">
      <c r="B816" s="411" t="s">
        <v>55</v>
      </c>
      <c r="C816" s="411"/>
      <c r="D816" s="411"/>
      <c r="E816" s="411"/>
      <c r="F816" s="411"/>
      <c r="G816" s="411"/>
      <c r="H816" s="64">
        <f>H813-H814-H815</f>
        <v>25.349999999999994</v>
      </c>
    </row>
    <row r="817" spans="2:8" x14ac:dyDescent="0.3">
      <c r="B817" s="59" t="s">
        <v>780</v>
      </c>
      <c r="C817" s="56" t="s">
        <v>120</v>
      </c>
      <c r="D817" s="417"/>
      <c r="E817" s="417"/>
      <c r="F817" s="417"/>
      <c r="G817" s="417"/>
      <c r="H817" s="417"/>
    </row>
    <row r="818" spans="2:8" x14ac:dyDescent="0.3">
      <c r="B818" s="59"/>
      <c r="C818" s="56" t="s">
        <v>106</v>
      </c>
      <c r="D818" s="59"/>
      <c r="E818" s="64">
        <f>5.5+6+5.5+6</f>
        <v>23</v>
      </c>
      <c r="F818" s="64">
        <v>1.5</v>
      </c>
      <c r="G818" s="64"/>
      <c r="H818" s="64">
        <f>F818*E818</f>
        <v>34.5</v>
      </c>
    </row>
    <row r="819" spans="2:8" x14ac:dyDescent="0.3">
      <c r="B819" s="59"/>
      <c r="C819" s="56" t="s">
        <v>60</v>
      </c>
      <c r="D819" s="59"/>
      <c r="E819" s="64">
        <v>0.9</v>
      </c>
      <c r="F819" s="64">
        <v>1.5</v>
      </c>
      <c r="G819" s="64">
        <v>1</v>
      </c>
      <c r="H819" s="64">
        <f>G819*F819*E819</f>
        <v>1.35</v>
      </c>
    </row>
    <row r="820" spans="2:8" x14ac:dyDescent="0.3">
      <c r="B820" s="90"/>
      <c r="C820" s="63" t="s">
        <v>61</v>
      </c>
      <c r="D820" s="90"/>
      <c r="E820" s="87">
        <v>2.5</v>
      </c>
      <c r="F820" s="87">
        <v>0.5</v>
      </c>
      <c r="G820" s="87">
        <v>2</v>
      </c>
      <c r="H820" s="64">
        <f>G820*F820*E820</f>
        <v>2.5</v>
      </c>
    </row>
    <row r="821" spans="2:8" x14ac:dyDescent="0.3">
      <c r="B821" s="411" t="s">
        <v>55</v>
      </c>
      <c r="C821" s="411"/>
      <c r="D821" s="411"/>
      <c r="E821" s="411"/>
      <c r="F821" s="411"/>
      <c r="G821" s="411"/>
      <c r="H821" s="64">
        <f>H818-H819-H820</f>
        <v>30.65</v>
      </c>
    </row>
    <row r="822" spans="2:8" x14ac:dyDescent="0.3">
      <c r="B822" s="59" t="s">
        <v>781</v>
      </c>
      <c r="C822" s="56" t="s">
        <v>121</v>
      </c>
      <c r="D822" s="417"/>
      <c r="E822" s="417"/>
      <c r="F822" s="417"/>
      <c r="G822" s="417"/>
      <c r="H822" s="417"/>
    </row>
    <row r="823" spans="2:8" x14ac:dyDescent="0.3">
      <c r="B823" s="59"/>
      <c r="C823" s="56" t="s">
        <v>106</v>
      </c>
      <c r="D823" s="59"/>
      <c r="E823" s="64">
        <f>5.5+6+5.5+6</f>
        <v>23</v>
      </c>
      <c r="F823" s="64">
        <v>1.5</v>
      </c>
      <c r="G823" s="64"/>
      <c r="H823" s="64">
        <f>F823*E823</f>
        <v>34.5</v>
      </c>
    </row>
    <row r="824" spans="2:8" x14ac:dyDescent="0.3">
      <c r="B824" s="59"/>
      <c r="C824" s="56" t="s">
        <v>60</v>
      </c>
      <c r="D824" s="59"/>
      <c r="E824" s="64">
        <v>0.9</v>
      </c>
      <c r="F824" s="64">
        <v>1.5</v>
      </c>
      <c r="G824" s="64">
        <v>1</v>
      </c>
      <c r="H824" s="64">
        <f>G824*F824*E824</f>
        <v>1.35</v>
      </c>
    </row>
    <row r="825" spans="2:8" x14ac:dyDescent="0.3">
      <c r="B825" s="90"/>
      <c r="C825" s="63" t="s">
        <v>61</v>
      </c>
      <c r="D825" s="90"/>
      <c r="E825" s="87">
        <v>2.5</v>
      </c>
      <c r="F825" s="87">
        <v>0.5</v>
      </c>
      <c r="G825" s="87">
        <v>2</v>
      </c>
      <c r="H825" s="64">
        <f>G825*F825*E825</f>
        <v>2.5</v>
      </c>
    </row>
    <row r="826" spans="2:8" x14ac:dyDescent="0.3">
      <c r="B826" s="411" t="s">
        <v>55</v>
      </c>
      <c r="C826" s="411"/>
      <c r="D826" s="411"/>
      <c r="E826" s="411"/>
      <c r="F826" s="411"/>
      <c r="G826" s="411"/>
      <c r="H826" s="64">
        <f>H823-H824-H825</f>
        <v>30.65</v>
      </c>
    </row>
    <row r="827" spans="2:8" x14ac:dyDescent="0.3">
      <c r="B827" s="59" t="s">
        <v>782</v>
      </c>
      <c r="C827" s="56" t="s">
        <v>122</v>
      </c>
      <c r="D827" s="417"/>
      <c r="E827" s="417"/>
      <c r="F827" s="417"/>
      <c r="G827" s="417"/>
      <c r="H827" s="417"/>
    </row>
    <row r="828" spans="2:8" x14ac:dyDescent="0.3">
      <c r="B828" s="59"/>
      <c r="C828" s="56" t="s">
        <v>106</v>
      </c>
      <c r="D828" s="59"/>
      <c r="E828" s="64">
        <f>5.5+6+5.5+6</f>
        <v>23</v>
      </c>
      <c r="F828" s="64">
        <v>1.5</v>
      </c>
      <c r="G828" s="64"/>
      <c r="H828" s="64">
        <f>F828*E828</f>
        <v>34.5</v>
      </c>
    </row>
    <row r="829" spans="2:8" x14ac:dyDescent="0.3">
      <c r="B829" s="59"/>
      <c r="C829" s="56" t="s">
        <v>60</v>
      </c>
      <c r="D829" s="59"/>
      <c r="E829" s="64">
        <v>0.9</v>
      </c>
      <c r="F829" s="64">
        <v>1.5</v>
      </c>
      <c r="G829" s="64">
        <v>1</v>
      </c>
      <c r="H829" s="64">
        <f>G829*F829*E829</f>
        <v>1.35</v>
      </c>
    </row>
    <row r="830" spans="2:8" x14ac:dyDescent="0.3">
      <c r="B830" s="90"/>
      <c r="C830" s="63" t="s">
        <v>61</v>
      </c>
      <c r="D830" s="90"/>
      <c r="E830" s="87">
        <v>2.5</v>
      </c>
      <c r="F830" s="87">
        <v>0.5</v>
      </c>
      <c r="G830" s="87">
        <v>2</v>
      </c>
      <c r="H830" s="64">
        <f>G830*F830*E830</f>
        <v>2.5</v>
      </c>
    </row>
    <row r="831" spans="2:8" x14ac:dyDescent="0.3">
      <c r="B831" s="411" t="s">
        <v>55</v>
      </c>
      <c r="C831" s="411"/>
      <c r="D831" s="411"/>
      <c r="E831" s="411"/>
      <c r="F831" s="411"/>
      <c r="G831" s="411"/>
      <c r="H831" s="64">
        <f>H828-H829-H830</f>
        <v>30.65</v>
      </c>
    </row>
    <row r="832" spans="2:8" x14ac:dyDescent="0.3">
      <c r="B832" s="59" t="s">
        <v>783</v>
      </c>
      <c r="C832" s="56" t="s">
        <v>123</v>
      </c>
      <c r="D832" s="417"/>
      <c r="E832" s="417"/>
      <c r="F832" s="417"/>
      <c r="G832" s="417"/>
      <c r="H832" s="417"/>
    </row>
    <row r="833" spans="2:8" s="4" customFormat="1" x14ac:dyDescent="0.3">
      <c r="B833" s="59"/>
      <c r="C833" s="56" t="s">
        <v>106</v>
      </c>
      <c r="D833" s="59"/>
      <c r="E833" s="64">
        <f>5.5+6+5.5+6</f>
        <v>23</v>
      </c>
      <c r="F833" s="64">
        <v>1.5</v>
      </c>
      <c r="G833" s="64"/>
      <c r="H833" s="64">
        <f>F833*E833</f>
        <v>34.5</v>
      </c>
    </row>
    <row r="834" spans="2:8" x14ac:dyDescent="0.3">
      <c r="B834" s="59"/>
      <c r="C834" s="56" t="s">
        <v>60</v>
      </c>
      <c r="D834" s="59"/>
      <c r="E834" s="64">
        <v>0.9</v>
      </c>
      <c r="F834" s="64">
        <v>1.5</v>
      </c>
      <c r="G834" s="64">
        <v>1</v>
      </c>
      <c r="H834" s="64">
        <f>G834*F834*E834</f>
        <v>1.35</v>
      </c>
    </row>
    <row r="835" spans="2:8" x14ac:dyDescent="0.3">
      <c r="B835" s="90"/>
      <c r="C835" s="63" t="s">
        <v>61</v>
      </c>
      <c r="D835" s="90"/>
      <c r="E835" s="87">
        <v>2.5</v>
      </c>
      <c r="F835" s="87">
        <v>0.5</v>
      </c>
      <c r="G835" s="87">
        <v>2</v>
      </c>
      <c r="H835" s="64">
        <f>G835*F835*E835</f>
        <v>2.5</v>
      </c>
    </row>
    <row r="836" spans="2:8" x14ac:dyDescent="0.3">
      <c r="B836" s="411" t="s">
        <v>55</v>
      </c>
      <c r="C836" s="411"/>
      <c r="D836" s="411"/>
      <c r="E836" s="411"/>
      <c r="F836" s="411"/>
      <c r="G836" s="411"/>
      <c r="H836" s="64">
        <f>H833-H834-H835</f>
        <v>30.65</v>
      </c>
    </row>
    <row r="837" spans="2:8" x14ac:dyDescent="0.3">
      <c r="B837" s="59" t="s">
        <v>784</v>
      </c>
      <c r="C837" s="56" t="s">
        <v>302</v>
      </c>
      <c r="D837" s="417"/>
      <c r="E837" s="417"/>
      <c r="F837" s="417"/>
      <c r="G837" s="417"/>
      <c r="H837" s="417"/>
    </row>
    <row r="838" spans="2:8" x14ac:dyDescent="0.3">
      <c r="B838" s="59"/>
      <c r="C838" s="56" t="s">
        <v>367</v>
      </c>
      <c r="D838" s="59"/>
      <c r="E838" s="64">
        <f>7.5+3.6+7.5+3.6</f>
        <v>22.200000000000003</v>
      </c>
      <c r="F838" s="64">
        <v>1.5</v>
      </c>
      <c r="G838" s="64"/>
      <c r="H838" s="64">
        <f>F838*E838</f>
        <v>33.300000000000004</v>
      </c>
    </row>
    <row r="839" spans="2:8" x14ac:dyDescent="0.3">
      <c r="B839" s="59"/>
      <c r="C839" s="56" t="s">
        <v>60</v>
      </c>
      <c r="D839" s="59"/>
      <c r="E839" s="64">
        <v>0.9</v>
      </c>
      <c r="F839" s="64">
        <v>1.5</v>
      </c>
      <c r="G839" s="64">
        <v>1</v>
      </c>
      <c r="H839" s="64">
        <f>G839*F839*E839</f>
        <v>1.35</v>
      </c>
    </row>
    <row r="840" spans="2:8" x14ac:dyDescent="0.3">
      <c r="B840" s="90"/>
      <c r="C840" s="63" t="s">
        <v>61</v>
      </c>
      <c r="D840" s="90"/>
      <c r="E840" s="87">
        <v>2.5</v>
      </c>
      <c r="F840" s="87">
        <v>0.5</v>
      </c>
      <c r="G840" s="87">
        <v>2</v>
      </c>
      <c r="H840" s="64">
        <f>G840*F840*E840</f>
        <v>2.5</v>
      </c>
    </row>
    <row r="841" spans="2:8" x14ac:dyDescent="0.3">
      <c r="B841" s="411" t="s">
        <v>55</v>
      </c>
      <c r="C841" s="411"/>
      <c r="D841" s="411"/>
      <c r="E841" s="411"/>
      <c r="F841" s="411"/>
      <c r="G841" s="411"/>
      <c r="H841" s="64">
        <f>H838-H839-H840</f>
        <v>29.450000000000003</v>
      </c>
    </row>
    <row r="842" spans="2:8" x14ac:dyDescent="0.3">
      <c r="B842" s="90" t="s">
        <v>785</v>
      </c>
      <c r="C842" s="56" t="s">
        <v>124</v>
      </c>
      <c r="D842" s="417"/>
      <c r="E842" s="417"/>
      <c r="F842" s="417"/>
      <c r="G842" s="417"/>
      <c r="H842" s="417"/>
    </row>
    <row r="843" spans="2:8" x14ac:dyDescent="0.3">
      <c r="B843" s="59"/>
      <c r="C843" s="56" t="s">
        <v>368</v>
      </c>
      <c r="D843" s="59"/>
      <c r="E843" s="64">
        <f>11.6+26.75+12.3+8.5+5.8+5.8+2.8+2</f>
        <v>75.55</v>
      </c>
      <c r="F843" s="64">
        <v>1.5</v>
      </c>
      <c r="G843" s="64"/>
      <c r="H843" s="64">
        <f>F843*E843</f>
        <v>113.32499999999999</v>
      </c>
    </row>
    <row r="844" spans="2:8" x14ac:dyDescent="0.3">
      <c r="B844" s="59"/>
      <c r="C844" s="56" t="s">
        <v>417</v>
      </c>
      <c r="D844" s="59"/>
      <c r="E844" s="64">
        <f>2*3.14*0.12</f>
        <v>0.75360000000000005</v>
      </c>
      <c r="F844" s="64">
        <v>1.5</v>
      </c>
      <c r="G844" s="64">
        <v>20</v>
      </c>
      <c r="H844" s="64">
        <f t="shared" ref="H844:H850" si="28">F844*E844*G844</f>
        <v>22.608000000000001</v>
      </c>
    </row>
    <row r="845" spans="2:8" x14ac:dyDescent="0.3">
      <c r="B845" s="59"/>
      <c r="C845" s="56" t="s">
        <v>418</v>
      </c>
      <c r="D845" s="59"/>
      <c r="E845" s="64">
        <f>0.3+0.15+0.3+0.15</f>
        <v>0.9</v>
      </c>
      <c r="F845" s="64">
        <v>1.5</v>
      </c>
      <c r="G845" s="64">
        <v>1</v>
      </c>
      <c r="H845" s="64">
        <f t="shared" si="28"/>
        <v>1.35</v>
      </c>
    </row>
    <row r="846" spans="2:8" x14ac:dyDescent="0.3">
      <c r="B846" s="59"/>
      <c r="C846" s="142" t="s">
        <v>60</v>
      </c>
      <c r="D846" s="59"/>
      <c r="E846" s="64">
        <v>0.9</v>
      </c>
      <c r="F846" s="64">
        <v>1.5</v>
      </c>
      <c r="G846" s="64">
        <v>11</v>
      </c>
      <c r="H846" s="64">
        <f t="shared" si="28"/>
        <v>14.850000000000001</v>
      </c>
    </row>
    <row r="847" spans="2:8" x14ac:dyDescent="0.3">
      <c r="B847" s="59"/>
      <c r="C847" s="142" t="s">
        <v>60</v>
      </c>
      <c r="D847" s="59"/>
      <c r="E847" s="64">
        <v>2.85</v>
      </c>
      <c r="F847" s="64">
        <v>2.1</v>
      </c>
      <c r="G847" s="64">
        <v>1</v>
      </c>
      <c r="H847" s="64">
        <f t="shared" si="28"/>
        <v>5.9850000000000003</v>
      </c>
    </row>
    <row r="848" spans="2:8" x14ac:dyDescent="0.3">
      <c r="B848" s="59"/>
      <c r="C848" s="142" t="s">
        <v>125</v>
      </c>
      <c r="D848" s="59"/>
      <c r="E848" s="64">
        <v>2</v>
      </c>
      <c r="F848" s="64">
        <v>1.5</v>
      </c>
      <c r="G848" s="64">
        <v>1</v>
      </c>
      <c r="H848" s="64">
        <f t="shared" si="28"/>
        <v>3</v>
      </c>
    </row>
    <row r="849" spans="2:8" x14ac:dyDescent="0.3">
      <c r="B849" s="90"/>
      <c r="C849" s="63" t="s">
        <v>61</v>
      </c>
      <c r="D849" s="90"/>
      <c r="E849" s="87">
        <v>0.5</v>
      </c>
      <c r="F849" s="87">
        <v>0.5</v>
      </c>
      <c r="G849" s="87">
        <v>1</v>
      </c>
      <c r="H849" s="64">
        <f t="shared" si="28"/>
        <v>0.25</v>
      </c>
    </row>
    <row r="850" spans="2:8" x14ac:dyDescent="0.3">
      <c r="B850" s="90"/>
      <c r="C850" s="63" t="s">
        <v>61</v>
      </c>
      <c r="D850" s="90"/>
      <c r="E850" s="87">
        <v>1.5</v>
      </c>
      <c r="F850" s="87">
        <v>0.5</v>
      </c>
      <c r="G850" s="87">
        <v>1</v>
      </c>
      <c r="H850" s="64">
        <f t="shared" si="28"/>
        <v>0.75</v>
      </c>
    </row>
    <row r="851" spans="2:8" x14ac:dyDescent="0.3">
      <c r="B851" s="411" t="s">
        <v>55</v>
      </c>
      <c r="C851" s="411"/>
      <c r="D851" s="411"/>
      <c r="E851" s="411"/>
      <c r="F851" s="411"/>
      <c r="G851" s="411"/>
      <c r="H851" s="64">
        <f>H843+H844-H846+H845-H848-H849-H850-H847</f>
        <v>112.44799999999999</v>
      </c>
    </row>
    <row r="852" spans="2:8" x14ac:dyDescent="0.3">
      <c r="B852" s="90" t="s">
        <v>786</v>
      </c>
      <c r="C852" s="56" t="s">
        <v>130</v>
      </c>
      <c r="D852" s="417"/>
      <c r="E852" s="417"/>
      <c r="F852" s="417"/>
      <c r="G852" s="417"/>
      <c r="H852" s="417"/>
    </row>
    <row r="853" spans="2:8" x14ac:dyDescent="0.3">
      <c r="B853" s="59"/>
      <c r="C853" s="56" t="s">
        <v>131</v>
      </c>
      <c r="D853" s="59"/>
      <c r="E853" s="64">
        <f>2.97+5.2+2.97+5.2</f>
        <v>16.34</v>
      </c>
      <c r="F853" s="64">
        <v>1.5</v>
      </c>
      <c r="G853" s="64"/>
      <c r="H853" s="64">
        <f>F853*E853</f>
        <v>24.509999999999998</v>
      </c>
    </row>
    <row r="854" spans="2:8" x14ac:dyDescent="0.3">
      <c r="B854" s="59"/>
      <c r="C854" s="56" t="s">
        <v>60</v>
      </c>
      <c r="D854" s="59"/>
      <c r="E854" s="64">
        <v>0.9</v>
      </c>
      <c r="F854" s="64">
        <v>1.5</v>
      </c>
      <c r="G854" s="64">
        <v>1</v>
      </c>
      <c r="H854" s="64">
        <f>G854*F854*E854</f>
        <v>1.35</v>
      </c>
    </row>
    <row r="855" spans="2:8" x14ac:dyDescent="0.3">
      <c r="B855" s="90"/>
      <c r="C855" s="63" t="s">
        <v>61</v>
      </c>
      <c r="D855" s="90"/>
      <c r="E855" s="87">
        <v>1.5</v>
      </c>
      <c r="F855" s="87">
        <v>0.4</v>
      </c>
      <c r="G855" s="87">
        <v>2</v>
      </c>
      <c r="H855" s="64">
        <f>G855*F855*E855</f>
        <v>1.2000000000000002</v>
      </c>
    </row>
    <row r="856" spans="2:8" x14ac:dyDescent="0.3">
      <c r="B856" s="411" t="s">
        <v>55</v>
      </c>
      <c r="C856" s="411"/>
      <c r="D856" s="411"/>
      <c r="E856" s="411"/>
      <c r="F856" s="411"/>
      <c r="G856" s="411"/>
      <c r="H856" s="64">
        <f>H853-H854-H855</f>
        <v>21.959999999999997</v>
      </c>
    </row>
    <row r="857" spans="2:8" x14ac:dyDescent="0.3">
      <c r="B857" s="59" t="s">
        <v>787</v>
      </c>
      <c r="C857" s="56" t="s">
        <v>132</v>
      </c>
      <c r="D857" s="417"/>
      <c r="E857" s="417"/>
      <c r="F857" s="417"/>
      <c r="G857" s="417"/>
      <c r="H857" s="417"/>
    </row>
    <row r="858" spans="2:8" x14ac:dyDescent="0.3">
      <c r="B858" s="59"/>
      <c r="C858" s="56" t="s">
        <v>133</v>
      </c>
      <c r="D858" s="59"/>
      <c r="E858" s="64">
        <f>2.97+6+2.97+6</f>
        <v>17.940000000000001</v>
      </c>
      <c r="F858" s="64">
        <v>1.5</v>
      </c>
      <c r="G858" s="64"/>
      <c r="H858" s="64">
        <f>F858*E858</f>
        <v>26.910000000000004</v>
      </c>
    </row>
    <row r="859" spans="2:8" x14ac:dyDescent="0.3">
      <c r="B859" s="59"/>
      <c r="C859" s="56" t="s">
        <v>60</v>
      </c>
      <c r="D859" s="59"/>
      <c r="E859" s="64">
        <v>0.9</v>
      </c>
      <c r="F859" s="64">
        <v>0.6</v>
      </c>
      <c r="G859" s="64">
        <v>1</v>
      </c>
      <c r="H859" s="64">
        <f>G859*F859*E859</f>
        <v>0.54</v>
      </c>
    </row>
    <row r="860" spans="2:8" x14ac:dyDescent="0.3">
      <c r="B860" s="59"/>
      <c r="C860" s="63" t="s">
        <v>61</v>
      </c>
      <c r="D860" s="90"/>
      <c r="E860" s="87">
        <v>1.5</v>
      </c>
      <c r="F860" s="87">
        <v>0.6</v>
      </c>
      <c r="G860" s="87">
        <v>3</v>
      </c>
      <c r="H860" s="64">
        <f>G860*F860*E860</f>
        <v>2.6999999999999997</v>
      </c>
    </row>
    <row r="861" spans="2:8" x14ac:dyDescent="0.3">
      <c r="B861" s="411" t="s">
        <v>55</v>
      </c>
      <c r="C861" s="411"/>
      <c r="D861" s="411"/>
      <c r="E861" s="411"/>
      <c r="F861" s="411"/>
      <c r="G861" s="411"/>
      <c r="H861" s="64">
        <f>H858-H859-H860</f>
        <v>23.670000000000005</v>
      </c>
    </row>
    <row r="862" spans="2:8" x14ac:dyDescent="0.3">
      <c r="B862" s="59" t="s">
        <v>788</v>
      </c>
      <c r="C862" s="56" t="s">
        <v>58</v>
      </c>
      <c r="D862" s="417"/>
      <c r="E862" s="417"/>
      <c r="F862" s="417"/>
      <c r="G862" s="417"/>
      <c r="H862" s="417"/>
    </row>
    <row r="863" spans="2:8" x14ac:dyDescent="0.3">
      <c r="B863" s="59"/>
      <c r="C863" s="56" t="s">
        <v>134</v>
      </c>
      <c r="D863" s="59"/>
      <c r="E863" s="64">
        <f>2.97+2+2+1.62+0.15</f>
        <v>8.74</v>
      </c>
      <c r="F863" s="64">
        <v>1.5</v>
      </c>
      <c r="G863" s="64"/>
      <c r="H863" s="64">
        <f>F863*E863</f>
        <v>13.11</v>
      </c>
    </row>
    <row r="864" spans="2:8" x14ac:dyDescent="0.3">
      <c r="B864" s="90"/>
      <c r="C864" s="63" t="s">
        <v>61</v>
      </c>
      <c r="D864" s="90"/>
      <c r="E864" s="87">
        <v>1.5</v>
      </c>
      <c r="F864" s="87">
        <v>0.4</v>
      </c>
      <c r="G864" s="87">
        <v>1</v>
      </c>
      <c r="H864" s="64">
        <f>G864*F864*E864</f>
        <v>0.60000000000000009</v>
      </c>
    </row>
    <row r="865" spans="2:8" x14ac:dyDescent="0.3">
      <c r="B865" s="411" t="s">
        <v>55</v>
      </c>
      <c r="C865" s="411"/>
      <c r="D865" s="411"/>
      <c r="E865" s="411"/>
      <c r="F865" s="411"/>
      <c r="G865" s="411"/>
      <c r="H865" s="64">
        <f>H863-H864</f>
        <v>12.51</v>
      </c>
    </row>
    <row r="866" spans="2:8" x14ac:dyDescent="0.3">
      <c r="B866" s="59" t="s">
        <v>789</v>
      </c>
      <c r="C866" s="56" t="s">
        <v>135</v>
      </c>
      <c r="D866" s="417"/>
      <c r="E866" s="417"/>
      <c r="F866" s="417"/>
      <c r="G866" s="417"/>
      <c r="H866" s="417"/>
    </row>
    <row r="867" spans="2:8" x14ac:dyDescent="0.3">
      <c r="B867" s="59"/>
      <c r="C867" s="56" t="s">
        <v>136</v>
      </c>
      <c r="D867" s="59"/>
      <c r="E867" s="64">
        <f>1.62+3.89+2.97+3.89</f>
        <v>12.370000000000001</v>
      </c>
      <c r="F867" s="64">
        <v>1.5</v>
      </c>
      <c r="G867" s="64"/>
      <c r="H867" s="64">
        <f>F867*E867</f>
        <v>18.555</v>
      </c>
    </row>
    <row r="868" spans="2:8" x14ac:dyDescent="0.3">
      <c r="B868" s="59"/>
      <c r="C868" s="56" t="s">
        <v>60</v>
      </c>
      <c r="D868" s="59"/>
      <c r="E868" s="64">
        <v>0.9</v>
      </c>
      <c r="F868" s="64">
        <v>1.5</v>
      </c>
      <c r="G868" s="64">
        <v>1</v>
      </c>
      <c r="H868" s="64">
        <f>G868*F868*E868</f>
        <v>1.35</v>
      </c>
    </row>
    <row r="869" spans="2:8" x14ac:dyDescent="0.3">
      <c r="B869" s="90"/>
      <c r="C869" s="63" t="s">
        <v>61</v>
      </c>
      <c r="D869" s="90"/>
      <c r="E869" s="87">
        <v>1.5</v>
      </c>
      <c r="F869" s="87">
        <v>0.4</v>
      </c>
      <c r="G869" s="87">
        <v>1</v>
      </c>
      <c r="H869" s="64">
        <f>G869*F869*E869</f>
        <v>0.60000000000000009</v>
      </c>
    </row>
    <row r="870" spans="2:8" x14ac:dyDescent="0.3">
      <c r="B870" s="411" t="s">
        <v>55</v>
      </c>
      <c r="C870" s="411"/>
      <c r="D870" s="411"/>
      <c r="E870" s="411"/>
      <c r="F870" s="411"/>
      <c r="G870" s="411"/>
      <c r="H870" s="64">
        <f>H867-H868-H869</f>
        <v>16.604999999999997</v>
      </c>
    </row>
    <row r="871" spans="2:8" x14ac:dyDescent="0.3">
      <c r="B871" s="59" t="s">
        <v>790</v>
      </c>
      <c r="C871" s="56" t="s">
        <v>137</v>
      </c>
      <c r="D871" s="417"/>
      <c r="E871" s="417"/>
      <c r="F871" s="417"/>
      <c r="G871" s="417"/>
      <c r="H871" s="417"/>
    </row>
    <row r="872" spans="2:8" x14ac:dyDescent="0.3">
      <c r="B872" s="59"/>
      <c r="C872" s="56" t="s">
        <v>138</v>
      </c>
      <c r="D872" s="59"/>
      <c r="E872" s="64">
        <f>6+5.94+6+5.94</f>
        <v>23.880000000000003</v>
      </c>
      <c r="F872" s="64">
        <v>1.5</v>
      </c>
      <c r="G872" s="64"/>
      <c r="H872" s="64">
        <f>F872*E872</f>
        <v>35.820000000000007</v>
      </c>
    </row>
    <row r="873" spans="2:8" x14ac:dyDescent="0.3">
      <c r="B873" s="59"/>
      <c r="C873" s="56" t="s">
        <v>60</v>
      </c>
      <c r="D873" s="59"/>
      <c r="E873" s="64">
        <v>0.9</v>
      </c>
      <c r="F873" s="64">
        <v>1.5</v>
      </c>
      <c r="G873" s="64">
        <v>1</v>
      </c>
      <c r="H873" s="64">
        <f>G873*F873*E873</f>
        <v>1.35</v>
      </c>
    </row>
    <row r="874" spans="2:8" x14ac:dyDescent="0.3">
      <c r="B874" s="59"/>
      <c r="C874" s="63" t="s">
        <v>61</v>
      </c>
      <c r="D874" s="90"/>
      <c r="E874" s="87">
        <v>1.5</v>
      </c>
      <c r="F874" s="87">
        <v>0.4</v>
      </c>
      <c r="G874" s="87">
        <v>3</v>
      </c>
      <c r="H874" s="64">
        <f>G874*F874*E874</f>
        <v>1.8000000000000003</v>
      </c>
    </row>
    <row r="875" spans="2:8" x14ac:dyDescent="0.3">
      <c r="B875" s="411" t="s">
        <v>55</v>
      </c>
      <c r="C875" s="411"/>
      <c r="D875" s="411"/>
      <c r="E875" s="411"/>
      <c r="F875" s="411"/>
      <c r="G875" s="411"/>
      <c r="H875" s="64">
        <f>H872-H873-H874</f>
        <v>32.670000000000009</v>
      </c>
    </row>
    <row r="876" spans="2:8" s="4" customFormat="1" x14ac:dyDescent="0.3">
      <c r="B876" s="59" t="s">
        <v>791</v>
      </c>
      <c r="C876" s="56" t="s">
        <v>139</v>
      </c>
      <c r="D876" s="417"/>
      <c r="E876" s="417"/>
      <c r="F876" s="417"/>
      <c r="G876" s="417"/>
      <c r="H876" s="417"/>
    </row>
    <row r="877" spans="2:8" x14ac:dyDescent="0.3">
      <c r="B877" s="59"/>
      <c r="C877" s="56" t="s">
        <v>138</v>
      </c>
      <c r="D877" s="59"/>
      <c r="E877" s="64">
        <f>6+5.94+6+5.94</f>
        <v>23.880000000000003</v>
      </c>
      <c r="F877" s="64">
        <v>1.5</v>
      </c>
      <c r="G877" s="64"/>
      <c r="H877" s="64">
        <f>F877*E877</f>
        <v>35.820000000000007</v>
      </c>
    </row>
    <row r="878" spans="2:8" x14ac:dyDescent="0.3">
      <c r="B878" s="59"/>
      <c r="C878" s="56" t="s">
        <v>60</v>
      </c>
      <c r="D878" s="59"/>
      <c r="E878" s="64">
        <v>0.9</v>
      </c>
      <c r="F878" s="64">
        <v>1.5</v>
      </c>
      <c r="G878" s="64">
        <v>1</v>
      </c>
      <c r="H878" s="64">
        <f>G878*F878*E878</f>
        <v>1.35</v>
      </c>
    </row>
    <row r="879" spans="2:8" x14ac:dyDescent="0.3">
      <c r="B879" s="59"/>
      <c r="C879" s="63" t="s">
        <v>61</v>
      </c>
      <c r="D879" s="90"/>
      <c r="E879" s="87">
        <v>1.5</v>
      </c>
      <c r="F879" s="87">
        <v>0.4</v>
      </c>
      <c r="G879" s="87">
        <v>3</v>
      </c>
      <c r="H879" s="64">
        <f>G879*F879*E879</f>
        <v>1.8000000000000003</v>
      </c>
    </row>
    <row r="880" spans="2:8" x14ac:dyDescent="0.3">
      <c r="B880" s="411" t="s">
        <v>55</v>
      </c>
      <c r="C880" s="411"/>
      <c r="D880" s="411"/>
      <c r="E880" s="411"/>
      <c r="F880" s="411"/>
      <c r="G880" s="411"/>
      <c r="H880" s="64">
        <f>H877-H878-H879</f>
        <v>32.670000000000009</v>
      </c>
    </row>
    <row r="881" spans="2:8" x14ac:dyDescent="0.3">
      <c r="B881" s="59" t="s">
        <v>792</v>
      </c>
      <c r="C881" s="56" t="s">
        <v>140</v>
      </c>
      <c r="D881" s="417"/>
      <c r="E881" s="417"/>
      <c r="F881" s="417"/>
      <c r="G881" s="417"/>
      <c r="H881" s="417"/>
    </row>
    <row r="882" spans="2:8" x14ac:dyDescent="0.3">
      <c r="B882" s="59"/>
      <c r="C882" s="56" t="s">
        <v>141</v>
      </c>
      <c r="D882" s="59"/>
      <c r="E882" s="64">
        <f>4.11+3.15+4.11+3.15</f>
        <v>14.520000000000001</v>
      </c>
      <c r="F882" s="64">
        <v>1.5</v>
      </c>
      <c r="G882" s="64"/>
      <c r="H882" s="64">
        <f>F882*E882</f>
        <v>21.78</v>
      </c>
    </row>
    <row r="883" spans="2:8" x14ac:dyDescent="0.3">
      <c r="B883" s="59"/>
      <c r="C883" s="56" t="s">
        <v>60</v>
      </c>
      <c r="D883" s="59"/>
      <c r="E883" s="64">
        <v>0.9</v>
      </c>
      <c r="F883" s="64">
        <v>1.5</v>
      </c>
      <c r="G883" s="64">
        <v>3</v>
      </c>
      <c r="H883" s="64">
        <f>G883*F883*E883</f>
        <v>4.05</v>
      </c>
    </row>
    <row r="884" spans="2:8" x14ac:dyDescent="0.3">
      <c r="B884" s="411" t="s">
        <v>55</v>
      </c>
      <c r="C884" s="411"/>
      <c r="D884" s="411"/>
      <c r="E884" s="411"/>
      <c r="F884" s="411"/>
      <c r="G884" s="411"/>
      <c r="H884" s="64">
        <f>H882-H883</f>
        <v>17.73</v>
      </c>
    </row>
    <row r="885" spans="2:8" x14ac:dyDescent="0.3">
      <c r="B885" s="59" t="s">
        <v>793</v>
      </c>
      <c r="C885" s="56" t="s">
        <v>144</v>
      </c>
      <c r="D885" s="417"/>
      <c r="E885" s="417"/>
      <c r="F885" s="417"/>
      <c r="G885" s="417"/>
      <c r="H885" s="417"/>
    </row>
    <row r="886" spans="2:8" x14ac:dyDescent="0.3">
      <c r="B886" s="59"/>
      <c r="C886" s="56" t="s">
        <v>138</v>
      </c>
      <c r="D886" s="59"/>
      <c r="E886" s="64">
        <f>6+5.94+6+5.94</f>
        <v>23.880000000000003</v>
      </c>
      <c r="F886" s="64">
        <v>1.5</v>
      </c>
      <c r="G886" s="64"/>
      <c r="H886" s="64">
        <f>F886*E886</f>
        <v>35.820000000000007</v>
      </c>
    </row>
    <row r="887" spans="2:8" s="4" customFormat="1" x14ac:dyDescent="0.3">
      <c r="B887" s="59"/>
      <c r="C887" s="56" t="s">
        <v>60</v>
      </c>
      <c r="D887" s="59"/>
      <c r="E887" s="64">
        <v>0.9</v>
      </c>
      <c r="F887" s="64">
        <v>1.5</v>
      </c>
      <c r="G887" s="64">
        <v>2</v>
      </c>
      <c r="H887" s="64">
        <f>G887*F887*E887</f>
        <v>2.7</v>
      </c>
    </row>
    <row r="888" spans="2:8" x14ac:dyDescent="0.3">
      <c r="B888" s="59"/>
      <c r="C888" s="63" t="s">
        <v>61</v>
      </c>
      <c r="D888" s="90"/>
      <c r="E888" s="87">
        <v>1.5</v>
      </c>
      <c r="F888" s="87">
        <v>0.4</v>
      </c>
      <c r="G888" s="87">
        <v>3</v>
      </c>
      <c r="H888" s="64">
        <f>G888*F888*E888</f>
        <v>1.8000000000000003</v>
      </c>
    </row>
    <row r="889" spans="2:8" ht="16.5" customHeight="1" x14ac:dyDescent="0.3">
      <c r="B889" s="411" t="s">
        <v>55</v>
      </c>
      <c r="C889" s="411"/>
      <c r="D889" s="411"/>
      <c r="E889" s="411"/>
      <c r="F889" s="411"/>
      <c r="G889" s="411"/>
      <c r="H889" s="64">
        <f>H886-H887-H888</f>
        <v>31.320000000000004</v>
      </c>
    </row>
    <row r="890" spans="2:8" x14ac:dyDescent="0.3">
      <c r="B890" s="90" t="s">
        <v>794</v>
      </c>
      <c r="C890" s="56" t="s">
        <v>145</v>
      </c>
      <c r="D890" s="417"/>
      <c r="E890" s="417"/>
      <c r="F890" s="417"/>
      <c r="G890" s="417"/>
      <c r="H890" s="417"/>
    </row>
    <row r="891" spans="2:8" x14ac:dyDescent="0.3">
      <c r="B891" s="59"/>
      <c r="C891" s="56" t="s">
        <v>147</v>
      </c>
      <c r="D891" s="59"/>
      <c r="E891" s="64">
        <v>21.3</v>
      </c>
      <c r="F891" s="64">
        <v>1.5</v>
      </c>
      <c r="G891" s="64"/>
      <c r="H891" s="64">
        <f>F891*E891</f>
        <v>31.950000000000003</v>
      </c>
    </row>
    <row r="892" spans="2:8" x14ac:dyDescent="0.3">
      <c r="B892" s="59"/>
      <c r="C892" s="56" t="s">
        <v>147</v>
      </c>
      <c r="D892" s="59"/>
      <c r="E892" s="64">
        <v>21.3</v>
      </c>
      <c r="F892" s="64">
        <v>1.5</v>
      </c>
      <c r="G892" s="64"/>
      <c r="H892" s="64">
        <f t="shared" ref="H892" si="29">F892*E892</f>
        <v>31.950000000000003</v>
      </c>
    </row>
    <row r="893" spans="2:8" x14ac:dyDescent="0.3">
      <c r="B893" s="59"/>
      <c r="C893" s="56" t="s">
        <v>146</v>
      </c>
      <c r="D893" s="59"/>
      <c r="E893" s="64">
        <f>0.1+0.1+0.1+0.1</f>
        <v>0.4</v>
      </c>
      <c r="F893" s="64">
        <v>1.5</v>
      </c>
      <c r="G893" s="64">
        <v>16</v>
      </c>
      <c r="H893" s="64">
        <f>F893*E893*G893</f>
        <v>9.6000000000000014</v>
      </c>
    </row>
    <row r="894" spans="2:8" x14ac:dyDescent="0.3">
      <c r="B894" s="59"/>
      <c r="C894" s="142" t="s">
        <v>60</v>
      </c>
      <c r="D894" s="59"/>
      <c r="E894" s="64">
        <v>0.9</v>
      </c>
      <c r="F894" s="64">
        <v>1.5</v>
      </c>
      <c r="G894" s="64">
        <v>7</v>
      </c>
      <c r="H894" s="64">
        <f>F894*E894*G894</f>
        <v>9.4500000000000011</v>
      </c>
    </row>
    <row r="895" spans="2:8" x14ac:dyDescent="0.3">
      <c r="B895" s="59"/>
      <c r="C895" s="142" t="s">
        <v>60</v>
      </c>
      <c r="D895" s="59"/>
      <c r="E895" s="64">
        <v>0.7</v>
      </c>
      <c r="F895" s="64">
        <v>1.5</v>
      </c>
      <c r="G895" s="64">
        <v>2</v>
      </c>
      <c r="H895" s="64">
        <f>F895*E895*G895</f>
        <v>2.0999999999999996</v>
      </c>
    </row>
    <row r="896" spans="2:8" x14ac:dyDescent="0.3">
      <c r="B896" s="59"/>
      <c r="C896" s="63" t="s">
        <v>61</v>
      </c>
      <c r="D896" s="90"/>
      <c r="E896" s="87">
        <v>1.5</v>
      </c>
      <c r="F896" s="87">
        <v>0.4</v>
      </c>
      <c r="G896" s="87">
        <v>5</v>
      </c>
      <c r="H896" s="64">
        <f>F896*E896*G896</f>
        <v>3.0000000000000004</v>
      </c>
    </row>
    <row r="897" spans="2:8" x14ac:dyDescent="0.3">
      <c r="B897" s="411" t="s">
        <v>55</v>
      </c>
      <c r="C897" s="411"/>
      <c r="D897" s="411"/>
      <c r="E897" s="411"/>
      <c r="F897" s="411"/>
      <c r="G897" s="411"/>
      <c r="H897" s="64">
        <f>H891+H892+H893-H894-H895-H896</f>
        <v>58.949999999999996</v>
      </c>
    </row>
    <row r="898" spans="2:8" x14ac:dyDescent="0.3">
      <c r="B898" s="90" t="s">
        <v>795</v>
      </c>
      <c r="C898" s="63" t="s">
        <v>148</v>
      </c>
      <c r="D898" s="417"/>
      <c r="E898" s="417"/>
      <c r="F898" s="417"/>
      <c r="G898" s="417"/>
      <c r="H898" s="417"/>
    </row>
    <row r="899" spans="2:8" x14ac:dyDescent="0.3">
      <c r="B899" s="59"/>
      <c r="C899" s="63" t="s">
        <v>232</v>
      </c>
      <c r="D899" s="90"/>
      <c r="E899" s="87">
        <f>9.05+4.8+9.05+4.8+0.45</f>
        <v>28.150000000000002</v>
      </c>
      <c r="F899" s="87">
        <v>1.5</v>
      </c>
      <c r="G899" s="87"/>
      <c r="H899" s="64">
        <f>F899*E899</f>
        <v>42.225000000000001</v>
      </c>
    </row>
    <row r="900" spans="2:8" x14ac:dyDescent="0.3">
      <c r="B900" s="59"/>
      <c r="C900" s="63" t="s">
        <v>60</v>
      </c>
      <c r="D900" s="90"/>
      <c r="E900" s="87">
        <v>2.4</v>
      </c>
      <c r="F900" s="87">
        <v>1.5</v>
      </c>
      <c r="G900" s="87">
        <v>1</v>
      </c>
      <c r="H900" s="64">
        <f>G900*F900*E900</f>
        <v>3.5999999999999996</v>
      </c>
    </row>
    <row r="901" spans="2:8" x14ac:dyDescent="0.3">
      <c r="B901" s="59"/>
      <c r="C901" s="63" t="s">
        <v>60</v>
      </c>
      <c r="D901" s="90"/>
      <c r="E901" s="87">
        <v>0.8</v>
      </c>
      <c r="F901" s="87">
        <v>1.5</v>
      </c>
      <c r="G901" s="87">
        <v>1</v>
      </c>
      <c r="H901" s="64">
        <f>G901*F901*E901</f>
        <v>1.2000000000000002</v>
      </c>
    </row>
    <row r="902" spans="2:8" x14ac:dyDescent="0.3">
      <c r="B902" s="59"/>
      <c r="C902" s="63" t="s">
        <v>61</v>
      </c>
      <c r="D902" s="90"/>
      <c r="E902" s="87">
        <v>2</v>
      </c>
      <c r="F902" s="87">
        <v>1.1000000000000001</v>
      </c>
      <c r="G902" s="87">
        <v>4</v>
      </c>
      <c r="H902" s="64">
        <f>G902*F902*E902</f>
        <v>8.8000000000000007</v>
      </c>
    </row>
    <row r="903" spans="2:8" x14ac:dyDescent="0.3">
      <c r="B903" s="411" t="s">
        <v>55</v>
      </c>
      <c r="C903" s="411"/>
      <c r="D903" s="411"/>
      <c r="E903" s="411"/>
      <c r="F903" s="411"/>
      <c r="G903" s="411"/>
      <c r="H903" s="64">
        <f>H899-H900-H902-H901</f>
        <v>28.625</v>
      </c>
    </row>
    <row r="904" spans="2:8" x14ac:dyDescent="0.3">
      <c r="B904" s="59" t="s">
        <v>796</v>
      </c>
      <c r="C904" s="63" t="s">
        <v>151</v>
      </c>
      <c r="D904" s="417"/>
      <c r="E904" s="417"/>
      <c r="F904" s="417"/>
      <c r="G904" s="417"/>
      <c r="H904" s="417"/>
    </row>
    <row r="905" spans="2:8" x14ac:dyDescent="0.3">
      <c r="B905" s="59"/>
      <c r="C905" s="63" t="s">
        <v>152</v>
      </c>
      <c r="D905" s="90"/>
      <c r="E905" s="87">
        <f>2.05+4.8+2.05+4.8</f>
        <v>13.7</v>
      </c>
      <c r="F905" s="87">
        <v>1.5</v>
      </c>
      <c r="G905" s="87"/>
      <c r="H905" s="64">
        <f>F905*E905</f>
        <v>20.549999999999997</v>
      </c>
    </row>
    <row r="906" spans="2:8" x14ac:dyDescent="0.3">
      <c r="B906" s="59"/>
      <c r="C906" s="63" t="s">
        <v>60</v>
      </c>
      <c r="D906" s="90"/>
      <c r="E906" s="87">
        <v>0.8</v>
      </c>
      <c r="F906" s="87">
        <v>1.5</v>
      </c>
      <c r="G906" s="87">
        <v>1</v>
      </c>
      <c r="H906" s="64">
        <f>G906*F906*E906</f>
        <v>1.2000000000000002</v>
      </c>
    </row>
    <row r="907" spans="2:8" x14ac:dyDescent="0.3">
      <c r="B907" s="411" t="s">
        <v>55</v>
      </c>
      <c r="C907" s="411"/>
      <c r="D907" s="411"/>
      <c r="E907" s="411"/>
      <c r="F907" s="411"/>
      <c r="G907" s="411"/>
      <c r="H907" s="64">
        <f>H905-H906</f>
        <v>19.349999999999998</v>
      </c>
    </row>
    <row r="908" spans="2:8" x14ac:dyDescent="0.3">
      <c r="B908" s="59" t="s">
        <v>797</v>
      </c>
      <c r="C908" s="63" t="s">
        <v>153</v>
      </c>
      <c r="D908" s="417"/>
      <c r="E908" s="417"/>
      <c r="F908" s="417"/>
      <c r="G908" s="417"/>
      <c r="H908" s="417"/>
    </row>
    <row r="909" spans="2:8" x14ac:dyDescent="0.3">
      <c r="B909" s="59"/>
      <c r="C909" s="63" t="s">
        <v>154</v>
      </c>
      <c r="D909" s="90"/>
      <c r="E909" s="87">
        <f>2.2+3.4+2.2</f>
        <v>7.8</v>
      </c>
      <c r="F909" s="87">
        <v>1.5</v>
      </c>
      <c r="G909" s="87"/>
      <c r="H909" s="64">
        <f>F909*E909</f>
        <v>11.7</v>
      </c>
    </row>
    <row r="910" spans="2:8" x14ac:dyDescent="0.3">
      <c r="B910" s="59"/>
      <c r="C910" s="63" t="s">
        <v>60</v>
      </c>
      <c r="D910" s="90"/>
      <c r="E910" s="87">
        <v>0.8</v>
      </c>
      <c r="F910" s="87">
        <v>1.5</v>
      </c>
      <c r="G910" s="87">
        <v>1</v>
      </c>
      <c r="H910" s="64">
        <f>G910*F910*E910</f>
        <v>1.2000000000000002</v>
      </c>
    </row>
    <row r="911" spans="2:8" x14ac:dyDescent="0.3">
      <c r="B911" s="411" t="s">
        <v>55</v>
      </c>
      <c r="C911" s="411"/>
      <c r="D911" s="411"/>
      <c r="E911" s="411"/>
      <c r="F911" s="411"/>
      <c r="G911" s="411"/>
      <c r="H911" s="64">
        <f>H909-H910</f>
        <v>10.5</v>
      </c>
    </row>
    <row r="912" spans="2:8" x14ac:dyDescent="0.3">
      <c r="B912" s="59" t="s">
        <v>798</v>
      </c>
      <c r="C912" s="63" t="s">
        <v>155</v>
      </c>
      <c r="D912" s="417"/>
      <c r="E912" s="417"/>
      <c r="F912" s="417"/>
      <c r="G912" s="417"/>
      <c r="H912" s="417"/>
    </row>
    <row r="913" spans="2:8" x14ac:dyDescent="0.3">
      <c r="B913" s="59"/>
      <c r="C913" s="63" t="s">
        <v>146</v>
      </c>
      <c r="D913" s="90"/>
      <c r="E913" s="87">
        <v>0.4</v>
      </c>
      <c r="F913" s="87">
        <v>1.5</v>
      </c>
      <c r="G913" s="87">
        <v>6</v>
      </c>
      <c r="H913" s="64">
        <f>G913*F913*E913</f>
        <v>3.6</v>
      </c>
    </row>
    <row r="914" spans="2:8" x14ac:dyDescent="0.3">
      <c r="B914" s="411" t="s">
        <v>55</v>
      </c>
      <c r="C914" s="411"/>
      <c r="D914" s="411"/>
      <c r="E914" s="411"/>
      <c r="F914" s="411"/>
      <c r="G914" s="411"/>
      <c r="H914" s="64">
        <f>H913</f>
        <v>3.6</v>
      </c>
    </row>
    <row r="915" spans="2:8" x14ac:dyDescent="0.3">
      <c r="B915" s="411" t="s">
        <v>9</v>
      </c>
      <c r="C915" s="411"/>
      <c r="D915" s="411"/>
      <c r="E915" s="411"/>
      <c r="F915" s="411"/>
      <c r="G915" s="411"/>
      <c r="H915" s="64">
        <f>H914+H911+H907+H903+H897+H889+H884+H880+H875+H870+H865+H861+H856+H851+H836+H831+H826+H821+H816+H811+H806+H801+H797+H792+H787+H782+H841</f>
        <v>777.88300000000004</v>
      </c>
    </row>
    <row r="916" spans="2:8" x14ac:dyDescent="0.3">
      <c r="B916" s="59" t="s">
        <v>723</v>
      </c>
      <c r="C916" s="89" t="s">
        <v>205</v>
      </c>
      <c r="D916" s="59" t="s">
        <v>195</v>
      </c>
      <c r="E916" s="59" t="s">
        <v>98</v>
      </c>
      <c r="F916" s="59" t="s">
        <v>167</v>
      </c>
      <c r="G916" s="59" t="s">
        <v>99</v>
      </c>
      <c r="H916" s="64" t="s">
        <v>8</v>
      </c>
    </row>
    <row r="917" spans="2:8" x14ac:dyDescent="0.3">
      <c r="B917" s="59" t="s">
        <v>799</v>
      </c>
      <c r="C917" s="56" t="s">
        <v>144</v>
      </c>
      <c r="D917" s="417"/>
      <c r="E917" s="417"/>
      <c r="F917" s="417"/>
      <c r="G917" s="417"/>
      <c r="H917" s="417"/>
    </row>
    <row r="918" spans="2:8" x14ac:dyDescent="0.3">
      <c r="B918" s="59"/>
      <c r="C918" s="56" t="s">
        <v>218</v>
      </c>
      <c r="D918" s="59"/>
      <c r="E918" s="64">
        <v>0.9</v>
      </c>
      <c r="F918" s="64">
        <v>2.1</v>
      </c>
      <c r="G918" s="64">
        <v>1</v>
      </c>
      <c r="H918" s="64">
        <f>G918*F918*E918*3</f>
        <v>5.67</v>
      </c>
    </row>
    <row r="919" spans="2:8" x14ac:dyDescent="0.3">
      <c r="B919" s="59"/>
      <c r="C919" s="56" t="s">
        <v>219</v>
      </c>
      <c r="D919" s="59"/>
      <c r="E919" s="64">
        <v>1.5</v>
      </c>
      <c r="F919" s="64">
        <v>1</v>
      </c>
      <c r="G919" s="64">
        <v>3</v>
      </c>
      <c r="H919" s="64">
        <f>G919*F919*E919*2</f>
        <v>9</v>
      </c>
    </row>
    <row r="920" spans="2:8" s="4" customFormat="1" x14ac:dyDescent="0.3">
      <c r="B920" s="411" t="s">
        <v>55</v>
      </c>
      <c r="C920" s="411"/>
      <c r="D920" s="411"/>
      <c r="E920" s="411"/>
      <c r="F920" s="411"/>
      <c r="G920" s="411"/>
      <c r="H920" s="64">
        <f>SUM(H918:H919)</f>
        <v>14.67</v>
      </c>
    </row>
    <row r="921" spans="2:8" x14ac:dyDescent="0.3">
      <c r="B921" s="59" t="s">
        <v>800</v>
      </c>
      <c r="C921" s="56" t="s">
        <v>142</v>
      </c>
      <c r="D921" s="417"/>
      <c r="E921" s="417"/>
      <c r="F921" s="417"/>
      <c r="G921" s="417"/>
      <c r="H921" s="417"/>
    </row>
    <row r="922" spans="2:8" x14ac:dyDescent="0.3">
      <c r="B922" s="59"/>
      <c r="C922" s="56" t="s">
        <v>218</v>
      </c>
      <c r="D922" s="59"/>
      <c r="E922" s="64">
        <v>0.9</v>
      </c>
      <c r="F922" s="64">
        <v>2.1</v>
      </c>
      <c r="G922" s="64">
        <v>1</v>
      </c>
      <c r="H922" s="64">
        <f>G922*F922*E922*3</f>
        <v>5.67</v>
      </c>
    </row>
    <row r="923" spans="2:8" x14ac:dyDescent="0.3">
      <c r="B923" s="59"/>
      <c r="C923" s="56" t="s">
        <v>219</v>
      </c>
      <c r="D923" s="59"/>
      <c r="E923" s="64">
        <v>1.5</v>
      </c>
      <c r="F923" s="64">
        <v>1</v>
      </c>
      <c r="G923" s="64">
        <v>1</v>
      </c>
      <c r="H923" s="64">
        <f>G923*F923*E923*2</f>
        <v>3</v>
      </c>
    </row>
    <row r="924" spans="2:8" x14ac:dyDescent="0.3">
      <c r="B924" s="411" t="s">
        <v>55</v>
      </c>
      <c r="C924" s="411"/>
      <c r="D924" s="411"/>
      <c r="E924" s="411"/>
      <c r="F924" s="411"/>
      <c r="G924" s="411"/>
      <c r="H924" s="64">
        <f>SUM(H922:H923)</f>
        <v>8.67</v>
      </c>
    </row>
    <row r="925" spans="2:8" x14ac:dyDescent="0.3">
      <c r="B925" s="59" t="s">
        <v>801</v>
      </c>
      <c r="C925" s="56" t="s">
        <v>140</v>
      </c>
      <c r="D925" s="417"/>
      <c r="E925" s="417"/>
      <c r="F925" s="417"/>
      <c r="G925" s="417"/>
      <c r="H925" s="417"/>
    </row>
    <row r="926" spans="2:8" x14ac:dyDescent="0.3">
      <c r="B926" s="59"/>
      <c r="C926" s="56" t="s">
        <v>218</v>
      </c>
      <c r="D926" s="59"/>
      <c r="E926" s="64">
        <v>0.9</v>
      </c>
      <c r="F926" s="64">
        <v>2.1</v>
      </c>
      <c r="G926" s="64">
        <v>2</v>
      </c>
      <c r="H926" s="64">
        <f>G926*F926*E926*3</f>
        <v>11.34</v>
      </c>
    </row>
    <row r="927" spans="2:8" x14ac:dyDescent="0.3">
      <c r="B927" s="411" t="s">
        <v>55</v>
      </c>
      <c r="C927" s="411"/>
      <c r="D927" s="411"/>
      <c r="E927" s="411"/>
      <c r="F927" s="411"/>
      <c r="G927" s="411"/>
      <c r="H927" s="64">
        <f>SUM(H926)</f>
        <v>11.34</v>
      </c>
    </row>
    <row r="928" spans="2:8" x14ac:dyDescent="0.3">
      <c r="B928" s="59" t="s">
        <v>802</v>
      </c>
      <c r="C928" s="56" t="s">
        <v>168</v>
      </c>
      <c r="D928" s="417"/>
      <c r="E928" s="417"/>
      <c r="F928" s="417"/>
      <c r="G928" s="417"/>
      <c r="H928" s="417"/>
    </row>
    <row r="929" spans="2:8" x14ac:dyDescent="0.3">
      <c r="B929" s="59"/>
      <c r="C929" s="56" t="s">
        <v>218</v>
      </c>
      <c r="D929" s="59"/>
      <c r="E929" s="64">
        <v>0.9</v>
      </c>
      <c r="F929" s="64">
        <v>2.1</v>
      </c>
      <c r="G929" s="64">
        <v>1</v>
      </c>
      <c r="H929" s="64">
        <f>G929*F929*E929*3</f>
        <v>5.67</v>
      </c>
    </row>
    <row r="930" spans="2:8" x14ac:dyDescent="0.3">
      <c r="B930" s="59"/>
      <c r="C930" s="56" t="s">
        <v>219</v>
      </c>
      <c r="D930" s="59"/>
      <c r="E930" s="64">
        <v>1.5</v>
      </c>
      <c r="F930" s="64">
        <v>1</v>
      </c>
      <c r="G930" s="64">
        <v>3</v>
      </c>
      <c r="H930" s="64">
        <f>G930*F930*E930*2</f>
        <v>9</v>
      </c>
    </row>
    <row r="931" spans="2:8" x14ac:dyDescent="0.3">
      <c r="B931" s="411" t="s">
        <v>55</v>
      </c>
      <c r="C931" s="411"/>
      <c r="D931" s="411"/>
      <c r="E931" s="411"/>
      <c r="F931" s="411"/>
      <c r="G931" s="411"/>
      <c r="H931" s="64">
        <f>SUM(H929:H930)</f>
        <v>14.67</v>
      </c>
    </row>
    <row r="932" spans="2:8" x14ac:dyDescent="0.3">
      <c r="B932" s="59" t="s">
        <v>803</v>
      </c>
      <c r="C932" s="56" t="s">
        <v>169</v>
      </c>
      <c r="D932" s="417"/>
      <c r="E932" s="417"/>
      <c r="F932" s="417"/>
      <c r="G932" s="417"/>
      <c r="H932" s="417"/>
    </row>
    <row r="933" spans="2:8" x14ac:dyDescent="0.3">
      <c r="B933" s="59"/>
      <c r="C933" s="56" t="s">
        <v>218</v>
      </c>
      <c r="D933" s="59"/>
      <c r="E933" s="64">
        <v>0.9</v>
      </c>
      <c r="F933" s="64">
        <v>2.1</v>
      </c>
      <c r="G933" s="64">
        <v>1</v>
      </c>
      <c r="H933" s="64">
        <f>G933*F933*E933*3</f>
        <v>5.67</v>
      </c>
    </row>
    <row r="934" spans="2:8" x14ac:dyDescent="0.3">
      <c r="B934" s="59"/>
      <c r="C934" s="56" t="s">
        <v>219</v>
      </c>
      <c r="D934" s="59"/>
      <c r="E934" s="64">
        <v>1.5</v>
      </c>
      <c r="F934" s="64">
        <v>1</v>
      </c>
      <c r="G934" s="64">
        <v>3</v>
      </c>
      <c r="H934" s="64">
        <f>G934*F934*E934*2</f>
        <v>9</v>
      </c>
    </row>
    <row r="935" spans="2:8" x14ac:dyDescent="0.3">
      <c r="B935" s="411" t="s">
        <v>55</v>
      </c>
      <c r="C935" s="411"/>
      <c r="D935" s="411"/>
      <c r="E935" s="411"/>
      <c r="F935" s="411"/>
      <c r="G935" s="411"/>
      <c r="H935" s="64">
        <f>SUM(H933:H934)</f>
        <v>14.67</v>
      </c>
    </row>
    <row r="936" spans="2:8" x14ac:dyDescent="0.3">
      <c r="B936" s="59" t="s">
        <v>804</v>
      </c>
      <c r="C936" s="56" t="s">
        <v>127</v>
      </c>
      <c r="D936" s="417"/>
      <c r="E936" s="417"/>
      <c r="F936" s="417"/>
      <c r="G936" s="417"/>
      <c r="H936" s="417"/>
    </row>
    <row r="937" spans="2:8" x14ac:dyDescent="0.3">
      <c r="B937" s="59"/>
      <c r="C937" s="56" t="s">
        <v>218</v>
      </c>
      <c r="D937" s="59"/>
      <c r="E937" s="64">
        <v>0.7</v>
      </c>
      <c r="F937" s="64">
        <v>2.1</v>
      </c>
      <c r="G937" s="64">
        <v>1</v>
      </c>
      <c r="H937" s="64">
        <f>G937*F937*E937*3</f>
        <v>4.41</v>
      </c>
    </row>
    <row r="938" spans="2:8" s="4" customFormat="1" x14ac:dyDescent="0.3">
      <c r="B938" s="59"/>
      <c r="C938" s="56" t="s">
        <v>218</v>
      </c>
      <c r="D938" s="59"/>
      <c r="E938" s="64">
        <v>0.6</v>
      </c>
      <c r="F938" s="64">
        <v>2.1</v>
      </c>
      <c r="G938" s="64">
        <v>2</v>
      </c>
      <c r="H938" s="64">
        <f t="shared" ref="H938" si="30">G938*F938*E938*3</f>
        <v>7.5600000000000005</v>
      </c>
    </row>
    <row r="939" spans="2:8" x14ac:dyDescent="0.3">
      <c r="B939" s="59"/>
      <c r="C939" s="56" t="s">
        <v>219</v>
      </c>
      <c r="D939" s="59"/>
      <c r="E939" s="64">
        <v>1</v>
      </c>
      <c r="F939" s="64">
        <v>0.8</v>
      </c>
      <c r="G939" s="64">
        <v>1</v>
      </c>
      <c r="H939" s="64">
        <f>G939*F939*E939*2</f>
        <v>1.6</v>
      </c>
    </row>
    <row r="940" spans="2:8" x14ac:dyDescent="0.3">
      <c r="B940" s="411" t="s">
        <v>55</v>
      </c>
      <c r="C940" s="411"/>
      <c r="D940" s="411"/>
      <c r="E940" s="411"/>
      <c r="F940" s="411"/>
      <c r="G940" s="411"/>
      <c r="H940" s="64">
        <f>SUM(H937:H939)</f>
        <v>13.57</v>
      </c>
    </row>
    <row r="941" spans="2:8" x14ac:dyDescent="0.3">
      <c r="B941" s="59" t="s">
        <v>805</v>
      </c>
      <c r="C941" s="56" t="s">
        <v>129</v>
      </c>
      <c r="D941" s="59"/>
      <c r="E941" s="144"/>
      <c r="F941" s="144"/>
      <c r="G941" s="144"/>
      <c r="H941" s="42"/>
    </row>
    <row r="942" spans="2:8" x14ac:dyDescent="0.3">
      <c r="B942" s="59"/>
      <c r="C942" s="56" t="s">
        <v>218</v>
      </c>
      <c r="D942" s="59"/>
      <c r="E942" s="64">
        <v>0.7</v>
      </c>
      <c r="F942" s="64">
        <v>2.1</v>
      </c>
      <c r="G942" s="64">
        <v>1</v>
      </c>
      <c r="H942" s="64">
        <f>G942*F942*E942*3</f>
        <v>4.41</v>
      </c>
    </row>
    <row r="943" spans="2:8" x14ac:dyDescent="0.3">
      <c r="B943" s="59"/>
      <c r="C943" s="56" t="s">
        <v>218</v>
      </c>
      <c r="D943" s="59"/>
      <c r="E943" s="64">
        <v>0.6</v>
      </c>
      <c r="F943" s="64">
        <v>2.1</v>
      </c>
      <c r="G943" s="64">
        <v>2</v>
      </c>
      <c r="H943" s="64">
        <f t="shared" ref="H943" si="31">G943*F943*E943*3</f>
        <v>7.5600000000000005</v>
      </c>
    </row>
    <row r="944" spans="2:8" x14ac:dyDescent="0.3">
      <c r="B944" s="59"/>
      <c r="C944" s="56" t="s">
        <v>219</v>
      </c>
      <c r="D944" s="59"/>
      <c r="E944" s="64">
        <v>1</v>
      </c>
      <c r="F944" s="64">
        <v>0.8</v>
      </c>
      <c r="G944" s="64">
        <v>1</v>
      </c>
      <c r="H944" s="64">
        <f>G944*F944*E944*2</f>
        <v>1.6</v>
      </c>
    </row>
    <row r="945" spans="2:8" x14ac:dyDescent="0.3">
      <c r="B945" s="411" t="s">
        <v>55</v>
      </c>
      <c r="C945" s="411"/>
      <c r="D945" s="411"/>
      <c r="E945" s="411"/>
      <c r="F945" s="411"/>
      <c r="G945" s="411"/>
      <c r="H945" s="64">
        <f>SUM(H942:H944)</f>
        <v>13.57</v>
      </c>
    </row>
    <row r="946" spans="2:8" x14ac:dyDescent="0.3">
      <c r="B946" s="59" t="s">
        <v>806</v>
      </c>
      <c r="C946" s="56" t="s">
        <v>130</v>
      </c>
      <c r="D946" s="417"/>
      <c r="E946" s="417"/>
      <c r="F946" s="417"/>
      <c r="G946" s="417"/>
      <c r="H946" s="417"/>
    </row>
    <row r="947" spans="2:8" x14ac:dyDescent="0.3">
      <c r="B947" s="59"/>
      <c r="C947" s="56" t="s">
        <v>218</v>
      </c>
      <c r="D947" s="59"/>
      <c r="E947" s="64">
        <v>0.9</v>
      </c>
      <c r="F947" s="64">
        <v>2.1</v>
      </c>
      <c r="G947" s="64">
        <v>1</v>
      </c>
      <c r="H947" s="64">
        <f>G947*F947*E947*3</f>
        <v>5.67</v>
      </c>
    </row>
    <row r="948" spans="2:8" x14ac:dyDescent="0.3">
      <c r="B948" s="59"/>
      <c r="C948" s="56" t="s">
        <v>219</v>
      </c>
      <c r="D948" s="59"/>
      <c r="E948" s="64">
        <v>1.5</v>
      </c>
      <c r="F948" s="64">
        <v>1</v>
      </c>
      <c r="G948" s="64">
        <v>2</v>
      </c>
      <c r="H948" s="64">
        <f>G948*F948*E948*2</f>
        <v>6</v>
      </c>
    </row>
    <row r="949" spans="2:8" x14ac:dyDescent="0.3">
      <c r="B949" s="411" t="s">
        <v>55</v>
      </c>
      <c r="C949" s="411"/>
      <c r="D949" s="411"/>
      <c r="E949" s="411"/>
      <c r="F949" s="411"/>
      <c r="G949" s="411"/>
      <c r="H949" s="64">
        <f>SUM(H947:H948)</f>
        <v>11.67</v>
      </c>
    </row>
    <row r="950" spans="2:8" x14ac:dyDescent="0.3">
      <c r="B950" s="59" t="s">
        <v>807</v>
      </c>
      <c r="C950" s="56" t="s">
        <v>170</v>
      </c>
      <c r="D950" s="417"/>
      <c r="E950" s="417"/>
      <c r="F950" s="417"/>
      <c r="G950" s="417"/>
      <c r="H950" s="417"/>
    </row>
    <row r="951" spans="2:8" s="4" customFormat="1" x14ac:dyDescent="0.3">
      <c r="B951" s="59"/>
      <c r="C951" s="56" t="s">
        <v>218</v>
      </c>
      <c r="D951" s="59"/>
      <c r="E951" s="64">
        <v>0.9</v>
      </c>
      <c r="F951" s="64">
        <v>2.1</v>
      </c>
      <c r="G951" s="64">
        <v>1</v>
      </c>
      <c r="H951" s="64">
        <f>G951*F951*E951*3</f>
        <v>5.67</v>
      </c>
    </row>
    <row r="952" spans="2:8" x14ac:dyDescent="0.3">
      <c r="B952" s="59"/>
      <c r="C952" s="56" t="s">
        <v>219</v>
      </c>
      <c r="D952" s="59"/>
      <c r="E952" s="64">
        <v>1.5</v>
      </c>
      <c r="F952" s="64">
        <v>1</v>
      </c>
      <c r="G952" s="64">
        <v>3</v>
      </c>
      <c r="H952" s="64">
        <f>G952*F952*E952*2</f>
        <v>9</v>
      </c>
    </row>
    <row r="953" spans="2:8" x14ac:dyDescent="0.3">
      <c r="B953" s="411" t="s">
        <v>55</v>
      </c>
      <c r="C953" s="411"/>
      <c r="D953" s="411"/>
      <c r="E953" s="411"/>
      <c r="F953" s="411"/>
      <c r="G953" s="411"/>
      <c r="H953" s="64">
        <f>SUM(H951:H952)</f>
        <v>14.67</v>
      </c>
    </row>
    <row r="954" spans="2:8" x14ac:dyDescent="0.3">
      <c r="B954" s="59" t="s">
        <v>808</v>
      </c>
      <c r="C954" s="56" t="s">
        <v>58</v>
      </c>
      <c r="D954" s="417"/>
      <c r="E954" s="417"/>
      <c r="F954" s="417"/>
      <c r="G954" s="417"/>
      <c r="H954" s="417"/>
    </row>
    <row r="955" spans="2:8" x14ac:dyDescent="0.3">
      <c r="B955" s="59"/>
      <c r="C955" s="56" t="s">
        <v>219</v>
      </c>
      <c r="D955" s="59"/>
      <c r="E955" s="64">
        <v>1.5</v>
      </c>
      <c r="F955" s="64">
        <v>1</v>
      </c>
      <c r="G955" s="64">
        <v>1</v>
      </c>
      <c r="H955" s="64">
        <f>G955*F955*E955*2</f>
        <v>3</v>
      </c>
    </row>
    <row r="956" spans="2:8" x14ac:dyDescent="0.3">
      <c r="B956" s="411" t="s">
        <v>55</v>
      </c>
      <c r="C956" s="411"/>
      <c r="D956" s="411"/>
      <c r="E956" s="411"/>
      <c r="F956" s="411"/>
      <c r="G956" s="411"/>
      <c r="H956" s="64">
        <f>SUM(H955)</f>
        <v>3</v>
      </c>
    </row>
    <row r="957" spans="2:8" x14ac:dyDescent="0.3">
      <c r="B957" s="59" t="s">
        <v>809</v>
      </c>
      <c r="C957" s="56" t="s">
        <v>135</v>
      </c>
      <c r="D957" s="417"/>
      <c r="E957" s="417"/>
      <c r="F957" s="417"/>
      <c r="G957" s="417"/>
      <c r="H957" s="417"/>
    </row>
    <row r="958" spans="2:8" x14ac:dyDescent="0.3">
      <c r="B958" s="59"/>
      <c r="C958" s="56" t="s">
        <v>218</v>
      </c>
      <c r="D958" s="59"/>
      <c r="E958" s="64">
        <v>0.9</v>
      </c>
      <c r="F958" s="64">
        <v>2.1</v>
      </c>
      <c r="G958" s="64">
        <v>1</v>
      </c>
      <c r="H958" s="64">
        <f>G958*F958*E958*3</f>
        <v>5.67</v>
      </c>
    </row>
    <row r="959" spans="2:8" x14ac:dyDescent="0.3">
      <c r="B959" s="59"/>
      <c r="C959" s="56" t="s">
        <v>219</v>
      </c>
      <c r="D959" s="59"/>
      <c r="E959" s="64">
        <v>1.5</v>
      </c>
      <c r="F959" s="64">
        <v>1</v>
      </c>
      <c r="G959" s="64">
        <v>1</v>
      </c>
      <c r="H959" s="64">
        <f>G959*F959*E959*2</f>
        <v>3</v>
      </c>
    </row>
    <row r="960" spans="2:8" x14ac:dyDescent="0.3">
      <c r="B960" s="411" t="s">
        <v>55</v>
      </c>
      <c r="C960" s="411"/>
      <c r="D960" s="411"/>
      <c r="E960" s="411"/>
      <c r="F960" s="411"/>
      <c r="G960" s="411"/>
      <c r="H960" s="64">
        <f>SUM(H958:H959)</f>
        <v>8.67</v>
      </c>
    </row>
    <row r="961" spans="2:8" x14ac:dyDescent="0.3">
      <c r="B961" s="59" t="s">
        <v>810</v>
      </c>
      <c r="C961" s="78" t="s">
        <v>148</v>
      </c>
      <c r="D961" s="417"/>
      <c r="E961" s="417"/>
      <c r="F961" s="417"/>
      <c r="G961" s="417"/>
      <c r="H961" s="417"/>
    </row>
    <row r="962" spans="2:8" x14ac:dyDescent="0.3">
      <c r="B962" s="59"/>
      <c r="C962" s="56" t="s">
        <v>218</v>
      </c>
      <c r="D962" s="59"/>
      <c r="E962" s="64">
        <v>0.8</v>
      </c>
      <c r="F962" s="64">
        <v>2.1</v>
      </c>
      <c r="G962" s="64">
        <v>1</v>
      </c>
      <c r="H962" s="64">
        <f>G962*F962*E962*3</f>
        <v>5.0400000000000009</v>
      </c>
    </row>
    <row r="963" spans="2:8" x14ac:dyDescent="0.3">
      <c r="B963" s="59"/>
      <c r="C963" s="56" t="s">
        <v>218</v>
      </c>
      <c r="D963" s="59"/>
      <c r="E963" s="64">
        <v>2.4</v>
      </c>
      <c r="F963" s="64">
        <v>2.2000000000000002</v>
      </c>
      <c r="G963" s="64">
        <v>1</v>
      </c>
      <c r="H963" s="64">
        <f t="shared" ref="H963" si="32">G963*F963*E963*3</f>
        <v>15.84</v>
      </c>
    </row>
    <row r="964" spans="2:8" x14ac:dyDescent="0.3">
      <c r="B964" s="59"/>
      <c r="C964" s="56" t="s">
        <v>219</v>
      </c>
      <c r="D964" s="59"/>
      <c r="E964" s="64">
        <v>2</v>
      </c>
      <c r="F964" s="64">
        <v>1.8</v>
      </c>
      <c r="G964" s="64">
        <v>4</v>
      </c>
      <c r="H964" s="64">
        <f>G964*F964*E964*2</f>
        <v>28.8</v>
      </c>
    </row>
    <row r="965" spans="2:8" x14ac:dyDescent="0.3">
      <c r="B965" s="411" t="s">
        <v>55</v>
      </c>
      <c r="C965" s="411"/>
      <c r="D965" s="411"/>
      <c r="E965" s="411"/>
      <c r="F965" s="411"/>
      <c r="G965" s="411"/>
      <c r="H965" s="64">
        <f>SUM(H962:H964)</f>
        <v>49.680000000000007</v>
      </c>
    </row>
    <row r="966" spans="2:8" x14ac:dyDescent="0.3">
      <c r="B966" s="59" t="s">
        <v>811</v>
      </c>
      <c r="C966" s="56" t="s">
        <v>149</v>
      </c>
      <c r="D966" s="417"/>
      <c r="E966" s="417"/>
      <c r="F966" s="417"/>
      <c r="G966" s="417"/>
      <c r="H966" s="417"/>
    </row>
    <row r="967" spans="2:8" x14ac:dyDescent="0.3">
      <c r="B967" s="59"/>
      <c r="C967" s="56" t="s">
        <v>218</v>
      </c>
      <c r="D967" s="59"/>
      <c r="E967" s="64">
        <v>0.8</v>
      </c>
      <c r="F967" s="64">
        <v>2.1</v>
      </c>
      <c r="G967" s="64">
        <v>1</v>
      </c>
      <c r="H967" s="64">
        <f>G967*F967*E967*3</f>
        <v>5.0400000000000009</v>
      </c>
    </row>
    <row r="968" spans="2:8" x14ac:dyDescent="0.3">
      <c r="B968" s="59"/>
      <c r="C968" s="56" t="s">
        <v>219</v>
      </c>
      <c r="D968" s="59"/>
      <c r="E968" s="64">
        <v>2</v>
      </c>
      <c r="F968" s="64">
        <v>1</v>
      </c>
      <c r="G968" s="64">
        <v>1</v>
      </c>
      <c r="H968" s="64">
        <f>G968*F968*E968*2</f>
        <v>4</v>
      </c>
    </row>
    <row r="969" spans="2:8" x14ac:dyDescent="0.3">
      <c r="B969" s="411" t="s">
        <v>55</v>
      </c>
      <c r="C969" s="411"/>
      <c r="D969" s="411"/>
      <c r="E969" s="411"/>
      <c r="F969" s="411"/>
      <c r="G969" s="411"/>
      <c r="H969" s="64">
        <f>SUM(H967:H968)</f>
        <v>9.0400000000000009</v>
      </c>
    </row>
    <row r="970" spans="2:8" x14ac:dyDescent="0.3">
      <c r="B970" s="59" t="s">
        <v>812</v>
      </c>
      <c r="C970" s="56" t="s">
        <v>277</v>
      </c>
      <c r="D970" s="417"/>
      <c r="E970" s="417"/>
      <c r="F970" s="417"/>
      <c r="G970" s="417"/>
      <c r="H970" s="417"/>
    </row>
    <row r="971" spans="2:8" x14ac:dyDescent="0.3">
      <c r="B971" s="59"/>
      <c r="C971" s="56" t="s">
        <v>218</v>
      </c>
      <c r="D971" s="59"/>
      <c r="E971" s="64">
        <v>2.4</v>
      </c>
      <c r="F971" s="64">
        <v>2.1</v>
      </c>
      <c r="G971" s="64">
        <v>1</v>
      </c>
      <c r="H971" s="64">
        <f>G971*F971*E971*3</f>
        <v>15.120000000000001</v>
      </c>
    </row>
    <row r="972" spans="2:8" x14ac:dyDescent="0.3">
      <c r="B972" s="411" t="s">
        <v>55</v>
      </c>
      <c r="C972" s="411"/>
      <c r="D972" s="411"/>
      <c r="E972" s="411"/>
      <c r="F972" s="411"/>
      <c r="G972" s="411"/>
      <c r="H972" s="64">
        <f>SUM(H971:H971)</f>
        <v>15.120000000000001</v>
      </c>
    </row>
    <row r="973" spans="2:8" x14ac:dyDescent="0.3">
      <c r="B973" s="59" t="s">
        <v>813</v>
      </c>
      <c r="C973" s="56" t="s">
        <v>151</v>
      </c>
      <c r="D973" s="417"/>
      <c r="E973" s="417"/>
      <c r="F973" s="417"/>
      <c r="G973" s="417"/>
      <c r="H973" s="417"/>
    </row>
    <row r="974" spans="2:8" x14ac:dyDescent="0.3">
      <c r="B974" s="59"/>
      <c r="C974" s="56" t="s">
        <v>218</v>
      </c>
      <c r="D974" s="59"/>
      <c r="E974" s="64">
        <v>0.8</v>
      </c>
      <c r="F974" s="64">
        <v>2.1</v>
      </c>
      <c r="G974" s="64">
        <v>1</v>
      </c>
      <c r="H974" s="64">
        <f>G974*F974*E974*3</f>
        <v>5.0400000000000009</v>
      </c>
    </row>
    <row r="975" spans="2:8" x14ac:dyDescent="0.3">
      <c r="B975" s="59"/>
      <c r="C975" s="56" t="s">
        <v>219</v>
      </c>
      <c r="D975" s="59"/>
      <c r="E975" s="64">
        <v>0.8</v>
      </c>
      <c r="F975" s="64">
        <v>1</v>
      </c>
      <c r="G975" s="64">
        <v>1</v>
      </c>
      <c r="H975" s="64">
        <f>G975*F975*E975*2</f>
        <v>1.6</v>
      </c>
    </row>
    <row r="976" spans="2:8" x14ac:dyDescent="0.3">
      <c r="B976" s="411" t="s">
        <v>55</v>
      </c>
      <c r="C976" s="411"/>
      <c r="D976" s="411"/>
      <c r="E976" s="411"/>
      <c r="F976" s="411"/>
      <c r="G976" s="411"/>
      <c r="H976" s="64">
        <f>SUM(H974:H975)</f>
        <v>6.6400000000000006</v>
      </c>
    </row>
    <row r="977" spans="2:8" x14ac:dyDescent="0.3">
      <c r="B977" s="59" t="s">
        <v>814</v>
      </c>
      <c r="C977" s="56" t="s">
        <v>101</v>
      </c>
      <c r="D977" s="417"/>
      <c r="E977" s="417"/>
      <c r="F977" s="417"/>
      <c r="G977" s="417"/>
      <c r="H977" s="417"/>
    </row>
    <row r="978" spans="2:8" x14ac:dyDescent="0.3">
      <c r="B978" s="59"/>
      <c r="C978" s="56" t="s">
        <v>218</v>
      </c>
      <c r="D978" s="59"/>
      <c r="E978" s="64">
        <v>0.9</v>
      </c>
      <c r="F978" s="64">
        <v>2.1</v>
      </c>
      <c r="G978" s="64">
        <v>2</v>
      </c>
      <c r="H978" s="64">
        <f>G978*F978*E978*3</f>
        <v>11.34</v>
      </c>
    </row>
    <row r="979" spans="2:8" x14ac:dyDescent="0.3">
      <c r="B979" s="59"/>
      <c r="C979" s="56" t="s">
        <v>218</v>
      </c>
      <c r="D979" s="59"/>
      <c r="E979" s="64">
        <v>0.6</v>
      </c>
      <c r="F979" s="64">
        <v>2.1</v>
      </c>
      <c r="G979" s="64">
        <v>3</v>
      </c>
      <c r="H979" s="64">
        <f>G979*F979*E979*3</f>
        <v>11.34</v>
      </c>
    </row>
    <row r="980" spans="2:8" x14ac:dyDescent="0.3">
      <c r="B980" s="59"/>
      <c r="C980" s="56" t="s">
        <v>219</v>
      </c>
      <c r="D980" s="59"/>
      <c r="E980" s="64">
        <v>2.5</v>
      </c>
      <c r="F980" s="64">
        <v>0.7</v>
      </c>
      <c r="G980" s="64">
        <v>1</v>
      </c>
      <c r="H980" s="64">
        <f>G980*F980*E980*2</f>
        <v>3.5</v>
      </c>
    </row>
    <row r="981" spans="2:8" x14ac:dyDescent="0.3">
      <c r="B981" s="411" t="s">
        <v>55</v>
      </c>
      <c r="C981" s="411"/>
      <c r="D981" s="411"/>
      <c r="E981" s="411"/>
      <c r="F981" s="411"/>
      <c r="G981" s="411"/>
      <c r="H981" s="64">
        <f>SUM(H978:H980)</f>
        <v>26.18</v>
      </c>
    </row>
    <row r="982" spans="2:8" x14ac:dyDescent="0.3">
      <c r="B982" s="59" t="s">
        <v>815</v>
      </c>
      <c r="C982" s="56" t="s">
        <v>104</v>
      </c>
      <c r="D982" s="417"/>
      <c r="E982" s="417"/>
      <c r="F982" s="417"/>
      <c r="G982" s="417"/>
      <c r="H982" s="417"/>
    </row>
    <row r="983" spans="2:8" x14ac:dyDescent="0.3">
      <c r="B983" s="59"/>
      <c r="C983" s="56" t="s">
        <v>218</v>
      </c>
      <c r="D983" s="59"/>
      <c r="E983" s="64">
        <v>0.9</v>
      </c>
      <c r="F983" s="64">
        <v>2.1</v>
      </c>
      <c r="G983" s="64">
        <v>2</v>
      </c>
      <c r="H983" s="64">
        <f>G983*F983*E983*3</f>
        <v>11.34</v>
      </c>
    </row>
    <row r="984" spans="2:8" x14ac:dyDescent="0.3">
      <c r="B984" s="59"/>
      <c r="C984" s="56" t="s">
        <v>218</v>
      </c>
      <c r="D984" s="59"/>
      <c r="E984" s="64">
        <v>0.6</v>
      </c>
      <c r="F984" s="64">
        <v>2.1</v>
      </c>
      <c r="G984" s="64">
        <v>3</v>
      </c>
      <c r="H984" s="64">
        <f>G984*F984*E984*3</f>
        <v>11.34</v>
      </c>
    </row>
    <row r="985" spans="2:8" x14ac:dyDescent="0.3">
      <c r="B985" s="59"/>
      <c r="C985" s="56" t="s">
        <v>219</v>
      </c>
      <c r="D985" s="59"/>
      <c r="E985" s="64">
        <v>2.5</v>
      </c>
      <c r="F985" s="64">
        <v>0.7</v>
      </c>
      <c r="G985" s="64">
        <v>1</v>
      </c>
      <c r="H985" s="64">
        <f>G985*F985*E985*2</f>
        <v>3.5</v>
      </c>
    </row>
    <row r="986" spans="2:8" x14ac:dyDescent="0.3">
      <c r="B986" s="411" t="s">
        <v>55</v>
      </c>
      <c r="C986" s="411"/>
      <c r="D986" s="411"/>
      <c r="E986" s="411"/>
      <c r="F986" s="411"/>
      <c r="G986" s="411"/>
      <c r="H986" s="64">
        <f>SUM(H983:H985)</f>
        <v>26.18</v>
      </c>
    </row>
    <row r="987" spans="2:8" x14ac:dyDescent="0.3">
      <c r="B987" s="59" t="s">
        <v>816</v>
      </c>
      <c r="C987" s="56" t="s">
        <v>224</v>
      </c>
      <c r="D987" s="417"/>
      <c r="E987" s="417"/>
      <c r="F987" s="417"/>
      <c r="G987" s="417"/>
      <c r="H987" s="417"/>
    </row>
    <row r="988" spans="2:8" x14ac:dyDescent="0.3">
      <c r="B988" s="59"/>
      <c r="C988" s="56" t="s">
        <v>218</v>
      </c>
      <c r="D988" s="59"/>
      <c r="E988" s="64">
        <v>0.9</v>
      </c>
      <c r="F988" s="64">
        <v>2.1</v>
      </c>
      <c r="G988" s="64">
        <v>1</v>
      </c>
      <c r="H988" s="64">
        <f>G988*F988*E988*3</f>
        <v>5.67</v>
      </c>
    </row>
    <row r="989" spans="2:8" x14ac:dyDescent="0.3">
      <c r="B989" s="59"/>
      <c r="C989" s="56" t="s">
        <v>219</v>
      </c>
      <c r="D989" s="59"/>
      <c r="E989" s="64">
        <v>2.5</v>
      </c>
      <c r="F989" s="64">
        <v>1.5</v>
      </c>
      <c r="G989" s="64">
        <v>2</v>
      </c>
      <c r="H989" s="64">
        <f>G989*F989*E989*2</f>
        <v>15</v>
      </c>
    </row>
    <row r="990" spans="2:8" x14ac:dyDescent="0.3">
      <c r="B990" s="59"/>
      <c r="C990" s="56" t="s">
        <v>219</v>
      </c>
      <c r="D990" s="59"/>
      <c r="E990" s="64">
        <v>2.5</v>
      </c>
      <c r="F990" s="64">
        <v>0.7</v>
      </c>
      <c r="G990" s="64">
        <v>1</v>
      </c>
      <c r="H990" s="64">
        <f>G990*F990*E990*2</f>
        <v>3.5</v>
      </c>
    </row>
    <row r="991" spans="2:8" x14ac:dyDescent="0.3">
      <c r="B991" s="411" t="s">
        <v>55</v>
      </c>
      <c r="C991" s="411"/>
      <c r="D991" s="411"/>
      <c r="E991" s="411"/>
      <c r="F991" s="411"/>
      <c r="G991" s="411"/>
      <c r="H991" s="64">
        <f>SUM(H988:H990)</f>
        <v>24.17</v>
      </c>
    </row>
    <row r="992" spans="2:8" x14ac:dyDescent="0.3">
      <c r="B992" s="59" t="s">
        <v>817</v>
      </c>
      <c r="C992" s="56" t="s">
        <v>107</v>
      </c>
      <c r="D992" s="417"/>
      <c r="E992" s="417"/>
      <c r="F992" s="417"/>
      <c r="G992" s="417"/>
      <c r="H992" s="417"/>
    </row>
    <row r="993" spans="2:8" x14ac:dyDescent="0.3">
      <c r="B993" s="59"/>
      <c r="C993" s="56" t="s">
        <v>218</v>
      </c>
      <c r="D993" s="59"/>
      <c r="E993" s="64">
        <v>0.9</v>
      </c>
      <c r="F993" s="64">
        <v>2.1</v>
      </c>
      <c r="G993" s="64">
        <v>1</v>
      </c>
      <c r="H993" s="64">
        <f>G993*F993*E993*3</f>
        <v>5.67</v>
      </c>
    </row>
    <row r="994" spans="2:8" x14ac:dyDescent="0.3">
      <c r="B994" s="59"/>
      <c r="C994" s="56" t="s">
        <v>219</v>
      </c>
      <c r="D994" s="59"/>
      <c r="E994" s="64">
        <v>2.5</v>
      </c>
      <c r="F994" s="64">
        <v>1.5</v>
      </c>
      <c r="G994" s="64">
        <v>2</v>
      </c>
      <c r="H994" s="64">
        <f>G994*F994*E994*2</f>
        <v>15</v>
      </c>
    </row>
    <row r="995" spans="2:8" x14ac:dyDescent="0.3">
      <c r="B995" s="59"/>
      <c r="C995" s="56" t="s">
        <v>219</v>
      </c>
      <c r="D995" s="59"/>
      <c r="E995" s="64">
        <v>2.5</v>
      </c>
      <c r="F995" s="64">
        <v>0.7</v>
      </c>
      <c r="G995" s="64">
        <v>1</v>
      </c>
      <c r="H995" s="64">
        <f>G995*F995*E995*2</f>
        <v>3.5</v>
      </c>
    </row>
    <row r="996" spans="2:8" x14ac:dyDescent="0.3">
      <c r="B996" s="411" t="s">
        <v>55</v>
      </c>
      <c r="C996" s="411"/>
      <c r="D996" s="411"/>
      <c r="E996" s="411"/>
      <c r="F996" s="411"/>
      <c r="G996" s="411"/>
      <c r="H996" s="64">
        <f>SUM(H993:H995)</f>
        <v>24.17</v>
      </c>
    </row>
    <row r="997" spans="2:8" x14ac:dyDescent="0.3">
      <c r="B997" s="59" t="s">
        <v>818</v>
      </c>
      <c r="C997" s="56" t="s">
        <v>108</v>
      </c>
      <c r="D997" s="417"/>
      <c r="E997" s="417"/>
      <c r="F997" s="417"/>
      <c r="G997" s="417"/>
      <c r="H997" s="417"/>
    </row>
    <row r="998" spans="2:8" x14ac:dyDescent="0.3">
      <c r="B998" s="59"/>
      <c r="C998" s="56" t="s">
        <v>218</v>
      </c>
      <c r="D998" s="59"/>
      <c r="E998" s="64">
        <v>0.9</v>
      </c>
      <c r="F998" s="64">
        <v>2.1</v>
      </c>
      <c r="G998" s="64">
        <v>1</v>
      </c>
      <c r="H998" s="64">
        <f>G998*F998*E998*3</f>
        <v>5.67</v>
      </c>
    </row>
    <row r="999" spans="2:8" x14ac:dyDescent="0.3">
      <c r="B999" s="59"/>
      <c r="C999" s="56" t="s">
        <v>219</v>
      </c>
      <c r="D999" s="59"/>
      <c r="E999" s="64">
        <v>2.5</v>
      </c>
      <c r="F999" s="64">
        <v>1.5</v>
      </c>
      <c r="G999" s="64">
        <v>2</v>
      </c>
      <c r="H999" s="64">
        <f>G999*F999*E999*2</f>
        <v>15</v>
      </c>
    </row>
    <row r="1000" spans="2:8" x14ac:dyDescent="0.3">
      <c r="B1000" s="59"/>
      <c r="C1000" s="56" t="s">
        <v>219</v>
      </c>
      <c r="D1000" s="59"/>
      <c r="E1000" s="64">
        <v>2.5</v>
      </c>
      <c r="F1000" s="64">
        <v>0.7</v>
      </c>
      <c r="G1000" s="64">
        <v>1</v>
      </c>
      <c r="H1000" s="64">
        <f>G1000*F1000*E1000*2</f>
        <v>3.5</v>
      </c>
    </row>
    <row r="1001" spans="2:8" x14ac:dyDescent="0.3">
      <c r="B1001" s="411" t="s">
        <v>55</v>
      </c>
      <c r="C1001" s="411"/>
      <c r="D1001" s="411"/>
      <c r="E1001" s="411"/>
      <c r="F1001" s="411"/>
      <c r="G1001" s="411"/>
      <c r="H1001" s="64">
        <f>SUM(H998:H1000)</f>
        <v>24.17</v>
      </c>
    </row>
    <row r="1002" spans="2:8" x14ac:dyDescent="0.3">
      <c r="B1002" s="59" t="s">
        <v>819</v>
      </c>
      <c r="C1002" s="56" t="s">
        <v>109</v>
      </c>
      <c r="D1002" s="417"/>
      <c r="E1002" s="417"/>
      <c r="F1002" s="417"/>
      <c r="G1002" s="417"/>
      <c r="H1002" s="417"/>
    </row>
    <row r="1003" spans="2:8" x14ac:dyDescent="0.3">
      <c r="B1003" s="59"/>
      <c r="C1003" s="56" t="s">
        <v>218</v>
      </c>
      <c r="D1003" s="59"/>
      <c r="E1003" s="64">
        <v>0.9</v>
      </c>
      <c r="F1003" s="64">
        <v>2.1</v>
      </c>
      <c r="G1003" s="64">
        <v>1</v>
      </c>
      <c r="H1003" s="64">
        <f>G1003*F1003*E1003*3</f>
        <v>5.67</v>
      </c>
    </row>
    <row r="1004" spans="2:8" x14ac:dyDescent="0.3">
      <c r="B1004" s="59"/>
      <c r="C1004" s="56" t="s">
        <v>219</v>
      </c>
      <c r="D1004" s="59"/>
      <c r="E1004" s="64">
        <v>1.5</v>
      </c>
      <c r="F1004" s="64">
        <v>1.5</v>
      </c>
      <c r="G1004" s="64">
        <v>1</v>
      </c>
      <c r="H1004" s="64">
        <f>G1004*F1004*E1004*2</f>
        <v>4.5</v>
      </c>
    </row>
    <row r="1005" spans="2:8" x14ac:dyDescent="0.3">
      <c r="B1005" s="411" t="s">
        <v>55</v>
      </c>
      <c r="C1005" s="411"/>
      <c r="D1005" s="411"/>
      <c r="E1005" s="411"/>
      <c r="F1005" s="411"/>
      <c r="G1005" s="411"/>
      <c r="H1005" s="64">
        <f>SUM(H1003:H1004)</f>
        <v>10.17</v>
      </c>
    </row>
    <row r="1006" spans="2:8" x14ac:dyDescent="0.3">
      <c r="B1006" s="59" t="s">
        <v>820</v>
      </c>
      <c r="C1006" s="56" t="s">
        <v>225</v>
      </c>
      <c r="D1006" s="417"/>
      <c r="E1006" s="417"/>
      <c r="F1006" s="417"/>
      <c r="G1006" s="417"/>
      <c r="H1006" s="417"/>
    </row>
    <row r="1007" spans="2:8" x14ac:dyDescent="0.3">
      <c r="B1007" s="59"/>
      <c r="C1007" s="56" t="s">
        <v>218</v>
      </c>
      <c r="D1007" s="59"/>
      <c r="E1007" s="64">
        <v>0.9</v>
      </c>
      <c r="F1007" s="64">
        <v>2.1</v>
      </c>
      <c r="G1007" s="64">
        <v>2</v>
      </c>
      <c r="H1007" s="64">
        <f>G1007*F1007*E1007*3</f>
        <v>11.34</v>
      </c>
    </row>
    <row r="1008" spans="2:8" x14ac:dyDescent="0.3">
      <c r="B1008" s="59"/>
      <c r="C1008" s="56" t="s">
        <v>219</v>
      </c>
      <c r="D1008" s="59"/>
      <c r="E1008" s="64">
        <v>2.5</v>
      </c>
      <c r="F1008" s="64">
        <v>0.7</v>
      </c>
      <c r="G1008" s="64">
        <v>1</v>
      </c>
      <c r="H1008" s="64">
        <f>G1008*F1008*E1008*2</f>
        <v>3.5</v>
      </c>
    </row>
    <row r="1009" spans="2:8" ht="15.75" customHeight="1" x14ac:dyDescent="0.3">
      <c r="B1009" s="411" t="s">
        <v>55</v>
      </c>
      <c r="C1009" s="411"/>
      <c r="D1009" s="411"/>
      <c r="E1009" s="411"/>
      <c r="F1009" s="411"/>
      <c r="G1009" s="411"/>
      <c r="H1009" s="64">
        <f>SUM(H1007:H1008)</f>
        <v>14.84</v>
      </c>
    </row>
    <row r="1010" spans="2:8" x14ac:dyDescent="0.3">
      <c r="B1010" s="59" t="s">
        <v>821</v>
      </c>
      <c r="C1010" s="56" t="s">
        <v>112</v>
      </c>
      <c r="D1010" s="417"/>
      <c r="E1010" s="417"/>
      <c r="F1010" s="417"/>
      <c r="G1010" s="417"/>
      <c r="H1010" s="417"/>
    </row>
    <row r="1011" spans="2:8" x14ac:dyDescent="0.3">
      <c r="B1011" s="59"/>
      <c r="C1011" s="56" t="s">
        <v>218</v>
      </c>
      <c r="D1011" s="59"/>
      <c r="E1011" s="64">
        <v>0.7</v>
      </c>
      <c r="F1011" s="64">
        <v>2.1</v>
      </c>
      <c r="G1011" s="64">
        <v>1</v>
      </c>
      <c r="H1011" s="64">
        <f>G1011*F1011*E1011*3</f>
        <v>4.41</v>
      </c>
    </row>
    <row r="1012" spans="2:8" x14ac:dyDescent="0.3">
      <c r="B1012" s="59"/>
      <c r="C1012" s="56" t="s">
        <v>219</v>
      </c>
      <c r="D1012" s="59"/>
      <c r="E1012" s="64">
        <v>1</v>
      </c>
      <c r="F1012" s="64">
        <v>0.7</v>
      </c>
      <c r="G1012" s="64">
        <v>1</v>
      </c>
      <c r="H1012" s="64">
        <f>G1012*F1012*E1012*2</f>
        <v>1.4</v>
      </c>
    </row>
    <row r="1013" spans="2:8" x14ac:dyDescent="0.3">
      <c r="B1013" s="411" t="s">
        <v>55</v>
      </c>
      <c r="C1013" s="411"/>
      <c r="D1013" s="411"/>
      <c r="E1013" s="411"/>
      <c r="F1013" s="411"/>
      <c r="G1013" s="411"/>
      <c r="H1013" s="64">
        <f>SUM(H1011:H1012)</f>
        <v>5.8100000000000005</v>
      </c>
    </row>
    <row r="1014" spans="2:8" x14ac:dyDescent="0.3">
      <c r="B1014" s="59" t="s">
        <v>822</v>
      </c>
      <c r="C1014" s="56" t="s">
        <v>113</v>
      </c>
      <c r="D1014" s="417"/>
      <c r="E1014" s="417"/>
      <c r="F1014" s="417"/>
      <c r="G1014" s="417"/>
      <c r="H1014" s="417"/>
    </row>
    <row r="1015" spans="2:8" x14ac:dyDescent="0.3">
      <c r="B1015" s="59"/>
      <c r="C1015" s="56" t="s">
        <v>218</v>
      </c>
      <c r="D1015" s="59"/>
      <c r="E1015" s="64">
        <v>0.7</v>
      </c>
      <c r="F1015" s="64">
        <v>2.1</v>
      </c>
      <c r="G1015" s="64">
        <v>1</v>
      </c>
      <c r="H1015" s="64">
        <f>G1015*F1015*E1015*3</f>
        <v>4.41</v>
      </c>
    </row>
    <row r="1016" spans="2:8" x14ac:dyDescent="0.3">
      <c r="B1016" s="59"/>
      <c r="C1016" s="56" t="s">
        <v>219</v>
      </c>
      <c r="D1016" s="59"/>
      <c r="E1016" s="64">
        <v>0.5</v>
      </c>
      <c r="F1016" s="64">
        <v>0.5</v>
      </c>
      <c r="G1016" s="64">
        <v>1</v>
      </c>
      <c r="H1016" s="64">
        <f>G1016*F1016*E1016*2</f>
        <v>0.5</v>
      </c>
    </row>
    <row r="1017" spans="2:8" x14ac:dyDescent="0.3">
      <c r="B1017" s="411" t="s">
        <v>55</v>
      </c>
      <c r="C1017" s="411"/>
      <c r="D1017" s="411"/>
      <c r="E1017" s="411"/>
      <c r="F1017" s="411"/>
      <c r="G1017" s="411"/>
      <c r="H1017" s="64">
        <f>SUM(H1015:H1016)</f>
        <v>4.91</v>
      </c>
    </row>
    <row r="1018" spans="2:8" x14ac:dyDescent="0.3">
      <c r="B1018" s="59" t="s">
        <v>823</v>
      </c>
      <c r="C1018" s="56" t="s">
        <v>114</v>
      </c>
      <c r="D1018" s="417"/>
      <c r="E1018" s="417"/>
      <c r="F1018" s="417"/>
      <c r="G1018" s="417"/>
      <c r="H1018" s="417"/>
    </row>
    <row r="1019" spans="2:8" x14ac:dyDescent="0.3">
      <c r="B1019" s="59"/>
      <c r="C1019" s="56" t="s">
        <v>218</v>
      </c>
      <c r="D1019" s="59"/>
      <c r="E1019" s="64">
        <v>0.9</v>
      </c>
      <c r="F1019" s="64">
        <v>2.1</v>
      </c>
      <c r="G1019" s="64">
        <v>1</v>
      </c>
      <c r="H1019" s="64">
        <f>G1019*F1019*E1019*3</f>
        <v>5.67</v>
      </c>
    </row>
    <row r="1020" spans="2:8" x14ac:dyDescent="0.3">
      <c r="B1020" s="59"/>
      <c r="C1020" s="56" t="s">
        <v>219</v>
      </c>
      <c r="D1020" s="59"/>
      <c r="E1020" s="64">
        <v>2.5</v>
      </c>
      <c r="F1020" s="64">
        <v>0.7</v>
      </c>
      <c r="G1020" s="64">
        <v>1</v>
      </c>
      <c r="H1020" s="64">
        <f>G1020*F1020*E1020*2</f>
        <v>3.5</v>
      </c>
    </row>
    <row r="1021" spans="2:8" x14ac:dyDescent="0.3">
      <c r="B1021" s="411" t="s">
        <v>55</v>
      </c>
      <c r="C1021" s="411"/>
      <c r="D1021" s="411"/>
      <c r="E1021" s="411"/>
      <c r="F1021" s="411"/>
      <c r="G1021" s="411"/>
      <c r="H1021" s="64">
        <f>SUM(H1019:H1020)</f>
        <v>9.17</v>
      </c>
    </row>
    <row r="1022" spans="2:8" x14ac:dyDescent="0.3">
      <c r="B1022" s="59" t="s">
        <v>824</v>
      </c>
      <c r="C1022" s="56" t="s">
        <v>116</v>
      </c>
      <c r="D1022" s="417"/>
      <c r="E1022" s="417"/>
      <c r="F1022" s="417"/>
      <c r="G1022" s="417"/>
      <c r="H1022" s="417"/>
    </row>
    <row r="1023" spans="2:8" x14ac:dyDescent="0.3">
      <c r="B1023" s="59"/>
      <c r="C1023" s="56" t="s">
        <v>218</v>
      </c>
      <c r="D1023" s="59"/>
      <c r="E1023" s="64">
        <v>0.9</v>
      </c>
      <c r="F1023" s="64">
        <v>2.1</v>
      </c>
      <c r="G1023" s="64">
        <v>1</v>
      </c>
      <c r="H1023" s="64">
        <f>G1023*F1023*E1023*3</f>
        <v>5.67</v>
      </c>
    </row>
    <row r="1024" spans="2:8" x14ac:dyDescent="0.3">
      <c r="B1024" s="59"/>
      <c r="C1024" s="56" t="s">
        <v>219</v>
      </c>
      <c r="D1024" s="59"/>
      <c r="E1024" s="64">
        <v>1.5</v>
      </c>
      <c r="F1024" s="64">
        <v>1.5</v>
      </c>
      <c r="G1024" s="64">
        <v>1</v>
      </c>
      <c r="H1024" s="64">
        <f>G1024*F1024*E1024*2</f>
        <v>4.5</v>
      </c>
    </row>
    <row r="1025" spans="2:8" x14ac:dyDescent="0.3">
      <c r="B1025" s="411" t="s">
        <v>55</v>
      </c>
      <c r="C1025" s="411"/>
      <c r="D1025" s="411"/>
      <c r="E1025" s="411"/>
      <c r="F1025" s="411"/>
      <c r="G1025" s="411"/>
      <c r="H1025" s="64">
        <f>SUM(H1023:H1024)</f>
        <v>10.17</v>
      </c>
    </row>
    <row r="1026" spans="2:8" x14ac:dyDescent="0.3">
      <c r="B1026" s="59" t="s">
        <v>825</v>
      </c>
      <c r="C1026" s="56" t="s">
        <v>118</v>
      </c>
      <c r="D1026" s="417"/>
      <c r="E1026" s="417"/>
      <c r="F1026" s="417"/>
      <c r="G1026" s="417"/>
      <c r="H1026" s="417"/>
    </row>
    <row r="1027" spans="2:8" x14ac:dyDescent="0.3">
      <c r="B1027" s="59"/>
      <c r="C1027" s="56" t="s">
        <v>226</v>
      </c>
      <c r="D1027" s="59"/>
      <c r="E1027" s="64">
        <v>2</v>
      </c>
      <c r="F1027" s="64">
        <v>2.5</v>
      </c>
      <c r="G1027" s="64">
        <v>1</v>
      </c>
      <c r="H1027" s="64">
        <f>G1027*F1027*E1027*2</f>
        <v>10</v>
      </c>
    </row>
    <row r="1028" spans="2:8" x14ac:dyDescent="0.3">
      <c r="B1028" s="59"/>
      <c r="C1028" s="56" t="s">
        <v>226</v>
      </c>
      <c r="D1028" s="59"/>
      <c r="E1028" s="64">
        <v>2.5</v>
      </c>
      <c r="F1028" s="64">
        <v>2.5</v>
      </c>
      <c r="G1028" s="64">
        <v>1</v>
      </c>
      <c r="H1028" s="64">
        <f>G1028*F1028*E1028*2</f>
        <v>12.5</v>
      </c>
    </row>
    <row r="1029" spans="2:8" x14ac:dyDescent="0.3">
      <c r="B1029" s="411" t="s">
        <v>55</v>
      </c>
      <c r="C1029" s="411"/>
      <c r="D1029" s="411"/>
      <c r="E1029" s="411"/>
      <c r="F1029" s="411"/>
      <c r="G1029" s="411"/>
      <c r="H1029" s="64">
        <f>SUM(H1027:H1028)</f>
        <v>22.5</v>
      </c>
    </row>
    <row r="1030" spans="2:8" x14ac:dyDescent="0.3">
      <c r="B1030" s="59" t="s">
        <v>826</v>
      </c>
      <c r="C1030" s="56" t="s">
        <v>227</v>
      </c>
      <c r="D1030" s="417"/>
      <c r="E1030" s="417"/>
      <c r="F1030" s="417"/>
      <c r="G1030" s="417"/>
      <c r="H1030" s="417"/>
    </row>
    <row r="1031" spans="2:8" x14ac:dyDescent="0.3">
      <c r="B1031" s="59"/>
      <c r="C1031" s="56" t="s">
        <v>218</v>
      </c>
      <c r="D1031" s="59"/>
      <c r="E1031" s="64">
        <v>0.9</v>
      </c>
      <c r="F1031" s="64">
        <v>2.1</v>
      </c>
      <c r="G1031" s="64">
        <v>1</v>
      </c>
      <c r="H1031" s="64">
        <f>G1031*F1031*E1031*3</f>
        <v>5.67</v>
      </c>
    </row>
    <row r="1032" spans="2:8" x14ac:dyDescent="0.3">
      <c r="B1032" s="59"/>
      <c r="C1032" s="56" t="s">
        <v>219</v>
      </c>
      <c r="D1032" s="59"/>
      <c r="E1032" s="64">
        <v>2.5</v>
      </c>
      <c r="F1032" s="64">
        <v>1.5</v>
      </c>
      <c r="G1032" s="64">
        <v>2</v>
      </c>
      <c r="H1032" s="64">
        <f>G1032*F1032*E1032*2</f>
        <v>15</v>
      </c>
    </row>
    <row r="1033" spans="2:8" x14ac:dyDescent="0.3">
      <c r="B1033" s="59"/>
      <c r="C1033" s="56" t="s">
        <v>219</v>
      </c>
      <c r="D1033" s="59"/>
      <c r="E1033" s="64">
        <v>2.5</v>
      </c>
      <c r="F1033" s="64">
        <v>0.7</v>
      </c>
      <c r="G1033" s="64">
        <v>1</v>
      </c>
      <c r="H1033" s="64">
        <f>G1033*F1033*E1033*2</f>
        <v>3.5</v>
      </c>
    </row>
    <row r="1034" spans="2:8" x14ac:dyDescent="0.3">
      <c r="B1034" s="411" t="s">
        <v>55</v>
      </c>
      <c r="C1034" s="411"/>
      <c r="D1034" s="411"/>
      <c r="E1034" s="411"/>
      <c r="F1034" s="411"/>
      <c r="G1034" s="411"/>
      <c r="H1034" s="64">
        <f>SUM(H1031:H1033)</f>
        <v>24.17</v>
      </c>
    </row>
    <row r="1035" spans="2:8" x14ac:dyDescent="0.3">
      <c r="B1035" s="59" t="s">
        <v>827</v>
      </c>
      <c r="C1035" s="56" t="s">
        <v>228</v>
      </c>
      <c r="D1035" s="417"/>
      <c r="E1035" s="417"/>
      <c r="F1035" s="417"/>
      <c r="G1035" s="417"/>
      <c r="H1035" s="417"/>
    </row>
    <row r="1036" spans="2:8" x14ac:dyDescent="0.3">
      <c r="B1036" s="59"/>
      <c r="C1036" s="56" t="s">
        <v>218</v>
      </c>
      <c r="D1036" s="59"/>
      <c r="E1036" s="64">
        <v>0.9</v>
      </c>
      <c r="F1036" s="64">
        <v>2.1</v>
      </c>
      <c r="G1036" s="64">
        <v>1</v>
      </c>
      <c r="H1036" s="64">
        <f>G1036*F1036*E1036*3</f>
        <v>5.67</v>
      </c>
    </row>
    <row r="1037" spans="2:8" x14ac:dyDescent="0.3">
      <c r="B1037" s="59"/>
      <c r="C1037" s="56" t="s">
        <v>219</v>
      </c>
      <c r="D1037" s="59"/>
      <c r="E1037" s="64">
        <v>2.5</v>
      </c>
      <c r="F1037" s="64">
        <v>1.5</v>
      </c>
      <c r="G1037" s="64">
        <v>2</v>
      </c>
      <c r="H1037" s="64">
        <f>G1037*F1037*E1037*2</f>
        <v>15</v>
      </c>
    </row>
    <row r="1038" spans="2:8" x14ac:dyDescent="0.3">
      <c r="B1038" s="59"/>
      <c r="C1038" s="56" t="s">
        <v>219</v>
      </c>
      <c r="D1038" s="59"/>
      <c r="E1038" s="64">
        <v>2.5</v>
      </c>
      <c r="F1038" s="64">
        <v>0.7</v>
      </c>
      <c r="G1038" s="64">
        <v>1</v>
      </c>
      <c r="H1038" s="64">
        <f>G1038*F1038*E1038*2</f>
        <v>3.5</v>
      </c>
    </row>
    <row r="1039" spans="2:8" x14ac:dyDescent="0.3">
      <c r="B1039" s="411" t="s">
        <v>55</v>
      </c>
      <c r="C1039" s="411"/>
      <c r="D1039" s="411"/>
      <c r="E1039" s="411"/>
      <c r="F1039" s="411"/>
      <c r="G1039" s="411"/>
      <c r="H1039" s="64">
        <f>SUM(H1036:H1038)</f>
        <v>24.17</v>
      </c>
    </row>
    <row r="1040" spans="2:8" x14ac:dyDescent="0.3">
      <c r="B1040" s="59" t="s">
        <v>828</v>
      </c>
      <c r="C1040" s="56" t="s">
        <v>229</v>
      </c>
      <c r="D1040" s="417"/>
      <c r="E1040" s="417"/>
      <c r="F1040" s="417"/>
      <c r="G1040" s="417"/>
      <c r="H1040" s="417"/>
    </row>
    <row r="1041" spans="2:8" x14ac:dyDescent="0.3">
      <c r="B1041" s="59"/>
      <c r="C1041" s="56" t="s">
        <v>218</v>
      </c>
      <c r="D1041" s="59"/>
      <c r="E1041" s="64">
        <v>0.9</v>
      </c>
      <c r="F1041" s="64">
        <v>2.1</v>
      </c>
      <c r="G1041" s="64">
        <v>1</v>
      </c>
      <c r="H1041" s="64">
        <f>G1041*F1041*E1041*3</f>
        <v>5.67</v>
      </c>
    </row>
    <row r="1042" spans="2:8" x14ac:dyDescent="0.3">
      <c r="B1042" s="59"/>
      <c r="C1042" s="56" t="s">
        <v>219</v>
      </c>
      <c r="D1042" s="59"/>
      <c r="E1042" s="64">
        <v>2.5</v>
      </c>
      <c r="F1042" s="64">
        <v>1.5</v>
      </c>
      <c r="G1042" s="64">
        <v>2</v>
      </c>
      <c r="H1042" s="64">
        <f>G1042*F1042*E1042*2</f>
        <v>15</v>
      </c>
    </row>
    <row r="1043" spans="2:8" x14ac:dyDescent="0.3">
      <c r="B1043" s="59"/>
      <c r="C1043" s="56" t="s">
        <v>219</v>
      </c>
      <c r="D1043" s="59"/>
      <c r="E1043" s="64">
        <v>2.5</v>
      </c>
      <c r="F1043" s="64">
        <v>0.7</v>
      </c>
      <c r="G1043" s="64">
        <v>1</v>
      </c>
      <c r="H1043" s="64">
        <f>G1043*F1043*E1043*2</f>
        <v>3.5</v>
      </c>
    </row>
    <row r="1044" spans="2:8" x14ac:dyDescent="0.3">
      <c r="B1044" s="411" t="s">
        <v>55</v>
      </c>
      <c r="C1044" s="411"/>
      <c r="D1044" s="411"/>
      <c r="E1044" s="411"/>
      <c r="F1044" s="411"/>
      <c r="G1044" s="411"/>
      <c r="H1044" s="64">
        <f>SUM(H1041:H1043)</f>
        <v>24.17</v>
      </c>
    </row>
    <row r="1045" spans="2:8" x14ac:dyDescent="0.3">
      <c r="B1045" s="59" t="s">
        <v>829</v>
      </c>
      <c r="C1045" s="56" t="s">
        <v>230</v>
      </c>
      <c r="D1045" s="417"/>
      <c r="E1045" s="417"/>
      <c r="F1045" s="417"/>
      <c r="G1045" s="417"/>
      <c r="H1045" s="417"/>
    </row>
    <row r="1046" spans="2:8" x14ac:dyDescent="0.3">
      <c r="B1046" s="59"/>
      <c r="C1046" s="56" t="s">
        <v>218</v>
      </c>
      <c r="D1046" s="59"/>
      <c r="E1046" s="64">
        <v>0.9</v>
      </c>
      <c r="F1046" s="64">
        <v>2.1</v>
      </c>
      <c r="G1046" s="64">
        <v>1</v>
      </c>
      <c r="H1046" s="64">
        <f>G1046*F1046*E1046*3</f>
        <v>5.67</v>
      </c>
    </row>
    <row r="1047" spans="2:8" x14ac:dyDescent="0.3">
      <c r="B1047" s="59"/>
      <c r="C1047" s="56" t="s">
        <v>219</v>
      </c>
      <c r="D1047" s="59"/>
      <c r="E1047" s="64">
        <v>2.5</v>
      </c>
      <c r="F1047" s="64">
        <v>1.5</v>
      </c>
      <c r="G1047" s="64">
        <v>2</v>
      </c>
      <c r="H1047" s="64">
        <f>G1047*F1047*E1047*2</f>
        <v>15</v>
      </c>
    </row>
    <row r="1048" spans="2:8" x14ac:dyDescent="0.3">
      <c r="B1048" s="59"/>
      <c r="C1048" s="56" t="s">
        <v>219</v>
      </c>
      <c r="D1048" s="59"/>
      <c r="E1048" s="64">
        <v>2.5</v>
      </c>
      <c r="F1048" s="64">
        <v>0.7</v>
      </c>
      <c r="G1048" s="64">
        <v>1</v>
      </c>
      <c r="H1048" s="64">
        <f>G1048*F1048*E1048*2</f>
        <v>3.5</v>
      </c>
    </row>
    <row r="1049" spans="2:8" x14ac:dyDescent="0.3">
      <c r="B1049" s="411" t="s">
        <v>55</v>
      </c>
      <c r="C1049" s="411"/>
      <c r="D1049" s="411"/>
      <c r="E1049" s="411"/>
      <c r="F1049" s="411"/>
      <c r="G1049" s="411"/>
      <c r="H1049" s="64">
        <f>SUM(H1046:H1048)</f>
        <v>24.17</v>
      </c>
    </row>
    <row r="1050" spans="2:8" x14ac:dyDescent="0.3">
      <c r="B1050" s="59" t="s">
        <v>830</v>
      </c>
      <c r="C1050" s="56" t="s">
        <v>302</v>
      </c>
      <c r="D1050" s="417"/>
      <c r="E1050" s="417"/>
      <c r="F1050" s="417"/>
      <c r="G1050" s="417"/>
      <c r="H1050" s="417"/>
    </row>
    <row r="1051" spans="2:8" x14ac:dyDescent="0.3">
      <c r="B1051" s="59"/>
      <c r="C1051" s="56" t="s">
        <v>218</v>
      </c>
      <c r="D1051" s="59"/>
      <c r="E1051" s="64">
        <v>0.9</v>
      </c>
      <c r="F1051" s="64">
        <v>2.1</v>
      </c>
      <c r="G1051" s="64">
        <v>1</v>
      </c>
      <c r="H1051" s="64">
        <f>G1051*F1051*E1051*3</f>
        <v>5.67</v>
      </c>
    </row>
    <row r="1052" spans="2:8" x14ac:dyDescent="0.3">
      <c r="B1052" s="59"/>
      <c r="C1052" s="56" t="s">
        <v>219</v>
      </c>
      <c r="D1052" s="59"/>
      <c r="E1052" s="64">
        <v>2.5</v>
      </c>
      <c r="F1052" s="64">
        <v>1.5</v>
      </c>
      <c r="G1052" s="64">
        <v>2</v>
      </c>
      <c r="H1052" s="64">
        <f>G1052*F1052*E1052*2</f>
        <v>15</v>
      </c>
    </row>
    <row r="1053" spans="2:8" x14ac:dyDescent="0.3">
      <c r="B1053" s="411" t="s">
        <v>55</v>
      </c>
      <c r="C1053" s="411"/>
      <c r="D1053" s="411"/>
      <c r="E1053" s="411"/>
      <c r="F1053" s="411"/>
      <c r="G1053" s="411"/>
      <c r="H1053" s="64">
        <f>SUM(H1051:H1052)</f>
        <v>20.67</v>
      </c>
    </row>
    <row r="1054" spans="2:8" x14ac:dyDescent="0.3">
      <c r="B1054" s="59" t="s">
        <v>831</v>
      </c>
      <c r="C1054" s="72" t="s">
        <v>124</v>
      </c>
      <c r="D1054" s="417"/>
      <c r="E1054" s="417"/>
      <c r="F1054" s="417"/>
      <c r="G1054" s="417"/>
      <c r="H1054" s="417"/>
    </row>
    <row r="1055" spans="2:8" x14ac:dyDescent="0.3">
      <c r="B1055" s="59"/>
      <c r="C1055" s="72" t="s">
        <v>231</v>
      </c>
      <c r="D1055" s="59"/>
      <c r="E1055" s="64">
        <v>2.85</v>
      </c>
      <c r="F1055" s="64">
        <v>2.1</v>
      </c>
      <c r="G1055" s="64">
        <v>1</v>
      </c>
      <c r="H1055" s="64">
        <f>G1055*F1055*E1055*2</f>
        <v>11.97</v>
      </c>
    </row>
    <row r="1056" spans="2:8" x14ac:dyDescent="0.3">
      <c r="B1056" s="411" t="s">
        <v>55</v>
      </c>
      <c r="C1056" s="411"/>
      <c r="D1056" s="411"/>
      <c r="E1056" s="411"/>
      <c r="F1056" s="411"/>
      <c r="G1056" s="411"/>
      <c r="H1056" s="64">
        <f>SUM(H1055)</f>
        <v>11.97</v>
      </c>
    </row>
    <row r="1057" spans="2:8" x14ac:dyDescent="0.3">
      <c r="B1057" s="59" t="s">
        <v>832</v>
      </c>
      <c r="C1057" s="78" t="s">
        <v>289</v>
      </c>
      <c r="D1057" s="59"/>
      <c r="E1057" s="417" t="s">
        <v>293</v>
      </c>
      <c r="F1057" s="417"/>
      <c r="G1057" s="417"/>
      <c r="H1057" s="64" t="s">
        <v>294</v>
      </c>
    </row>
    <row r="1058" spans="2:8" x14ac:dyDescent="0.3">
      <c r="B1058" s="59"/>
      <c r="C1058" s="78" t="s">
        <v>290</v>
      </c>
      <c r="D1058" s="59"/>
      <c r="E1058" s="417" t="s">
        <v>296</v>
      </c>
      <c r="F1058" s="417"/>
      <c r="G1058" s="417"/>
      <c r="H1058" s="64">
        <f>2*3.14*0.55*6</f>
        <v>20.724000000000004</v>
      </c>
    </row>
    <row r="1059" spans="2:8" x14ac:dyDescent="0.3">
      <c r="B1059" s="59"/>
      <c r="C1059" s="78" t="s">
        <v>291</v>
      </c>
      <c r="D1059" s="59"/>
      <c r="E1059" s="417" t="s">
        <v>295</v>
      </c>
      <c r="F1059" s="417"/>
      <c r="G1059" s="417"/>
      <c r="H1059" s="64">
        <f>3.14*0.57*(0.955+0.55)</f>
        <v>2.6936489999999997</v>
      </c>
    </row>
    <row r="1060" spans="2:8" x14ac:dyDescent="0.3">
      <c r="B1060" s="59"/>
      <c r="C1060" s="78" t="s">
        <v>292</v>
      </c>
      <c r="D1060" s="59"/>
      <c r="E1060" s="417" t="s">
        <v>297</v>
      </c>
      <c r="F1060" s="417"/>
      <c r="G1060" s="417"/>
      <c r="H1060" s="64">
        <f>2*3.14*0.955*3</f>
        <v>17.9922</v>
      </c>
    </row>
    <row r="1061" spans="2:8" x14ac:dyDescent="0.3">
      <c r="B1061" s="411" t="s">
        <v>55</v>
      </c>
      <c r="C1061" s="411"/>
      <c r="D1061" s="411"/>
      <c r="E1061" s="411"/>
      <c r="F1061" s="411"/>
      <c r="G1061" s="411"/>
      <c r="H1061" s="64">
        <f>SUM(H1058:H1060)</f>
        <v>41.409849000000008</v>
      </c>
    </row>
    <row r="1062" spans="2:8" x14ac:dyDescent="0.3">
      <c r="B1062" s="411" t="s">
        <v>9</v>
      </c>
      <c r="C1062" s="411"/>
      <c r="D1062" s="411"/>
      <c r="E1062" s="411"/>
      <c r="F1062" s="411"/>
      <c r="G1062" s="411"/>
      <c r="H1062" s="51">
        <f>H1056+H972+H1049+H1044+H1039+H1034+H1029+H1025+H1021+H1017+H1013+H1009+H1005+H1001+H996+H991+H986+H981+H976+H969+H965+H960+H956+H953+H949+H945+H940+H935+H931+H927+H924+H920+H1061+H1053</f>
        <v>582.81984900000009</v>
      </c>
    </row>
    <row r="1063" spans="2:8" ht="33" x14ac:dyDescent="0.3">
      <c r="B1063" s="59" t="s">
        <v>724</v>
      </c>
      <c r="C1063" s="72" t="s">
        <v>206</v>
      </c>
      <c r="D1063" s="71" t="s">
        <v>175</v>
      </c>
      <c r="E1063" s="417"/>
      <c r="F1063" s="417"/>
      <c r="G1063" s="417"/>
      <c r="H1063" s="417"/>
    </row>
    <row r="1064" spans="2:8" x14ac:dyDescent="0.3">
      <c r="B1064" s="59" t="s">
        <v>833</v>
      </c>
      <c r="C1064" s="72" t="s">
        <v>168</v>
      </c>
      <c r="D1064" s="71"/>
      <c r="E1064" s="430">
        <v>1</v>
      </c>
      <c r="F1064" s="430"/>
      <c r="G1064" s="430"/>
      <c r="H1064" s="430"/>
    </row>
    <row r="1065" spans="2:8" x14ac:dyDescent="0.3">
      <c r="B1065" s="117" t="s">
        <v>834</v>
      </c>
      <c r="C1065" s="72" t="s">
        <v>213</v>
      </c>
      <c r="D1065" s="71"/>
      <c r="E1065" s="430">
        <v>1</v>
      </c>
      <c r="F1065" s="430"/>
      <c r="G1065" s="430"/>
      <c r="H1065" s="430"/>
    </row>
    <row r="1066" spans="2:8" x14ac:dyDescent="0.3">
      <c r="B1066" s="117" t="s">
        <v>835</v>
      </c>
      <c r="C1066" s="72" t="s">
        <v>302</v>
      </c>
      <c r="D1066" s="71"/>
      <c r="E1066" s="430">
        <v>1</v>
      </c>
      <c r="F1066" s="430"/>
      <c r="G1066" s="430"/>
      <c r="H1066" s="430"/>
    </row>
    <row r="1067" spans="2:8" x14ac:dyDescent="0.3">
      <c r="B1067" s="411" t="s">
        <v>9</v>
      </c>
      <c r="C1067" s="411"/>
      <c r="D1067" s="411"/>
      <c r="E1067" s="411"/>
      <c r="F1067" s="411"/>
      <c r="G1067" s="411"/>
      <c r="H1067" s="51">
        <f>SUM(E1064:H1066)</f>
        <v>3</v>
      </c>
    </row>
    <row r="1068" spans="2:8" x14ac:dyDescent="0.3">
      <c r="B1068" s="59" t="s">
        <v>725</v>
      </c>
      <c r="C1068" s="159" t="s">
        <v>208</v>
      </c>
      <c r="D1068" s="58" t="s">
        <v>195</v>
      </c>
      <c r="E1068" s="417" t="s">
        <v>98</v>
      </c>
      <c r="F1068" s="417"/>
      <c r="G1068" s="59" t="s">
        <v>210</v>
      </c>
      <c r="H1068" s="64" t="s">
        <v>100</v>
      </c>
    </row>
    <row r="1069" spans="2:8" ht="49.5" x14ac:dyDescent="0.3">
      <c r="B1069" s="59" t="s">
        <v>836</v>
      </c>
      <c r="C1069" s="145" t="s">
        <v>419</v>
      </c>
      <c r="D1069" s="59"/>
      <c r="E1069" s="430">
        <f>19+21.8+18+15.45+8+10.05+2.2+5.4+6.5+21.15+2.65+34.15+20.1+3.75+34.75</f>
        <v>222.95000000000002</v>
      </c>
      <c r="F1069" s="430"/>
      <c r="G1069" s="64">
        <v>0.5</v>
      </c>
      <c r="H1069" s="64">
        <f>G1069*E1069</f>
        <v>111.47500000000001</v>
      </c>
    </row>
    <row r="1070" spans="2:8" x14ac:dyDescent="0.3">
      <c r="B1070" s="117" t="s">
        <v>837</v>
      </c>
      <c r="C1070" s="57" t="s">
        <v>212</v>
      </c>
      <c r="D1070" s="59"/>
      <c r="E1070" s="430">
        <f>6.35+3.2</f>
        <v>9.5500000000000007</v>
      </c>
      <c r="F1070" s="430"/>
      <c r="G1070" s="64">
        <v>2.4</v>
      </c>
      <c r="H1070" s="64">
        <f t="shared" ref="H1070:H1071" si="33">G1070*E1070</f>
        <v>22.92</v>
      </c>
    </row>
    <row r="1071" spans="2:8" x14ac:dyDescent="0.3">
      <c r="B1071" s="117" t="s">
        <v>838</v>
      </c>
      <c r="C1071" s="57" t="s">
        <v>211</v>
      </c>
      <c r="D1071" s="59"/>
      <c r="E1071" s="430">
        <v>21.3</v>
      </c>
      <c r="F1071" s="430"/>
      <c r="G1071" s="64">
        <v>2</v>
      </c>
      <c r="H1071" s="64">
        <f t="shared" si="33"/>
        <v>42.6</v>
      </c>
    </row>
    <row r="1072" spans="2:8" ht="17.25" thickBot="1" x14ac:dyDescent="0.35">
      <c r="B1072" s="424" t="s">
        <v>9</v>
      </c>
      <c r="C1072" s="424"/>
      <c r="D1072" s="424"/>
      <c r="E1072" s="424"/>
      <c r="F1072" s="424"/>
      <c r="G1072" s="424"/>
      <c r="H1072" s="67">
        <f>SUM(H1069:H1071)</f>
        <v>176.995</v>
      </c>
    </row>
    <row r="1073" spans="2:8" ht="17.25" thickBot="1" x14ac:dyDescent="0.3">
      <c r="B1073" s="418" t="s">
        <v>25</v>
      </c>
      <c r="C1073" s="419"/>
      <c r="D1073" s="419"/>
      <c r="E1073" s="419"/>
      <c r="F1073" s="419"/>
      <c r="G1073" s="419"/>
      <c r="H1073" s="420"/>
    </row>
    <row r="1074" spans="2:8" x14ac:dyDescent="0.25">
      <c r="B1074" s="157" t="s">
        <v>726</v>
      </c>
      <c r="C1074" s="33" t="s">
        <v>256</v>
      </c>
      <c r="D1074" s="137"/>
      <c r="E1074" s="501"/>
      <c r="F1074" s="502"/>
      <c r="G1074" s="502"/>
      <c r="H1074" s="503"/>
    </row>
    <row r="1075" spans="2:8" x14ac:dyDescent="0.3">
      <c r="B1075" s="59" t="s">
        <v>727</v>
      </c>
      <c r="C1075" s="62" t="s">
        <v>42</v>
      </c>
      <c r="D1075" s="59" t="s">
        <v>195</v>
      </c>
      <c r="E1075" s="417">
        <v>1271.69</v>
      </c>
      <c r="F1075" s="417"/>
      <c r="G1075" s="417"/>
      <c r="H1075" s="417"/>
    </row>
    <row r="1076" spans="2:8" x14ac:dyDescent="0.3">
      <c r="B1076" s="151" t="s">
        <v>728</v>
      </c>
      <c r="C1076" s="37" t="s">
        <v>567</v>
      </c>
      <c r="D1076" s="36" t="s">
        <v>175</v>
      </c>
      <c r="E1076" s="504">
        <v>1</v>
      </c>
      <c r="F1076" s="505"/>
      <c r="G1076" s="505"/>
      <c r="H1076" s="505"/>
    </row>
    <row r="1160" spans="2:8" s="4" customFormat="1" x14ac:dyDescent="0.25">
      <c r="B1160" s="41"/>
      <c r="C1160" s="121"/>
      <c r="D1160" s="122"/>
      <c r="E1160" s="123"/>
      <c r="F1160" s="122"/>
      <c r="G1160" s="122"/>
      <c r="H1160" s="122"/>
    </row>
    <row r="1167" spans="2:8" s="4" customFormat="1" x14ac:dyDescent="0.25">
      <c r="B1167" s="41"/>
      <c r="C1167" s="121"/>
      <c r="D1167" s="122"/>
      <c r="E1167" s="123"/>
      <c r="F1167" s="122"/>
      <c r="G1167" s="122"/>
      <c r="H1167" s="122"/>
    </row>
    <row r="1171" spans="2:8" s="4" customFormat="1" x14ac:dyDescent="0.25">
      <c r="B1171" s="41"/>
      <c r="C1171" s="121"/>
      <c r="D1171" s="122"/>
      <c r="E1171" s="123"/>
      <c r="F1171" s="122"/>
      <c r="G1171" s="122"/>
      <c r="H1171" s="122"/>
    </row>
    <row r="1172" spans="2:8" ht="15.75" customHeight="1" x14ac:dyDescent="0.25"/>
    <row r="1175" spans="2:8" s="4" customFormat="1" x14ac:dyDescent="0.25">
      <c r="B1175" s="41"/>
      <c r="C1175" s="121"/>
      <c r="D1175" s="122"/>
      <c r="E1175" s="123"/>
      <c r="F1175" s="122"/>
      <c r="G1175" s="122"/>
      <c r="H1175" s="122"/>
    </row>
    <row r="1178" spans="2:8" s="4" customFormat="1" x14ac:dyDescent="0.25">
      <c r="B1178" s="41"/>
      <c r="C1178" s="121"/>
      <c r="D1178" s="122"/>
      <c r="E1178" s="123"/>
      <c r="F1178" s="122"/>
      <c r="G1178" s="122"/>
      <c r="H1178" s="122"/>
    </row>
    <row r="1182" spans="2:8" ht="15" customHeight="1" x14ac:dyDescent="0.25"/>
    <row r="1183" spans="2:8" s="4" customFormat="1" x14ac:dyDescent="0.25">
      <c r="B1183" s="41"/>
      <c r="C1183" s="121"/>
      <c r="D1183" s="122"/>
      <c r="E1183" s="123"/>
      <c r="F1183" s="122"/>
      <c r="G1183" s="122"/>
      <c r="H1183" s="122"/>
    </row>
    <row r="1188" spans="2:8" ht="15" customHeight="1" x14ac:dyDescent="0.25"/>
    <row r="1189" spans="2:8" s="4" customFormat="1" x14ac:dyDescent="0.25">
      <c r="B1189" s="41"/>
      <c r="C1189" s="121"/>
      <c r="D1189" s="122"/>
      <c r="E1189" s="123"/>
      <c r="F1189" s="122"/>
      <c r="G1189" s="122"/>
      <c r="H1189" s="122"/>
    </row>
    <row r="1193" spans="2:8" s="4" customFormat="1" x14ac:dyDescent="0.25">
      <c r="B1193" s="41"/>
      <c r="C1193" s="121"/>
      <c r="D1193" s="122"/>
      <c r="E1193" s="123"/>
      <c r="F1193" s="122"/>
      <c r="G1193" s="122"/>
      <c r="H1193" s="122"/>
    </row>
    <row r="1206" spans="2:8" s="4" customFormat="1" x14ac:dyDescent="0.25">
      <c r="B1206" s="41"/>
      <c r="C1206" s="121"/>
      <c r="D1206" s="122"/>
      <c r="E1206" s="123"/>
      <c r="F1206" s="122"/>
      <c r="G1206" s="122"/>
      <c r="H1206" s="122"/>
    </row>
    <row r="1238" spans="1:1" x14ac:dyDescent="0.25">
      <c r="A1238" s="4"/>
    </row>
    <row r="1277" spans="1:8" s="4" customFormat="1" x14ac:dyDescent="0.25">
      <c r="A1277" s="3"/>
      <c r="B1277" s="41"/>
      <c r="C1277" s="121"/>
      <c r="D1277" s="122"/>
      <c r="E1277" s="123"/>
      <c r="F1277" s="122"/>
      <c r="G1277" s="122"/>
      <c r="H1277" s="122"/>
    </row>
    <row r="1280" spans="1:8" x14ac:dyDescent="0.25">
      <c r="A1280" s="4"/>
    </row>
    <row r="1302" spans="1:1" ht="15.75" customHeight="1" x14ac:dyDescent="0.25">
      <c r="A1302" s="4"/>
    </row>
    <row r="1308" spans="1:1" x14ac:dyDescent="0.25">
      <c r="A1308" s="4"/>
    </row>
    <row r="1315" spans="1:8" x14ac:dyDescent="0.25">
      <c r="A1315" s="4"/>
    </row>
    <row r="1319" spans="1:8" s="4" customFormat="1" x14ac:dyDescent="0.25">
      <c r="B1319" s="41"/>
      <c r="C1319" s="121"/>
      <c r="D1319" s="122"/>
      <c r="E1319" s="123"/>
      <c r="F1319" s="122"/>
      <c r="G1319" s="122"/>
      <c r="H1319" s="122"/>
    </row>
    <row r="1321" spans="1:8" x14ac:dyDescent="0.25">
      <c r="A1321" s="4"/>
    </row>
    <row r="1323" spans="1:8" x14ac:dyDescent="0.25">
      <c r="A1323" s="4"/>
    </row>
    <row r="1325" spans="1:8" x14ac:dyDescent="0.25">
      <c r="A1325" s="4"/>
    </row>
    <row r="1327" spans="1:8" x14ac:dyDescent="0.25">
      <c r="A1327" s="4"/>
    </row>
    <row r="1329" spans="1:8" x14ac:dyDescent="0.25">
      <c r="A1329" s="4"/>
    </row>
    <row r="1331" spans="1:8" x14ac:dyDescent="0.25">
      <c r="A1331" s="4"/>
    </row>
    <row r="1333" spans="1:8" x14ac:dyDescent="0.25">
      <c r="A1333" s="4"/>
    </row>
    <row r="1335" spans="1:8" x14ac:dyDescent="0.25">
      <c r="A1335" s="4"/>
    </row>
    <row r="1341" spans="1:8" s="4" customFormat="1" x14ac:dyDescent="0.25">
      <c r="A1341" s="3"/>
      <c r="B1341" s="41"/>
      <c r="C1341" s="121"/>
      <c r="D1341" s="122"/>
      <c r="E1341" s="123"/>
      <c r="F1341" s="122"/>
      <c r="G1341" s="122"/>
      <c r="H1341" s="122"/>
    </row>
    <row r="1347" spans="1:8" s="4" customFormat="1" x14ac:dyDescent="0.25">
      <c r="A1347" s="3"/>
      <c r="B1347" s="41"/>
      <c r="C1347" s="121"/>
      <c r="D1347" s="122"/>
      <c r="E1347" s="123"/>
      <c r="F1347" s="122"/>
      <c r="G1347" s="122"/>
      <c r="H1347" s="122"/>
    </row>
    <row r="1351" spans="1:8" ht="69" customHeight="1" x14ac:dyDescent="0.25"/>
    <row r="1352" spans="1:8" ht="36" customHeight="1" x14ac:dyDescent="0.25"/>
    <row r="1354" spans="1:8" s="4" customFormat="1" x14ac:dyDescent="0.25">
      <c r="A1354" s="3"/>
      <c r="B1354" s="41"/>
      <c r="C1354" s="121"/>
      <c r="D1354" s="122"/>
      <c r="E1354" s="123"/>
      <c r="F1354" s="122"/>
      <c r="G1354" s="122"/>
      <c r="H1354" s="122"/>
    </row>
    <row r="1357" spans="1:8" ht="15" customHeight="1" x14ac:dyDescent="0.25"/>
    <row r="1358" spans="1:8" s="4" customFormat="1" x14ac:dyDescent="0.25">
      <c r="A1358" s="3"/>
      <c r="B1358" s="41"/>
      <c r="C1358" s="121"/>
      <c r="D1358" s="122"/>
      <c r="E1358" s="123"/>
      <c r="F1358" s="122"/>
      <c r="G1358" s="122"/>
      <c r="H1358" s="122"/>
    </row>
    <row r="1360" spans="1:8" s="4" customFormat="1" x14ac:dyDescent="0.25">
      <c r="A1360" s="3"/>
      <c r="B1360" s="41"/>
      <c r="C1360" s="121"/>
      <c r="D1360" s="122"/>
      <c r="E1360" s="123"/>
      <c r="F1360" s="122"/>
      <c r="G1360" s="122"/>
      <c r="H1360" s="122"/>
    </row>
    <row r="1362" spans="1:8" s="4" customFormat="1" x14ac:dyDescent="0.25">
      <c r="A1362" s="3"/>
      <c r="B1362" s="41"/>
      <c r="C1362" s="121"/>
      <c r="D1362" s="122"/>
      <c r="E1362" s="123"/>
      <c r="F1362" s="122"/>
      <c r="G1362" s="122"/>
      <c r="H1362" s="122"/>
    </row>
    <row r="1364" spans="1:8" s="4" customFormat="1" x14ac:dyDescent="0.25">
      <c r="A1364" s="3"/>
      <c r="B1364" s="41"/>
      <c r="C1364" s="121"/>
      <c r="D1364" s="122"/>
      <c r="E1364" s="123"/>
      <c r="F1364" s="122"/>
      <c r="G1364" s="122"/>
      <c r="H1364" s="122"/>
    </row>
    <row r="1366" spans="1:8" s="4" customFormat="1" ht="29.1" customHeight="1" x14ac:dyDescent="0.25">
      <c r="A1366" s="3"/>
      <c r="B1366" s="41"/>
      <c r="C1366" s="121"/>
      <c r="D1366" s="122"/>
      <c r="E1366" s="123"/>
      <c r="F1366" s="122"/>
      <c r="G1366" s="122"/>
      <c r="H1366" s="122"/>
    </row>
    <row r="1368" spans="1:8" s="4" customFormat="1" x14ac:dyDescent="0.25">
      <c r="A1368" s="3"/>
      <c r="B1368" s="41"/>
      <c r="C1368" s="121"/>
      <c r="D1368" s="122"/>
      <c r="E1368" s="123"/>
      <c r="F1368" s="122"/>
      <c r="G1368" s="122"/>
      <c r="H1368" s="122"/>
    </row>
    <row r="1370" spans="1:8" s="4" customFormat="1" x14ac:dyDescent="0.25">
      <c r="A1370" s="3"/>
      <c r="B1370" s="41"/>
      <c r="C1370" s="121"/>
      <c r="D1370" s="122"/>
      <c r="E1370" s="123"/>
      <c r="F1370" s="122"/>
      <c r="G1370" s="122"/>
      <c r="H1370" s="122"/>
    </row>
    <row r="1372" spans="1:8" s="4" customFormat="1" x14ac:dyDescent="0.25">
      <c r="A1372" s="3"/>
      <c r="B1372" s="41"/>
      <c r="C1372" s="121"/>
      <c r="D1372" s="122"/>
      <c r="E1372" s="123"/>
      <c r="F1372" s="122"/>
      <c r="G1372" s="122"/>
      <c r="H1372" s="122"/>
    </row>
    <row r="1374" spans="1:8" s="4" customFormat="1" x14ac:dyDescent="0.25">
      <c r="A1374" s="3"/>
      <c r="B1374" s="41"/>
      <c r="C1374" s="121"/>
      <c r="D1374" s="122"/>
      <c r="E1374" s="123"/>
      <c r="F1374" s="122"/>
      <c r="G1374" s="122"/>
      <c r="H1374" s="122"/>
    </row>
    <row r="1378" spans="9:12" ht="42.75" customHeight="1" x14ac:dyDescent="0.25"/>
    <row r="1380" spans="9:12" ht="15.75" customHeight="1" x14ac:dyDescent="0.25"/>
    <row r="1385" spans="9:12" x14ac:dyDescent="0.25">
      <c r="I1385" s="1"/>
      <c r="J1385" s="1"/>
      <c r="K1385" s="1"/>
      <c r="L1385" s="1"/>
    </row>
    <row r="1386" spans="9:12" ht="15" customHeight="1" x14ac:dyDescent="0.25"/>
    <row r="1387" spans="9:12" ht="15" customHeight="1" x14ac:dyDescent="0.25"/>
  </sheetData>
  <sheetProtection algorithmName="SHA-512" hashValue="hLfm44HWVOhiqw+7sFYtwZIR9fXEBxki/0pQ2DhdBIK6n0X9GRbat+fPziMgPAF8en63wIfgRwc+VbatquwplA==" saltValue="9KN9JbDD0/ecRIM6fIUw8w==" spinCount="100000" sheet="1" objects="1" scenarios="1"/>
  <mergeCells count="545">
    <mergeCell ref="E1074:H1074"/>
    <mergeCell ref="B407:G407"/>
    <mergeCell ref="D408:H408"/>
    <mergeCell ref="B410:G410"/>
    <mergeCell ref="D744:H744"/>
    <mergeCell ref="B746:G746"/>
    <mergeCell ref="E1076:H1076"/>
    <mergeCell ref="E108:F108"/>
    <mergeCell ref="E110:F110"/>
    <mergeCell ref="B121:G121"/>
    <mergeCell ref="B112:G112"/>
    <mergeCell ref="B116:G116"/>
    <mergeCell ref="B120:G120"/>
    <mergeCell ref="E111:F111"/>
    <mergeCell ref="E114:F114"/>
    <mergeCell ref="E115:F115"/>
    <mergeCell ref="E118:F118"/>
    <mergeCell ref="E119:F119"/>
    <mergeCell ref="D109:H109"/>
    <mergeCell ref="D113:H113"/>
    <mergeCell ref="D117:H117"/>
    <mergeCell ref="E274:H274"/>
    <mergeCell ref="B275:G275"/>
    <mergeCell ref="E282:H282"/>
    <mergeCell ref="D71:H71"/>
    <mergeCell ref="B73:G73"/>
    <mergeCell ref="D74:H74"/>
    <mergeCell ref="B76:G76"/>
    <mergeCell ref="D365:H365"/>
    <mergeCell ref="B367:G367"/>
    <mergeCell ref="D368:H368"/>
    <mergeCell ref="B370:G370"/>
    <mergeCell ref="D405:H405"/>
    <mergeCell ref="D278:H278"/>
    <mergeCell ref="E279:H279"/>
    <mergeCell ref="B280:G280"/>
    <mergeCell ref="E300:H300"/>
    <mergeCell ref="D299:H299"/>
    <mergeCell ref="E301:H301"/>
    <mergeCell ref="B302:G302"/>
    <mergeCell ref="E304:F304"/>
    <mergeCell ref="E305:F305"/>
    <mergeCell ref="B307:G307"/>
    <mergeCell ref="E303:F303"/>
    <mergeCell ref="E306:F306"/>
    <mergeCell ref="E253:H253"/>
    <mergeCell ref="B254:G254"/>
    <mergeCell ref="B283:G283"/>
    <mergeCell ref="D12:H12"/>
    <mergeCell ref="B104:G104"/>
    <mergeCell ref="E122:F122"/>
    <mergeCell ref="E123:F123"/>
    <mergeCell ref="E124:F124"/>
    <mergeCell ref="E125:F125"/>
    <mergeCell ref="B126:G126"/>
    <mergeCell ref="B197:G197"/>
    <mergeCell ref="E252:H252"/>
    <mergeCell ref="E44:F44"/>
    <mergeCell ref="B242:G242"/>
    <mergeCell ref="B245:G245"/>
    <mergeCell ref="B248:G248"/>
    <mergeCell ref="B251:G251"/>
    <mergeCell ref="E234:H234"/>
    <mergeCell ref="E235:H235"/>
    <mergeCell ref="E237:H237"/>
    <mergeCell ref="E238:H238"/>
    <mergeCell ref="E240:H240"/>
    <mergeCell ref="E241:H241"/>
    <mergeCell ref="E243:H243"/>
    <mergeCell ref="E244:H244"/>
    <mergeCell ref="E246:H246"/>
    <mergeCell ref="E81:H81"/>
    <mergeCell ref="E84:H84"/>
    <mergeCell ref="B236:G236"/>
    <mergeCell ref="B239:G239"/>
    <mergeCell ref="B499:G499"/>
    <mergeCell ref="E500:G500"/>
    <mergeCell ref="E501:G501"/>
    <mergeCell ref="B144:G144"/>
    <mergeCell ref="B152:G152"/>
    <mergeCell ref="B162:G162"/>
    <mergeCell ref="B168:G168"/>
    <mergeCell ref="E143:F143"/>
    <mergeCell ref="E151:F151"/>
    <mergeCell ref="B180:G180"/>
    <mergeCell ref="B194:G194"/>
    <mergeCell ref="B202:G202"/>
    <mergeCell ref="B207:G207"/>
    <mergeCell ref="B215:G215"/>
    <mergeCell ref="B223:G223"/>
    <mergeCell ref="B231:G231"/>
    <mergeCell ref="B496:G496"/>
    <mergeCell ref="E448:G448"/>
    <mergeCell ref="E471:G471"/>
    <mergeCell ref="E475:G475"/>
    <mergeCell ref="E479:G479"/>
    <mergeCell ref="E287:H287"/>
    <mergeCell ref="B288:G288"/>
    <mergeCell ref="B85:G85"/>
    <mergeCell ref="E483:G483"/>
    <mergeCell ref="B491:G491"/>
    <mergeCell ref="E451:G451"/>
    <mergeCell ref="E455:G455"/>
    <mergeCell ref="E459:G459"/>
    <mergeCell ref="E463:G463"/>
    <mergeCell ref="E247:H247"/>
    <mergeCell ref="E249:H249"/>
    <mergeCell ref="E250:H250"/>
    <mergeCell ref="B298:H298"/>
    <mergeCell ref="D427:H427"/>
    <mergeCell ref="B136:G136"/>
    <mergeCell ref="D273:H273"/>
    <mergeCell ref="B169:H169"/>
    <mergeCell ref="B175:G175"/>
    <mergeCell ref="D89:H89"/>
    <mergeCell ref="B107:G107"/>
    <mergeCell ref="B127:H127"/>
    <mergeCell ref="B308:H308"/>
    <mergeCell ref="D309:H309"/>
    <mergeCell ref="E310:F310"/>
    <mergeCell ref="E311:F311"/>
    <mergeCell ref="B312:G312"/>
    <mergeCell ref="E490:G490"/>
    <mergeCell ref="E494:G494"/>
    <mergeCell ref="B452:G452"/>
    <mergeCell ref="B456:G456"/>
    <mergeCell ref="B460:G460"/>
    <mergeCell ref="B464:G464"/>
    <mergeCell ref="B468:G468"/>
    <mergeCell ref="B472:G472"/>
    <mergeCell ref="B476:G476"/>
    <mergeCell ref="B480:G480"/>
    <mergeCell ref="B484:G484"/>
    <mergeCell ref="E467:G467"/>
    <mergeCell ref="D314:H314"/>
    <mergeCell ref="D354:H354"/>
    <mergeCell ref="D356:H356"/>
    <mergeCell ref="D362:H362"/>
    <mergeCell ref="D402:H402"/>
    <mergeCell ref="D396:H396"/>
    <mergeCell ref="E442:F442"/>
    <mergeCell ref="E443:F443"/>
    <mergeCell ref="D1045:H1045"/>
    <mergeCell ref="D1054:H1054"/>
    <mergeCell ref="E13:F13"/>
    <mergeCell ref="E14:F14"/>
    <mergeCell ref="B15:G15"/>
    <mergeCell ref="E16:F16"/>
    <mergeCell ref="E17:F17"/>
    <mergeCell ref="B18:G18"/>
    <mergeCell ref="B80:G80"/>
    <mergeCell ref="B317:G317"/>
    <mergeCell ref="B320:G320"/>
    <mergeCell ref="B323:G323"/>
    <mergeCell ref="B326:G326"/>
    <mergeCell ref="E315:F315"/>
    <mergeCell ref="E316:F316"/>
    <mergeCell ref="E318:G318"/>
    <mergeCell ref="E319:G319"/>
    <mergeCell ref="D954:H954"/>
    <mergeCell ref="D957:H957"/>
    <mergeCell ref="D961:H961"/>
    <mergeCell ref="D966:H966"/>
    <mergeCell ref="D928:H928"/>
    <mergeCell ref="D932:H932"/>
    <mergeCell ref="E454:G454"/>
    <mergeCell ref="D936:H936"/>
    <mergeCell ref="D946:H946"/>
    <mergeCell ref="D950:H950"/>
    <mergeCell ref="D912:H912"/>
    <mergeCell ref="D812:H812"/>
    <mergeCell ref="D817:H817"/>
    <mergeCell ref="D822:H822"/>
    <mergeCell ref="D827:H827"/>
    <mergeCell ref="D832:H832"/>
    <mergeCell ref="D842:H842"/>
    <mergeCell ref="D852:H852"/>
    <mergeCell ref="D857:H857"/>
    <mergeCell ref="B907:G907"/>
    <mergeCell ref="B915:G915"/>
    <mergeCell ref="B831:G831"/>
    <mergeCell ref="B836:G836"/>
    <mergeCell ref="B856:G856"/>
    <mergeCell ref="B861:G861"/>
    <mergeCell ref="B865:G865"/>
    <mergeCell ref="B870:G870"/>
    <mergeCell ref="B875:G875"/>
    <mergeCell ref="B880:G880"/>
    <mergeCell ref="B884:G884"/>
    <mergeCell ref="B889:G889"/>
    <mergeCell ref="D701:H701"/>
    <mergeCell ref="B700:G700"/>
    <mergeCell ref="D705:H705"/>
    <mergeCell ref="D710:H710"/>
    <mergeCell ref="D713:H713"/>
    <mergeCell ref="D778:H778"/>
    <mergeCell ref="D783:H783"/>
    <mergeCell ref="D740:H740"/>
    <mergeCell ref="D748:H748"/>
    <mergeCell ref="D749:H749"/>
    <mergeCell ref="D755:H755"/>
    <mergeCell ref="D758:H758"/>
    <mergeCell ref="D761:H761"/>
    <mergeCell ref="D764:H764"/>
    <mergeCell ref="D575:H575"/>
    <mergeCell ref="D581:H581"/>
    <mergeCell ref="D587:H587"/>
    <mergeCell ref="D594:H594"/>
    <mergeCell ref="D601:H601"/>
    <mergeCell ref="E424:F424"/>
    <mergeCell ref="E493:G493"/>
    <mergeCell ref="E458:G458"/>
    <mergeCell ref="E462:G462"/>
    <mergeCell ref="E466:G466"/>
    <mergeCell ref="E470:G470"/>
    <mergeCell ref="E474:G474"/>
    <mergeCell ref="E478:G478"/>
    <mergeCell ref="E482:G482"/>
    <mergeCell ref="E486:G486"/>
    <mergeCell ref="E489:G489"/>
    <mergeCell ref="E450:G450"/>
    <mergeCell ref="D449:H449"/>
    <mergeCell ref="D453:H453"/>
    <mergeCell ref="D565:H565"/>
    <mergeCell ref="D568:H568"/>
    <mergeCell ref="B586:G586"/>
    <mergeCell ref="B593:G593"/>
    <mergeCell ref="B600:G600"/>
    <mergeCell ref="B960:G960"/>
    <mergeCell ref="B425:G425"/>
    <mergeCell ref="E422:F422"/>
    <mergeCell ref="E423:F423"/>
    <mergeCell ref="D380:H380"/>
    <mergeCell ref="D381:H381"/>
    <mergeCell ref="D386:H386"/>
    <mergeCell ref="D390:H390"/>
    <mergeCell ref="D47:H47"/>
    <mergeCell ref="D50:H50"/>
    <mergeCell ref="D55:H55"/>
    <mergeCell ref="D62:H62"/>
    <mergeCell ref="D68:H68"/>
    <mergeCell ref="D233:H233"/>
    <mergeCell ref="D256:H256"/>
    <mergeCell ref="D257:H257"/>
    <mergeCell ref="D258:H258"/>
    <mergeCell ref="D268:H268"/>
    <mergeCell ref="D272:H272"/>
    <mergeCell ref="D281:H281"/>
    <mergeCell ref="E321:G321"/>
    <mergeCell ref="E324:G324"/>
    <mergeCell ref="E322:G322"/>
    <mergeCell ref="E325:G325"/>
    <mergeCell ref="B920:G920"/>
    <mergeCell ref="B924:G924"/>
    <mergeCell ref="B927:G927"/>
    <mergeCell ref="B931:G931"/>
    <mergeCell ref="D608:H608"/>
    <mergeCell ref="D620:H620"/>
    <mergeCell ref="D634:H634"/>
    <mergeCell ref="D639:H639"/>
    <mergeCell ref="D644:H644"/>
    <mergeCell ref="D649:H649"/>
    <mergeCell ref="D654:H654"/>
    <mergeCell ref="D658:H658"/>
    <mergeCell ref="D663:H663"/>
    <mergeCell ref="D668:H668"/>
    <mergeCell ref="D673:H673"/>
    <mergeCell ref="D677:H677"/>
    <mergeCell ref="D682:H682"/>
    <mergeCell ref="D690:H690"/>
    <mergeCell ref="D696:H696"/>
    <mergeCell ref="B633:G633"/>
    <mergeCell ref="B638:G638"/>
    <mergeCell ref="B643:G643"/>
    <mergeCell ref="B648:G648"/>
    <mergeCell ref="B689:G689"/>
    <mergeCell ref="E1065:H1065"/>
    <mergeCell ref="B1067:G1067"/>
    <mergeCell ref="E1068:F1068"/>
    <mergeCell ref="E1069:F1069"/>
    <mergeCell ref="E1070:F1070"/>
    <mergeCell ref="E1071:F1071"/>
    <mergeCell ref="B1072:G1072"/>
    <mergeCell ref="E1066:H1066"/>
    <mergeCell ref="B704:G704"/>
    <mergeCell ref="B709:G709"/>
    <mergeCell ref="B712:G712"/>
    <mergeCell ref="D788:H788"/>
    <mergeCell ref="D793:H793"/>
    <mergeCell ref="D798:H798"/>
    <mergeCell ref="D802:H802"/>
    <mergeCell ref="D807:H807"/>
    <mergeCell ref="D970:H970"/>
    <mergeCell ref="D973:H973"/>
    <mergeCell ref="D977:H977"/>
    <mergeCell ref="D982:H982"/>
    <mergeCell ref="D987:H987"/>
    <mergeCell ref="D917:H917"/>
    <mergeCell ref="E1063:H1063"/>
    <mergeCell ref="E1064:H1064"/>
    <mergeCell ref="B695:G695"/>
    <mergeCell ref="D921:H921"/>
    <mergeCell ref="D925:H925"/>
    <mergeCell ref="B1061:G1061"/>
    <mergeCell ref="E1057:G1057"/>
    <mergeCell ref="E1058:G1058"/>
    <mergeCell ref="E1059:G1059"/>
    <mergeCell ref="E1060:G1060"/>
    <mergeCell ref="B935:G935"/>
    <mergeCell ref="B940:G940"/>
    <mergeCell ref="B945:G945"/>
    <mergeCell ref="B972:G972"/>
    <mergeCell ref="B949:G949"/>
    <mergeCell ref="B953:G953"/>
    <mergeCell ref="B1039:G1039"/>
    <mergeCell ref="B1044:G1044"/>
    <mergeCell ref="B965:G965"/>
    <mergeCell ref="B969:G969"/>
    <mergeCell ref="B976:G976"/>
    <mergeCell ref="B981:G981"/>
    <mergeCell ref="B986:G986"/>
    <mergeCell ref="B991:G991"/>
    <mergeCell ref="B996:G996"/>
    <mergeCell ref="B1001:G1001"/>
    <mergeCell ref="B1073:H1073"/>
    <mergeCell ref="B88:H88"/>
    <mergeCell ref="B232:H232"/>
    <mergeCell ref="B255:H255"/>
    <mergeCell ref="B313:H313"/>
    <mergeCell ref="B353:H353"/>
    <mergeCell ref="B330:H330"/>
    <mergeCell ref="B607:G607"/>
    <mergeCell ref="B614:G614"/>
    <mergeCell ref="B657:G657"/>
    <mergeCell ref="B667:G667"/>
    <mergeCell ref="B662:G662"/>
    <mergeCell ref="B672:G672"/>
    <mergeCell ref="B567:G567"/>
    <mergeCell ref="B574:G574"/>
    <mergeCell ref="B580:G580"/>
    <mergeCell ref="B385:G385"/>
    <mergeCell ref="B426:H426"/>
    <mergeCell ref="B676:G676"/>
    <mergeCell ref="B653:G653"/>
    <mergeCell ref="B512:H512"/>
    <mergeCell ref="B561:G561"/>
    <mergeCell ref="B547:G547"/>
    <mergeCell ref="B681:G681"/>
    <mergeCell ref="B11:H11"/>
    <mergeCell ref="B2:H2"/>
    <mergeCell ref="B3:H3"/>
    <mergeCell ref="B4:H4"/>
    <mergeCell ref="B6:H6"/>
    <mergeCell ref="B5:H5"/>
    <mergeCell ref="B7:H7"/>
    <mergeCell ref="B8:H8"/>
    <mergeCell ref="B9:H9"/>
    <mergeCell ref="E10:H10"/>
    <mergeCell ref="B60:G60"/>
    <mergeCell ref="B83:G83"/>
    <mergeCell ref="B30:G30"/>
    <mergeCell ref="B49:G49"/>
    <mergeCell ref="B54:G54"/>
    <mergeCell ref="B59:G59"/>
    <mergeCell ref="E86:H86"/>
    <mergeCell ref="B87:G87"/>
    <mergeCell ref="E82:H82"/>
    <mergeCell ref="B45:G45"/>
    <mergeCell ref="E32:F32"/>
    <mergeCell ref="E33:F33"/>
    <mergeCell ref="E31:F31"/>
    <mergeCell ref="E34:F34"/>
    <mergeCell ref="E35:F35"/>
    <mergeCell ref="E36:F36"/>
    <mergeCell ref="E37:F37"/>
    <mergeCell ref="E38:F38"/>
    <mergeCell ref="E39:F39"/>
    <mergeCell ref="E40:F40"/>
    <mergeCell ref="E42:F42"/>
    <mergeCell ref="E43:F43"/>
    <mergeCell ref="E41:F41"/>
    <mergeCell ref="B67:G67"/>
    <mergeCell ref="B1005:G1005"/>
    <mergeCell ref="D992:H992"/>
    <mergeCell ref="D997:H997"/>
    <mergeCell ref="D1002:H1002"/>
    <mergeCell ref="D1006:H1006"/>
    <mergeCell ref="D1010:H1010"/>
    <mergeCell ref="D1014:H1014"/>
    <mergeCell ref="D1018:H1018"/>
    <mergeCell ref="D1022:H1022"/>
    <mergeCell ref="B1021:G1021"/>
    <mergeCell ref="D1026:H1026"/>
    <mergeCell ref="D1030:H1030"/>
    <mergeCell ref="D1035:H1035"/>
    <mergeCell ref="D1040:H1040"/>
    <mergeCell ref="B1049:G1049"/>
    <mergeCell ref="B956:G956"/>
    <mergeCell ref="B1056:G1056"/>
    <mergeCell ref="B1062:G1062"/>
    <mergeCell ref="B737:G737"/>
    <mergeCell ref="B738:G738"/>
    <mergeCell ref="B782:G782"/>
    <mergeCell ref="B787:G787"/>
    <mergeCell ref="B792:G792"/>
    <mergeCell ref="B797:G797"/>
    <mergeCell ref="B801:G801"/>
    <mergeCell ref="B806:G806"/>
    <mergeCell ref="B811:G811"/>
    <mergeCell ref="B816:G816"/>
    <mergeCell ref="B821:G821"/>
    <mergeCell ref="B826:G826"/>
    <mergeCell ref="B851:G851"/>
    <mergeCell ref="B1009:G1009"/>
    <mergeCell ref="B1013:G1013"/>
    <mergeCell ref="B1017:G1017"/>
    <mergeCell ref="B1025:G1025"/>
    <mergeCell ref="B1029:G1029"/>
    <mergeCell ref="B1034:G1034"/>
    <mergeCell ref="B841:G841"/>
    <mergeCell ref="D908:H908"/>
    <mergeCell ref="B897:G897"/>
    <mergeCell ref="E439:F439"/>
    <mergeCell ref="E440:F440"/>
    <mergeCell ref="B286:G286"/>
    <mergeCell ref="D331:H331"/>
    <mergeCell ref="B389:G389"/>
    <mergeCell ref="B393:G393"/>
    <mergeCell ref="B394:G394"/>
    <mergeCell ref="D862:H862"/>
    <mergeCell ref="D866:H866"/>
    <mergeCell ref="D871:H871"/>
    <mergeCell ref="D876:H876"/>
    <mergeCell ref="D881:H881"/>
    <mergeCell ref="D885:H885"/>
    <mergeCell ref="D890:H890"/>
    <mergeCell ref="D898:H898"/>
    <mergeCell ref="D904:H904"/>
    <mergeCell ref="B433:G433"/>
    <mergeCell ref="D421:H421"/>
    <mergeCell ref="B553:G553"/>
    <mergeCell ref="B502:G502"/>
    <mergeCell ref="B495:G495"/>
    <mergeCell ref="E497:F497"/>
    <mergeCell ref="E498:F498"/>
    <mergeCell ref="E444:F444"/>
    <mergeCell ref="E445:F445"/>
    <mergeCell ref="E446:F446"/>
    <mergeCell ref="B447:G447"/>
    <mergeCell ref="D527:H527"/>
    <mergeCell ref="D534:H534"/>
    <mergeCell ref="D541:H541"/>
    <mergeCell ref="D461:H461"/>
    <mergeCell ref="B487:G487"/>
    <mergeCell ref="D515:H515"/>
    <mergeCell ref="D521:H521"/>
    <mergeCell ref="B420:H420"/>
    <mergeCell ref="B526:G526"/>
    <mergeCell ref="B520:G520"/>
    <mergeCell ref="B533:G533"/>
    <mergeCell ref="B540:G540"/>
    <mergeCell ref="E434:F434"/>
    <mergeCell ref="B70:G70"/>
    <mergeCell ref="B77:G77"/>
    <mergeCell ref="B401:G401"/>
    <mergeCell ref="B404:G404"/>
    <mergeCell ref="B419:G419"/>
    <mergeCell ref="B743:G743"/>
    <mergeCell ref="B361:G361"/>
    <mergeCell ref="B364:G364"/>
    <mergeCell ref="B378:G378"/>
    <mergeCell ref="E327:F327"/>
    <mergeCell ref="E328:F328"/>
    <mergeCell ref="B329:G329"/>
    <mergeCell ref="E285:H285"/>
    <mergeCell ref="E435:F435"/>
    <mergeCell ref="B344:G344"/>
    <mergeCell ref="E269:H269"/>
    <mergeCell ref="E270:H270"/>
    <mergeCell ref="B261:G261"/>
    <mergeCell ref="B267:G267"/>
    <mergeCell ref="B271:G271"/>
    <mergeCell ref="E276:H276"/>
    <mergeCell ref="B98:H98"/>
    <mergeCell ref="D562:H562"/>
    <mergeCell ref="D457:H457"/>
    <mergeCell ref="E1075:H1075"/>
    <mergeCell ref="B754:G754"/>
    <mergeCell ref="B757:G757"/>
    <mergeCell ref="B760:G760"/>
    <mergeCell ref="B763:G763"/>
    <mergeCell ref="B767:G767"/>
    <mergeCell ref="B776:G776"/>
    <mergeCell ref="B903:G903"/>
    <mergeCell ref="E262:H262"/>
    <mergeCell ref="E263:H263"/>
    <mergeCell ref="E264:H264"/>
    <mergeCell ref="E265:H265"/>
    <mergeCell ref="E266:H266"/>
    <mergeCell ref="B747:G747"/>
    <mergeCell ref="E436:F436"/>
    <mergeCell ref="E437:F437"/>
    <mergeCell ref="E438:F438"/>
    <mergeCell ref="D284:H284"/>
    <mergeCell ref="D837:H837"/>
    <mergeCell ref="B911:G911"/>
    <mergeCell ref="B564:G564"/>
    <mergeCell ref="E441:F441"/>
    <mergeCell ref="D548:H548"/>
    <mergeCell ref="D554:H554"/>
    <mergeCell ref="E129:F129"/>
    <mergeCell ref="E132:F132"/>
    <mergeCell ref="E128:F128"/>
    <mergeCell ref="B130:G130"/>
    <mergeCell ref="E131:F131"/>
    <mergeCell ref="B133:G133"/>
    <mergeCell ref="B97:G97"/>
    <mergeCell ref="D99:H99"/>
    <mergeCell ref="E259:H259"/>
    <mergeCell ref="E105:F105"/>
    <mergeCell ref="E106:F106"/>
    <mergeCell ref="E260:H260"/>
    <mergeCell ref="B277:G277"/>
    <mergeCell ref="D504:H504"/>
    <mergeCell ref="B503:H503"/>
    <mergeCell ref="B507:G507"/>
    <mergeCell ref="D1050:H1050"/>
    <mergeCell ref="B1053:G1053"/>
    <mergeCell ref="B289:H289"/>
    <mergeCell ref="D290:H290"/>
    <mergeCell ref="B297:G297"/>
    <mergeCell ref="E428:F428"/>
    <mergeCell ref="E429:F429"/>
    <mergeCell ref="B430:G430"/>
    <mergeCell ref="B347:G347"/>
    <mergeCell ref="B348:H348"/>
    <mergeCell ref="B352:G352"/>
    <mergeCell ref="B379:G379"/>
    <mergeCell ref="B418:G418"/>
    <mergeCell ref="B775:G775"/>
    <mergeCell ref="D615:H615"/>
    <mergeCell ref="B619:G619"/>
    <mergeCell ref="B511:G511"/>
    <mergeCell ref="B914:G914"/>
    <mergeCell ref="D513:H513"/>
  </mergeCells>
  <phoneticPr fontId="7" type="noConversion"/>
  <pageMargins left="0.25" right="0.25" top="0.75" bottom="0.75" header="0.3" footer="0.3"/>
  <pageSetup paperSize="9" scale="96" fitToHeight="0" orientation="landscape" r:id="rId1"/>
  <ignoredErrors>
    <ignoredError sqref="H4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1"/>
  <sheetViews>
    <sheetView view="pageBreakPreview" zoomScale="80" zoomScaleNormal="90" zoomScaleSheetLayoutView="80" zoomScalePageLayoutView="90" workbookViewId="0">
      <selection activeCell="M23" sqref="M23"/>
    </sheetView>
  </sheetViews>
  <sheetFormatPr defaultColWidth="8.85546875" defaultRowHeight="16.5" x14ac:dyDescent="0.3"/>
  <cols>
    <col min="1" max="1" width="8.85546875" style="5"/>
    <col min="2" max="2" width="5.85546875" style="5" customWidth="1"/>
    <col min="3" max="3" width="58.42578125" style="5" customWidth="1"/>
    <col min="4" max="6" width="12.7109375" style="5" bestFit="1" customWidth="1"/>
    <col min="7" max="10" width="13.140625" style="5" bestFit="1" customWidth="1"/>
    <col min="11" max="13" width="13.85546875" style="5" bestFit="1" customWidth="1"/>
    <col min="14" max="22" width="14.28515625" style="5" bestFit="1" customWidth="1"/>
    <col min="23" max="23" width="15.28515625" style="5" bestFit="1" customWidth="1"/>
    <col min="24" max="24" width="15.42578125" style="5" customWidth="1"/>
    <col min="25" max="25" width="11.28515625" style="5" customWidth="1"/>
    <col min="26" max="16384" width="8.85546875" style="5"/>
  </cols>
  <sheetData>
    <row r="1" spans="2:25" ht="17.25" thickBot="1" x14ac:dyDescent="0.35"/>
    <row r="2" spans="2:25" x14ac:dyDescent="0.3">
      <c r="B2" s="515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7"/>
    </row>
    <row r="3" spans="2:25" x14ac:dyDescent="0.3">
      <c r="B3" s="518" t="s">
        <v>0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20"/>
    </row>
    <row r="4" spans="2:25" x14ac:dyDescent="0.3">
      <c r="B4" s="518" t="s">
        <v>69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20"/>
    </row>
    <row r="5" spans="2:25" x14ac:dyDescent="0.3">
      <c r="B5" s="518" t="str">
        <f>Orçamento!B5</f>
        <v>REFORMA DA ESCOLA MARIA CONCEIÇÃO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20"/>
    </row>
    <row r="6" spans="2:25" x14ac:dyDescent="0.3">
      <c r="B6" s="518" t="str">
        <f>Orçamento!B6</f>
        <v>Rua Juraci Rosa Pontes, Quadra 06, Lote 07 - Santo Antônio do Rio Verde - Catalão-GO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20"/>
    </row>
    <row r="7" spans="2:25" x14ac:dyDescent="0.3">
      <c r="B7" s="521" t="str">
        <f>Orçamento!B9</f>
        <v>Catalão, 28 de fevereiro de 2018</v>
      </c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3"/>
    </row>
    <row r="8" spans="2:25" x14ac:dyDescent="0.3">
      <c r="B8" s="518" t="s">
        <v>33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20"/>
    </row>
    <row r="9" spans="2:25" ht="17.25" thickBot="1" x14ac:dyDescent="0.35">
      <c r="B9" s="535" t="s">
        <v>65</v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2:25" ht="17.25" thickBot="1" x14ac:dyDescent="0.35">
      <c r="B10" s="460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2"/>
    </row>
    <row r="11" spans="2:25" ht="17.25" thickBot="1" x14ac:dyDescent="0.35">
      <c r="B11" s="524" t="s">
        <v>26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6"/>
    </row>
    <row r="12" spans="2:25" ht="15" customHeight="1" thickBot="1" x14ac:dyDescent="0.35">
      <c r="B12" s="527" t="s">
        <v>3</v>
      </c>
      <c r="C12" s="529" t="s">
        <v>27</v>
      </c>
      <c r="D12" s="512" t="s">
        <v>28</v>
      </c>
      <c r="E12" s="513"/>
      <c r="F12" s="513"/>
      <c r="G12" s="514"/>
      <c r="H12" s="512" t="s">
        <v>29</v>
      </c>
      <c r="I12" s="513"/>
      <c r="J12" s="513"/>
      <c r="K12" s="514"/>
      <c r="L12" s="512" t="s">
        <v>48</v>
      </c>
      <c r="M12" s="513"/>
      <c r="N12" s="513"/>
      <c r="O12" s="514"/>
      <c r="P12" s="512" t="s">
        <v>67</v>
      </c>
      <c r="Q12" s="513"/>
      <c r="R12" s="513"/>
      <c r="S12" s="514"/>
      <c r="T12" s="512" t="s">
        <v>68</v>
      </c>
      <c r="U12" s="513"/>
      <c r="V12" s="513"/>
      <c r="W12" s="514"/>
      <c r="X12" s="531" t="s">
        <v>30</v>
      </c>
      <c r="Y12" s="533" t="s">
        <v>31</v>
      </c>
    </row>
    <row r="13" spans="2:25" ht="17.25" thickBot="1" x14ac:dyDescent="0.35">
      <c r="B13" s="528"/>
      <c r="C13" s="530"/>
      <c r="D13" s="93" t="s">
        <v>72</v>
      </c>
      <c r="E13" s="94" t="s">
        <v>73</v>
      </c>
      <c r="F13" s="94" t="s">
        <v>74</v>
      </c>
      <c r="G13" s="95" t="s">
        <v>75</v>
      </c>
      <c r="H13" s="96" t="s">
        <v>72</v>
      </c>
      <c r="I13" s="94" t="s">
        <v>73</v>
      </c>
      <c r="J13" s="94" t="s">
        <v>74</v>
      </c>
      <c r="K13" s="97" t="s">
        <v>75</v>
      </c>
      <c r="L13" s="93" t="s">
        <v>72</v>
      </c>
      <c r="M13" s="94" t="s">
        <v>73</v>
      </c>
      <c r="N13" s="94" t="s">
        <v>74</v>
      </c>
      <c r="O13" s="95" t="s">
        <v>75</v>
      </c>
      <c r="P13" s="96" t="s">
        <v>72</v>
      </c>
      <c r="Q13" s="94" t="s">
        <v>73</v>
      </c>
      <c r="R13" s="94" t="s">
        <v>74</v>
      </c>
      <c r="S13" s="97" t="s">
        <v>75</v>
      </c>
      <c r="T13" s="93" t="s">
        <v>72</v>
      </c>
      <c r="U13" s="94" t="s">
        <v>73</v>
      </c>
      <c r="V13" s="94" t="s">
        <v>74</v>
      </c>
      <c r="W13" s="95" t="s">
        <v>75</v>
      </c>
      <c r="X13" s="532"/>
      <c r="Y13" s="534"/>
    </row>
    <row r="14" spans="2:25" x14ac:dyDescent="0.3">
      <c r="B14" s="169">
        <v>1</v>
      </c>
      <c r="C14" s="98" t="str">
        <f>Orçamento!B11</f>
        <v>Grupo de Serviço: 164 - Serviços Preliminares</v>
      </c>
      <c r="D14" s="99">
        <f>1/6</f>
        <v>0.16666666666666666</v>
      </c>
      <c r="E14" s="99">
        <f t="shared" ref="E14:I14" si="0">1/6</f>
        <v>0.16666666666666666</v>
      </c>
      <c r="F14" s="99">
        <f t="shared" si="0"/>
        <v>0.16666666666666666</v>
      </c>
      <c r="G14" s="99">
        <f t="shared" si="0"/>
        <v>0.16666666666666666</v>
      </c>
      <c r="H14" s="99">
        <f t="shared" si="0"/>
        <v>0.16666666666666666</v>
      </c>
      <c r="I14" s="99">
        <f t="shared" si="0"/>
        <v>0.16666666666666666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>
        <f>Orçamento!K23</f>
        <v>0</v>
      </c>
      <c r="Y14" s="170" t="e">
        <f t="shared" ref="Y14:Y29" si="1">X14/$X$33</f>
        <v>#DIV/0!</v>
      </c>
    </row>
    <row r="15" spans="2:25" x14ac:dyDescent="0.3">
      <c r="B15" s="171">
        <v>2</v>
      </c>
      <c r="C15" s="102" t="str">
        <f>Orçamento!B24</f>
        <v>Grupo de Serviço: 165 - Transportes</v>
      </c>
      <c r="D15" s="103">
        <f>1/20</f>
        <v>0.05</v>
      </c>
      <c r="E15" s="103">
        <f t="shared" ref="E15:W15" si="2">1/20</f>
        <v>0.05</v>
      </c>
      <c r="F15" s="103">
        <f t="shared" si="2"/>
        <v>0.05</v>
      </c>
      <c r="G15" s="103">
        <f t="shared" si="2"/>
        <v>0.05</v>
      </c>
      <c r="H15" s="103">
        <f t="shared" si="2"/>
        <v>0.05</v>
      </c>
      <c r="I15" s="103">
        <f t="shared" si="2"/>
        <v>0.05</v>
      </c>
      <c r="J15" s="103">
        <f t="shared" si="2"/>
        <v>0.05</v>
      </c>
      <c r="K15" s="103">
        <f t="shared" si="2"/>
        <v>0.05</v>
      </c>
      <c r="L15" s="103">
        <f t="shared" si="2"/>
        <v>0.05</v>
      </c>
      <c r="M15" s="103">
        <f t="shared" si="2"/>
        <v>0.05</v>
      </c>
      <c r="N15" s="103">
        <f t="shared" si="2"/>
        <v>0.05</v>
      </c>
      <c r="O15" s="103">
        <f t="shared" si="2"/>
        <v>0.05</v>
      </c>
      <c r="P15" s="103">
        <f t="shared" si="2"/>
        <v>0.05</v>
      </c>
      <c r="Q15" s="103">
        <f t="shared" si="2"/>
        <v>0.05</v>
      </c>
      <c r="R15" s="103">
        <f t="shared" si="2"/>
        <v>0.05</v>
      </c>
      <c r="S15" s="103">
        <f t="shared" si="2"/>
        <v>0.05</v>
      </c>
      <c r="T15" s="103">
        <f t="shared" si="2"/>
        <v>0.05</v>
      </c>
      <c r="U15" s="103">
        <f t="shared" si="2"/>
        <v>0.05</v>
      </c>
      <c r="V15" s="103">
        <f t="shared" si="2"/>
        <v>0.05</v>
      </c>
      <c r="W15" s="103">
        <f t="shared" si="2"/>
        <v>0.05</v>
      </c>
      <c r="X15" s="104">
        <f>Orçamento!K27</f>
        <v>0</v>
      </c>
      <c r="Y15" s="172" t="e">
        <f t="shared" si="1"/>
        <v>#DIV/0!</v>
      </c>
    </row>
    <row r="16" spans="2:25" x14ac:dyDescent="0.3">
      <c r="B16" s="171">
        <v>3</v>
      </c>
      <c r="C16" s="105" t="str">
        <f>Orçamento!B28</f>
        <v>Grupo de Serviço: 166 - Serviço em terra</v>
      </c>
      <c r="D16" s="106"/>
      <c r="E16" s="106"/>
      <c r="F16" s="106"/>
      <c r="G16" s="106"/>
      <c r="H16" s="103">
        <f>1/2</f>
        <v>0.5</v>
      </c>
      <c r="I16" s="103">
        <f>1/2</f>
        <v>0.5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4">
        <f>Orçamento!K34</f>
        <v>0</v>
      </c>
      <c r="Y16" s="172" t="e">
        <f t="shared" si="1"/>
        <v>#DIV/0!</v>
      </c>
    </row>
    <row r="17" spans="2:25" ht="15" customHeight="1" x14ac:dyDescent="0.3">
      <c r="B17" s="171">
        <v>4</v>
      </c>
      <c r="C17" s="105" t="str">
        <f>Orçamento!B35</f>
        <v>Grupo de Serviço: 167 - Fundações e sondagens</v>
      </c>
      <c r="D17" s="106"/>
      <c r="E17" s="106"/>
      <c r="F17" s="106"/>
      <c r="G17" s="106"/>
      <c r="H17" s="106"/>
      <c r="I17" s="103">
        <f>1/2</f>
        <v>0.5</v>
      </c>
      <c r="J17" s="103">
        <f>1/2</f>
        <v>0.5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4">
        <f>Orçamento!K44</f>
        <v>0</v>
      </c>
      <c r="Y17" s="172" t="e">
        <f t="shared" si="1"/>
        <v>#DIV/0!</v>
      </c>
    </row>
    <row r="18" spans="2:25" x14ac:dyDescent="0.3">
      <c r="B18" s="171">
        <v>5</v>
      </c>
      <c r="C18" s="102" t="str">
        <f>Orçamento!B45</f>
        <v>Grupo de Serviço: 168 - Estrutura</v>
      </c>
      <c r="D18" s="106"/>
      <c r="E18" s="106"/>
      <c r="F18" s="106"/>
      <c r="G18" s="106"/>
      <c r="H18" s="106"/>
      <c r="I18" s="106"/>
      <c r="J18" s="106"/>
      <c r="K18" s="103">
        <f>1/3</f>
        <v>0.33333333333333331</v>
      </c>
      <c r="L18" s="103">
        <f t="shared" ref="L18:M18" si="3">1/3</f>
        <v>0.33333333333333331</v>
      </c>
      <c r="M18" s="103">
        <f t="shared" si="3"/>
        <v>0.33333333333333331</v>
      </c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4">
        <f>Orçamento!K56</f>
        <v>0</v>
      </c>
      <c r="Y18" s="172" t="e">
        <f t="shared" si="1"/>
        <v>#DIV/0!</v>
      </c>
    </row>
    <row r="19" spans="2:25" x14ac:dyDescent="0.3">
      <c r="B19" s="171">
        <v>6</v>
      </c>
      <c r="C19" s="105" t="str">
        <f>Orçamento!B57</f>
        <v>Grupo de Serviço: 169 - Instalações Elét./Telefônica/Cabeamento Estruturado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3">
        <f>1/2</f>
        <v>0.5</v>
      </c>
      <c r="R19" s="103">
        <f>1/2</f>
        <v>0.5</v>
      </c>
      <c r="S19" s="106"/>
      <c r="T19" s="106"/>
      <c r="U19" s="106"/>
      <c r="V19" s="106"/>
      <c r="W19" s="106"/>
      <c r="X19" s="104">
        <f>Orçamento!K66</f>
        <v>0</v>
      </c>
      <c r="Y19" s="172" t="e">
        <f t="shared" si="1"/>
        <v>#DIV/0!</v>
      </c>
    </row>
    <row r="20" spans="2:25" x14ac:dyDescent="0.3">
      <c r="B20" s="171">
        <v>7</v>
      </c>
      <c r="C20" s="102" t="str">
        <f>Orçamento!B67</f>
        <v>Grupo de Serviço: 170 - Instalações hidro-sanitárias</v>
      </c>
      <c r="D20" s="106"/>
      <c r="E20" s="106"/>
      <c r="F20" s="106"/>
      <c r="G20" s="106"/>
      <c r="H20" s="106"/>
      <c r="I20" s="106"/>
      <c r="J20" s="103">
        <f>1/2</f>
        <v>0.5</v>
      </c>
      <c r="K20" s="103">
        <f>1/2</f>
        <v>0.5</v>
      </c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4">
        <f>Orçamento!K86</f>
        <v>0</v>
      </c>
      <c r="Y20" s="172" t="e">
        <f t="shared" si="1"/>
        <v>#DIV/0!</v>
      </c>
    </row>
    <row r="21" spans="2:25" x14ac:dyDescent="0.3">
      <c r="B21" s="171">
        <v>8</v>
      </c>
      <c r="C21" s="102" t="str">
        <f>Orçamento!B87</f>
        <v>Grupo de Serviço: 172 - Alvenarias e divisórias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3">
        <f>1</f>
        <v>1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4">
        <f>Orçamento!K90</f>
        <v>0</v>
      </c>
      <c r="Y21" s="172" t="e">
        <f t="shared" si="1"/>
        <v>#DIV/0!</v>
      </c>
    </row>
    <row r="22" spans="2:25" x14ac:dyDescent="0.3">
      <c r="B22" s="171">
        <v>9</v>
      </c>
      <c r="C22" s="102" t="str">
        <f>Orçamento!B91</f>
        <v>Grupo de Serviço: 174 - Impermeabilização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3">
        <f>1/3</f>
        <v>0.33333333333333331</v>
      </c>
      <c r="N22" s="103">
        <f t="shared" ref="N22:O22" si="4">1/3</f>
        <v>0.33333333333333331</v>
      </c>
      <c r="O22" s="103">
        <f t="shared" si="4"/>
        <v>0.33333333333333331</v>
      </c>
      <c r="P22" s="107"/>
      <c r="Q22" s="106"/>
      <c r="R22" s="106"/>
      <c r="S22" s="106"/>
      <c r="T22" s="106"/>
      <c r="U22" s="106"/>
      <c r="V22" s="106"/>
      <c r="W22" s="106"/>
      <c r="X22" s="104">
        <f>Orçamento!K95</f>
        <v>0</v>
      </c>
      <c r="Y22" s="172" t="e">
        <f t="shared" si="1"/>
        <v>#DIV/0!</v>
      </c>
    </row>
    <row r="23" spans="2:25" x14ac:dyDescent="0.3">
      <c r="B23" s="171">
        <v>10</v>
      </c>
      <c r="C23" s="102" t="str">
        <f>Orçamento!B96</f>
        <v>Grupo de Serviço: 176 - Estrutura de madeira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3">
        <f>1/2</f>
        <v>0.5</v>
      </c>
      <c r="O23" s="103">
        <f>1/2</f>
        <v>0.5</v>
      </c>
      <c r="P23" s="107"/>
      <c r="Q23" s="106"/>
      <c r="R23" s="106"/>
      <c r="S23" s="106"/>
      <c r="T23" s="106"/>
      <c r="U23" s="106"/>
      <c r="V23" s="106"/>
      <c r="W23" s="106"/>
      <c r="X23" s="104">
        <f>Orçamento!K99</f>
        <v>0</v>
      </c>
      <c r="Y23" s="172" t="e">
        <f t="shared" si="1"/>
        <v>#DIV/0!</v>
      </c>
    </row>
    <row r="24" spans="2:25" x14ac:dyDescent="0.3">
      <c r="B24" s="171">
        <v>11</v>
      </c>
      <c r="C24" s="102" t="str">
        <f>Orçamento!B100</f>
        <v>Grupo de Serviço: 178 - Coberturas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3">
        <f>1/2</f>
        <v>0.5</v>
      </c>
      <c r="Q24" s="103">
        <f>1/2</f>
        <v>0.5</v>
      </c>
      <c r="R24" s="106"/>
      <c r="S24" s="106"/>
      <c r="T24" s="106"/>
      <c r="U24" s="106"/>
      <c r="V24" s="106"/>
      <c r="W24" s="106"/>
      <c r="X24" s="104">
        <f>Orçamento!K107</f>
        <v>0</v>
      </c>
      <c r="Y24" s="172" t="e">
        <f t="shared" si="1"/>
        <v>#DIV/0!</v>
      </c>
    </row>
    <row r="25" spans="2:25" x14ac:dyDescent="0.3">
      <c r="B25" s="171">
        <v>12</v>
      </c>
      <c r="C25" s="102" t="str">
        <f>Orçamento!B108</f>
        <v>Grupo de Serviço: 180 - Esquadrias metálicas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7"/>
      <c r="R25" s="103">
        <f>1/2</f>
        <v>0.5</v>
      </c>
      <c r="S25" s="103">
        <f>1/2</f>
        <v>0.5</v>
      </c>
      <c r="T25" s="106"/>
      <c r="U25" s="106"/>
      <c r="V25" s="106"/>
      <c r="W25" s="106"/>
      <c r="X25" s="104">
        <f>Orçamento!K112</f>
        <v>0</v>
      </c>
      <c r="Y25" s="172" t="e">
        <f t="shared" si="1"/>
        <v>#DIV/0!</v>
      </c>
    </row>
    <row r="26" spans="2:25" x14ac:dyDescent="0.3">
      <c r="B26" s="171">
        <v>13</v>
      </c>
      <c r="C26" s="102" t="str">
        <f>Orçamento!B113</f>
        <v>Grupo de Serviço: 181 - Vidros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3">
        <f>1</f>
        <v>1</v>
      </c>
      <c r="U26" s="106"/>
      <c r="V26" s="106"/>
      <c r="W26" s="106"/>
      <c r="X26" s="104">
        <f>Orçamento!K116</f>
        <v>0</v>
      </c>
      <c r="Y26" s="172" t="e">
        <f t="shared" si="1"/>
        <v>#DIV/0!</v>
      </c>
    </row>
    <row r="27" spans="2:25" x14ac:dyDescent="0.3">
      <c r="B27" s="171">
        <v>14</v>
      </c>
      <c r="C27" s="102" t="str">
        <f>Orçamento!B117</f>
        <v>Grupo de Serviço: 182 -  Revestimento de paredes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3">
        <f>1/2</f>
        <v>0.5</v>
      </c>
      <c r="P27" s="103">
        <f>1/2</f>
        <v>0.5</v>
      </c>
      <c r="Q27" s="107"/>
      <c r="R27" s="106"/>
      <c r="S27" s="106"/>
      <c r="T27" s="106"/>
      <c r="U27" s="106"/>
      <c r="V27" s="106"/>
      <c r="W27" s="106"/>
      <c r="X27" s="104">
        <f>Orçamento!K122</f>
        <v>0</v>
      </c>
      <c r="Y27" s="172" t="e">
        <f t="shared" si="1"/>
        <v>#DIV/0!</v>
      </c>
    </row>
    <row r="28" spans="2:25" x14ac:dyDescent="0.3">
      <c r="B28" s="171">
        <v>15</v>
      </c>
      <c r="C28" s="102" t="str">
        <f>Orçamento!B123</f>
        <v>Grupo de Serviço: 183 - Forros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3">
        <f>1/2</f>
        <v>0.5</v>
      </c>
      <c r="Q28" s="103">
        <f>1/2</f>
        <v>0.5</v>
      </c>
      <c r="R28" s="106"/>
      <c r="S28" s="106"/>
      <c r="T28" s="106"/>
      <c r="U28" s="106"/>
      <c r="V28" s="106"/>
      <c r="W28" s="106"/>
      <c r="X28" s="104">
        <f>Orçamento!K126</f>
        <v>0</v>
      </c>
      <c r="Y28" s="172" t="e">
        <f t="shared" si="1"/>
        <v>#DIV/0!</v>
      </c>
    </row>
    <row r="29" spans="2:25" x14ac:dyDescent="0.3">
      <c r="B29" s="171">
        <v>16</v>
      </c>
      <c r="C29" s="102" t="str">
        <f>Orçamento!B127</f>
        <v>Grupo de Serviço: 184 - Revestimento de piso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3">
        <f>1/3</f>
        <v>0.33333333333333331</v>
      </c>
      <c r="P29" s="103">
        <f t="shared" ref="P29:Q29" si="5">1/3</f>
        <v>0.33333333333333331</v>
      </c>
      <c r="Q29" s="103">
        <f t="shared" si="5"/>
        <v>0.33333333333333331</v>
      </c>
      <c r="R29" s="106"/>
      <c r="S29" s="106"/>
      <c r="T29" s="106"/>
      <c r="U29" s="106"/>
      <c r="V29" s="106"/>
      <c r="W29" s="107"/>
      <c r="X29" s="104">
        <f>Orçamento!K135</f>
        <v>0</v>
      </c>
      <c r="Y29" s="172" t="e">
        <f t="shared" si="1"/>
        <v>#DIV/0!</v>
      </c>
    </row>
    <row r="30" spans="2:25" x14ac:dyDescent="0.3">
      <c r="B30" s="171">
        <v>17</v>
      </c>
      <c r="C30" s="102" t="s">
        <v>711</v>
      </c>
      <c r="D30" s="103">
        <f>1/20</f>
        <v>0.05</v>
      </c>
      <c r="E30" s="103">
        <f t="shared" ref="E30:W30" si="6">1/20</f>
        <v>0.05</v>
      </c>
      <c r="F30" s="103">
        <f t="shared" si="6"/>
        <v>0.05</v>
      </c>
      <c r="G30" s="103">
        <f t="shared" si="6"/>
        <v>0.05</v>
      </c>
      <c r="H30" s="103">
        <f t="shared" si="6"/>
        <v>0.05</v>
      </c>
      <c r="I30" s="103">
        <f t="shared" si="6"/>
        <v>0.05</v>
      </c>
      <c r="J30" s="103">
        <f t="shared" si="6"/>
        <v>0.05</v>
      </c>
      <c r="K30" s="103">
        <f t="shared" si="6"/>
        <v>0.05</v>
      </c>
      <c r="L30" s="103">
        <f t="shared" si="6"/>
        <v>0.05</v>
      </c>
      <c r="M30" s="103">
        <f t="shared" si="6"/>
        <v>0.05</v>
      </c>
      <c r="N30" s="103">
        <f t="shared" si="6"/>
        <v>0.05</v>
      </c>
      <c r="O30" s="103">
        <f t="shared" si="6"/>
        <v>0.05</v>
      </c>
      <c r="P30" s="103">
        <f t="shared" si="6"/>
        <v>0.05</v>
      </c>
      <c r="Q30" s="103">
        <f t="shared" si="6"/>
        <v>0.05</v>
      </c>
      <c r="R30" s="103">
        <f t="shared" si="6"/>
        <v>0.05</v>
      </c>
      <c r="S30" s="103">
        <f t="shared" si="6"/>
        <v>0.05</v>
      </c>
      <c r="T30" s="103">
        <f t="shared" si="6"/>
        <v>0.05</v>
      </c>
      <c r="U30" s="103">
        <f t="shared" si="6"/>
        <v>0.05</v>
      </c>
      <c r="V30" s="103">
        <f t="shared" si="6"/>
        <v>0.05</v>
      </c>
      <c r="W30" s="103">
        <f t="shared" si="6"/>
        <v>0.05</v>
      </c>
      <c r="X30" s="104">
        <f>Orçamento!K140</f>
        <v>0</v>
      </c>
      <c r="Y30" s="172"/>
    </row>
    <row r="31" spans="2:25" x14ac:dyDescent="0.3">
      <c r="B31" s="171">
        <v>18</v>
      </c>
      <c r="C31" s="102" t="str">
        <f>Orçamento!B141</f>
        <v>Grupo de Serviço: 188 - Pintura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3">
        <f>1/7</f>
        <v>0.14285714285714285</v>
      </c>
      <c r="R31" s="103">
        <f t="shared" ref="R31:V31" si="7">1/7</f>
        <v>0.14285714285714285</v>
      </c>
      <c r="S31" s="103">
        <f t="shared" si="7"/>
        <v>0.14285714285714285</v>
      </c>
      <c r="T31" s="103">
        <f t="shared" si="7"/>
        <v>0.14285714285714285</v>
      </c>
      <c r="U31" s="103">
        <f t="shared" si="7"/>
        <v>0.14285714285714285</v>
      </c>
      <c r="V31" s="103">
        <f t="shared" si="7"/>
        <v>0.14285714285714285</v>
      </c>
      <c r="W31" s="103">
        <f>1/7</f>
        <v>0.14285714285714285</v>
      </c>
      <c r="X31" s="104">
        <f>Orçamento!K150</f>
        <v>0</v>
      </c>
      <c r="Y31" s="172" t="e">
        <f>X31/$X$33</f>
        <v>#DIV/0!</v>
      </c>
    </row>
    <row r="32" spans="2:25" x14ac:dyDescent="0.3">
      <c r="B32" s="173">
        <v>19</v>
      </c>
      <c r="C32" s="164" t="str">
        <f>Orçamento!B151</f>
        <v>Grupo de Serviço: 189 - Diversos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>
        <f>1</f>
        <v>1</v>
      </c>
      <c r="X32" s="167">
        <f>Orçamento!K155</f>
        <v>0</v>
      </c>
      <c r="Y32" s="174" t="e">
        <f>X32/$X$33</f>
        <v>#DIV/0!</v>
      </c>
    </row>
    <row r="33" spans="2:25" x14ac:dyDescent="0.3">
      <c r="B33" s="506" t="s">
        <v>32</v>
      </c>
      <c r="C33" s="507"/>
      <c r="D33" s="108" t="e">
        <f>D34/X33</f>
        <v>#DIV/0!</v>
      </c>
      <c r="E33" s="108" t="e">
        <f>E34/$X$33</f>
        <v>#DIV/0!</v>
      </c>
      <c r="F33" s="108" t="e">
        <f>F34/$X$33</f>
        <v>#DIV/0!</v>
      </c>
      <c r="G33" s="108" t="e">
        <f>G34/$X$33</f>
        <v>#DIV/0!</v>
      </c>
      <c r="H33" s="108" t="e">
        <f>H34/$X$33</f>
        <v>#DIV/0!</v>
      </c>
      <c r="I33" s="108" t="e">
        <f>I34/$X$33</f>
        <v>#DIV/0!</v>
      </c>
      <c r="J33" s="108" t="e">
        <f t="shared" ref="J33:V33" si="8">J34/$X$33</f>
        <v>#DIV/0!</v>
      </c>
      <c r="K33" s="108" t="e">
        <f t="shared" si="8"/>
        <v>#DIV/0!</v>
      </c>
      <c r="L33" s="108" t="e">
        <f t="shared" si="8"/>
        <v>#DIV/0!</v>
      </c>
      <c r="M33" s="108" t="e">
        <f t="shared" si="8"/>
        <v>#DIV/0!</v>
      </c>
      <c r="N33" s="108" t="e">
        <f t="shared" si="8"/>
        <v>#DIV/0!</v>
      </c>
      <c r="O33" s="108" t="e">
        <f>O34/$X$33</f>
        <v>#DIV/0!</v>
      </c>
      <c r="P33" s="108" t="e">
        <f t="shared" si="8"/>
        <v>#DIV/0!</v>
      </c>
      <c r="Q33" s="108" t="e">
        <f t="shared" si="8"/>
        <v>#DIV/0!</v>
      </c>
      <c r="R33" s="108" t="e">
        <f t="shared" si="8"/>
        <v>#DIV/0!</v>
      </c>
      <c r="S33" s="108" t="e">
        <f>S34/$X$33</f>
        <v>#DIV/0!</v>
      </c>
      <c r="T33" s="108" t="e">
        <f t="shared" si="8"/>
        <v>#DIV/0!</v>
      </c>
      <c r="U33" s="108" t="e">
        <f t="shared" si="8"/>
        <v>#DIV/0!</v>
      </c>
      <c r="V33" s="108" t="e">
        <f t="shared" si="8"/>
        <v>#DIV/0!</v>
      </c>
      <c r="W33" s="108" t="e">
        <f>W34/$X$33</f>
        <v>#DIV/0!</v>
      </c>
      <c r="X33" s="168">
        <f>SUM(X14:X32)</f>
        <v>0</v>
      </c>
      <c r="Y33" s="172" t="e">
        <f>X33/$X$33</f>
        <v>#DIV/0!</v>
      </c>
    </row>
    <row r="34" spans="2:25" s="109" customFormat="1" ht="13.5" thickBot="1" x14ac:dyDescent="0.25">
      <c r="B34" s="508" t="s">
        <v>9</v>
      </c>
      <c r="C34" s="509"/>
      <c r="D34" s="175">
        <f>D14*$X$14+D15*$X$15+D16*$X$16+D17*$X$17+D18*$X$18+D19*$X$19+D20*$X$20+D21*$X$21+D22*$X$22+D23*$X$23+D24*$X$24+D25*$X$25+D26*$X$26+D27*$X$27+D28*$X$28+D29*$X$29+D31*$X$31+D32*$X$32+D30*$X$30</f>
        <v>0</v>
      </c>
      <c r="E34" s="175">
        <f>D34+E14*$X$14+E15*$X$15+E16*$X$16+E17*$X$17+E18*$X$18+E19*$X$19+E20*$X$20+E21*$X$21+E22*$X$22+E23*$X$23+E24*$X$24+E25*$X$25+E26*$X$26+E27*$X$27+E28*$X$28+E29*$X$29+E31*$X$31+E32*$X$32+E30*$X$30</f>
        <v>0</v>
      </c>
      <c r="F34" s="175">
        <f t="shared" ref="F34:W34" si="9">E34+F14*$X$14+F15*$X$15+F16*$X$16+F17*$X$17+F18*$X$18+F19*$X$19+F20*$X$20+F21*$X$21+F22*$X$22+F23*$X$23+F24*$X$24+F25*$X$25+F26*$X$26+F27*$X$27+F28*$X$28+F29*$X$29+F31*$X$31+F32*$X$32+F30*$X$30</f>
        <v>0</v>
      </c>
      <c r="G34" s="175">
        <f t="shared" si="9"/>
        <v>0</v>
      </c>
      <c r="H34" s="175">
        <f t="shared" si="9"/>
        <v>0</v>
      </c>
      <c r="I34" s="175">
        <f t="shared" si="9"/>
        <v>0</v>
      </c>
      <c r="J34" s="175">
        <f t="shared" si="9"/>
        <v>0</v>
      </c>
      <c r="K34" s="175">
        <f t="shared" si="9"/>
        <v>0</v>
      </c>
      <c r="L34" s="175">
        <f t="shared" si="9"/>
        <v>0</v>
      </c>
      <c r="M34" s="175">
        <f t="shared" si="9"/>
        <v>0</v>
      </c>
      <c r="N34" s="175">
        <f t="shared" si="9"/>
        <v>0</v>
      </c>
      <c r="O34" s="175">
        <f t="shared" si="9"/>
        <v>0</v>
      </c>
      <c r="P34" s="175">
        <f t="shared" si="9"/>
        <v>0</v>
      </c>
      <c r="Q34" s="175">
        <f t="shared" si="9"/>
        <v>0</v>
      </c>
      <c r="R34" s="175">
        <f t="shared" si="9"/>
        <v>0</v>
      </c>
      <c r="S34" s="175">
        <f t="shared" si="9"/>
        <v>0</v>
      </c>
      <c r="T34" s="175">
        <f t="shared" si="9"/>
        <v>0</v>
      </c>
      <c r="U34" s="175">
        <f t="shared" si="9"/>
        <v>0</v>
      </c>
      <c r="V34" s="175">
        <f t="shared" si="9"/>
        <v>0</v>
      </c>
      <c r="W34" s="175">
        <f t="shared" si="9"/>
        <v>0</v>
      </c>
      <c r="X34" s="510"/>
      <c r="Y34" s="511"/>
    </row>
    <row r="35" spans="2:25" x14ac:dyDescent="0.3">
      <c r="B35" s="18"/>
      <c r="C35" s="110"/>
      <c r="D35" s="110"/>
      <c r="E35" s="540"/>
      <c r="F35" s="540"/>
      <c r="G35" s="540"/>
      <c r="H35" s="540"/>
      <c r="I35" s="540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8"/>
      <c r="Y35" s="19"/>
    </row>
    <row r="36" spans="2:25" ht="23.25" x14ac:dyDescent="0.3">
      <c r="B36" s="18"/>
      <c r="C36" s="111"/>
      <c r="D36" s="111"/>
      <c r="E36" s="540"/>
      <c r="F36" s="540"/>
      <c r="G36" s="540"/>
      <c r="H36" s="540"/>
      <c r="I36" s="540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2"/>
      <c r="Y36" s="19"/>
    </row>
    <row r="37" spans="2:25" x14ac:dyDescent="0.3">
      <c r="B37" s="18"/>
      <c r="C37" s="541" t="s">
        <v>37</v>
      </c>
      <c r="D37" s="541"/>
      <c r="E37" s="543" t="s">
        <v>37</v>
      </c>
      <c r="F37" s="543"/>
      <c r="G37" s="543"/>
      <c r="H37" s="543"/>
      <c r="I37" s="543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8"/>
      <c r="Y37" s="19"/>
    </row>
    <row r="38" spans="2:25" x14ac:dyDescent="0.3">
      <c r="B38" s="18"/>
      <c r="C38" s="538" t="s">
        <v>38</v>
      </c>
      <c r="D38" s="538"/>
      <c r="E38" s="542" t="str">
        <f>Orçamento!F165</f>
        <v>Pedro Silva de Souza</v>
      </c>
      <c r="F38" s="542"/>
      <c r="G38" s="542"/>
      <c r="H38" s="542"/>
      <c r="I38" s="542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8"/>
      <c r="Y38" s="19"/>
    </row>
    <row r="39" spans="2:25" x14ac:dyDescent="0.3">
      <c r="B39" s="18"/>
      <c r="C39" s="538" t="s">
        <v>39</v>
      </c>
      <c r="D39" s="538"/>
      <c r="E39" s="542" t="str">
        <f>Orçamento!F166</f>
        <v>Engenheiro Civil - CREA 1016279248/D - GO</v>
      </c>
      <c r="F39" s="542"/>
      <c r="G39" s="542"/>
      <c r="H39" s="542"/>
      <c r="I39" s="542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8"/>
      <c r="Y39" s="19"/>
    </row>
    <row r="40" spans="2:25" ht="17.25" thickBot="1" x14ac:dyDescent="0.35">
      <c r="B40" s="13"/>
      <c r="C40" s="539"/>
      <c r="D40" s="539"/>
      <c r="E40" s="539"/>
      <c r="F40" s="539"/>
      <c r="G40" s="113"/>
      <c r="H40" s="113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5"/>
    </row>
    <row r="41" spans="2:25" x14ac:dyDescent="0.3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</sheetData>
  <sheetProtection algorithmName="SHA-512" hashValue="fnEI0SLAvdkonhNbboAMKdrX0hxfU8sOd2iQjhsnOf2CqIVbUprEsEuDHeMkFqsFJkYQc2YhDPLJfJe6KKgfGA==" saltValue="JXJrjl0dqICXgf/Q6yfzbw==" spinCount="100000" sheet="1" objects="1" scenarios="1"/>
  <mergeCells count="31">
    <mergeCell ref="C39:D39"/>
    <mergeCell ref="C40:D40"/>
    <mergeCell ref="E40:F40"/>
    <mergeCell ref="E35:I36"/>
    <mergeCell ref="C37:D37"/>
    <mergeCell ref="C38:D38"/>
    <mergeCell ref="E39:I39"/>
    <mergeCell ref="E38:I38"/>
    <mergeCell ref="E37:I37"/>
    <mergeCell ref="B8:Y8"/>
    <mergeCell ref="B10:Y10"/>
    <mergeCell ref="B11:Y11"/>
    <mergeCell ref="B12:B13"/>
    <mergeCell ref="C12:C13"/>
    <mergeCell ref="D12:G12"/>
    <mergeCell ref="X12:X13"/>
    <mergeCell ref="Y12:Y13"/>
    <mergeCell ref="B9:Y9"/>
    <mergeCell ref="H12:K12"/>
    <mergeCell ref="T12:W12"/>
    <mergeCell ref="B2:Y2"/>
    <mergeCell ref="B3:Y3"/>
    <mergeCell ref="B4:Y4"/>
    <mergeCell ref="B5:Y5"/>
    <mergeCell ref="B7:Y7"/>
    <mergeCell ref="B6:Y6"/>
    <mergeCell ref="B33:C33"/>
    <mergeCell ref="B34:C34"/>
    <mergeCell ref="X34:Y34"/>
    <mergeCell ref="L12:O12"/>
    <mergeCell ref="P12:S12"/>
  </mergeCells>
  <phoneticPr fontId="7" type="noConversion"/>
  <pageMargins left="0.25" right="0.25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33"/>
  <sheetViews>
    <sheetView showGridLines="0" view="pageBreakPreview" topLeftCell="A25" zoomScale="120" zoomScaleNormal="120" zoomScaleSheetLayoutView="100" zoomScalePageLayoutView="120" workbookViewId="0">
      <selection activeCell="D31" sqref="D31:E31"/>
    </sheetView>
  </sheetViews>
  <sheetFormatPr defaultColWidth="8.85546875" defaultRowHeight="16.5" x14ac:dyDescent="0.3"/>
  <cols>
    <col min="1" max="1" width="8.85546875" style="5"/>
    <col min="2" max="2" width="8" style="5" customWidth="1"/>
    <col min="3" max="3" width="34.5703125" style="5" customWidth="1"/>
    <col min="4" max="4" width="31" style="5" customWidth="1"/>
    <col min="5" max="5" width="18" style="5" customWidth="1"/>
    <col min="6" max="16384" width="8.85546875" style="5"/>
  </cols>
  <sheetData>
    <row r="1" spans="3:16" ht="17.25" thickBot="1" x14ac:dyDescent="0.35"/>
    <row r="2" spans="3:16" x14ac:dyDescent="0.3">
      <c r="C2" s="16"/>
      <c r="D2" s="544" t="s">
        <v>13</v>
      </c>
      <c r="E2" s="544"/>
      <c r="F2" s="6"/>
      <c r="G2" s="6"/>
      <c r="H2" s="6"/>
      <c r="I2" s="6"/>
      <c r="J2" s="6"/>
      <c r="K2" s="6"/>
      <c r="L2" s="6"/>
      <c r="M2" s="6"/>
      <c r="N2" s="6"/>
      <c r="O2" s="7"/>
      <c r="P2" s="7"/>
    </row>
    <row r="3" spans="3:16" x14ac:dyDescent="0.3">
      <c r="C3" s="17"/>
      <c r="D3" s="544" t="s">
        <v>76</v>
      </c>
      <c r="E3" s="544"/>
      <c r="F3" s="6"/>
      <c r="G3" s="6"/>
      <c r="H3" s="6"/>
      <c r="I3" s="6"/>
      <c r="J3" s="6"/>
      <c r="K3" s="6"/>
      <c r="L3" s="6"/>
      <c r="M3" s="6"/>
      <c r="N3" s="6"/>
      <c r="O3" s="7"/>
      <c r="P3" s="7"/>
    </row>
    <row r="4" spans="3:16" ht="17.25" thickBot="1" x14ac:dyDescent="0.35">
      <c r="C4" s="17"/>
      <c r="D4" s="544" t="s">
        <v>34</v>
      </c>
      <c r="E4" s="54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3:16" ht="17.25" thickBot="1" x14ac:dyDescent="0.35">
      <c r="C5" s="20" t="s">
        <v>77</v>
      </c>
      <c r="D5" s="21" t="s">
        <v>15</v>
      </c>
      <c r="E5" s="22" t="s">
        <v>78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3:16" x14ac:dyDescent="0.3">
      <c r="C6" s="548"/>
      <c r="D6" s="549"/>
      <c r="E6" s="550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3:16" x14ac:dyDescent="0.3">
      <c r="C7" s="23" t="s">
        <v>79</v>
      </c>
      <c r="D7" s="24" t="s">
        <v>80</v>
      </c>
      <c r="E7" s="25">
        <v>0.04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3:16" x14ac:dyDescent="0.3">
      <c r="C8" s="23" t="s">
        <v>81</v>
      </c>
      <c r="D8" s="24" t="s">
        <v>82</v>
      </c>
      <c r="E8" s="25">
        <v>7.1999999999999995E-2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3:16" x14ac:dyDescent="0.3">
      <c r="C9" s="23" t="s">
        <v>83</v>
      </c>
      <c r="D9" s="24" t="s">
        <v>84</v>
      </c>
      <c r="E9" s="25">
        <v>1.0800000000000001E-2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3:16" x14ac:dyDescent="0.3">
      <c r="C10" s="23" t="s">
        <v>85</v>
      </c>
      <c r="D10" s="24" t="s">
        <v>86</v>
      </c>
      <c r="E10" s="25">
        <v>1.1999999999999999E-3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3:16" x14ac:dyDescent="0.3">
      <c r="C11" s="23" t="s">
        <v>87</v>
      </c>
      <c r="D11" s="24" t="s">
        <v>88</v>
      </c>
      <c r="E11" s="25">
        <v>9.7000000000000003E-3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3:16" x14ac:dyDescent="0.3">
      <c r="C12" s="545"/>
      <c r="D12" s="546"/>
      <c r="E12" s="54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3:16" x14ac:dyDescent="0.3">
      <c r="C13" s="23" t="s">
        <v>89</v>
      </c>
      <c r="D13" s="26" t="s">
        <v>90</v>
      </c>
      <c r="E13" s="27">
        <v>0.1055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3:16" x14ac:dyDescent="0.3">
      <c r="C14" s="28" t="s">
        <v>91</v>
      </c>
      <c r="D14" s="24"/>
      <c r="E14" s="25">
        <v>0.04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3:16" x14ac:dyDescent="0.3">
      <c r="C15" s="28" t="s">
        <v>92</v>
      </c>
      <c r="D15" s="24"/>
      <c r="E15" s="25">
        <v>6.4999999999999997E-3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3:16" x14ac:dyDescent="0.3">
      <c r="C16" s="28" t="s">
        <v>93</v>
      </c>
      <c r="D16" s="24"/>
      <c r="E16" s="25">
        <v>0.03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3:16" ht="17.25" thickBot="1" x14ac:dyDescent="0.35">
      <c r="C17" s="29" t="s">
        <v>94</v>
      </c>
      <c r="D17" s="30"/>
      <c r="E17" s="31">
        <v>4.4999999999999998E-2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3:16" ht="19.5" thickBot="1" x14ac:dyDescent="0.35">
      <c r="C18" s="9" t="s">
        <v>95</v>
      </c>
      <c r="D18" s="555">
        <f>(((1+E7+E10+E11))*((1+E9)*((1+E8))/(1-E13))-1)</f>
        <v>0.27303711552822829</v>
      </c>
      <c r="E18" s="55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3:16" x14ac:dyDescent="0.3">
      <c r="C19" s="18"/>
      <c r="D19" s="8"/>
      <c r="E19" s="1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3:16" x14ac:dyDescent="0.3">
      <c r="C20" s="18"/>
      <c r="D20" s="8"/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3:16" x14ac:dyDescent="0.3">
      <c r="C21" s="18"/>
      <c r="D21" s="8"/>
      <c r="E21" s="1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3:16" x14ac:dyDescent="0.3">
      <c r="C22" s="18"/>
      <c r="D22" s="8"/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3:16" x14ac:dyDescent="0.3">
      <c r="C23" s="18"/>
      <c r="D23" s="8"/>
      <c r="E23" s="19"/>
      <c r="F23" s="7"/>
      <c r="G23" s="7"/>
      <c r="H23" s="7"/>
      <c r="I23" s="7"/>
      <c r="J23" s="7"/>
    </row>
    <row r="24" spans="3:16" x14ac:dyDescent="0.3">
      <c r="C24" s="18"/>
      <c r="D24" s="8"/>
      <c r="E24" s="19"/>
      <c r="F24" s="7"/>
      <c r="G24" s="7"/>
      <c r="H24" s="7"/>
      <c r="I24" s="7"/>
      <c r="J24" s="7"/>
    </row>
    <row r="25" spans="3:16" ht="17.25" thickBot="1" x14ac:dyDescent="0.35">
      <c r="C25" s="18"/>
      <c r="D25" s="8"/>
      <c r="E25" s="19"/>
      <c r="F25" s="7"/>
      <c r="G25" s="7"/>
      <c r="H25" s="7"/>
      <c r="I25" s="7"/>
      <c r="J25" s="7"/>
    </row>
    <row r="26" spans="3:16" x14ac:dyDescent="0.3">
      <c r="C26" s="557" t="s">
        <v>96</v>
      </c>
      <c r="D26" s="559" t="s">
        <v>97</v>
      </c>
      <c r="E26" s="560"/>
      <c r="F26" s="10"/>
      <c r="G26" s="7"/>
      <c r="H26" s="7"/>
      <c r="I26" s="7"/>
      <c r="J26" s="7"/>
    </row>
    <row r="27" spans="3:16" x14ac:dyDescent="0.3">
      <c r="C27" s="558"/>
      <c r="D27" s="561"/>
      <c r="E27" s="562"/>
      <c r="F27" s="10"/>
      <c r="G27" s="7"/>
      <c r="H27" s="7"/>
      <c r="I27" s="7"/>
      <c r="J27" s="7"/>
    </row>
    <row r="28" spans="3:16" x14ac:dyDescent="0.3">
      <c r="C28" s="558"/>
      <c r="D28" s="561"/>
      <c r="E28" s="562"/>
      <c r="F28" s="10"/>
      <c r="G28" s="7"/>
      <c r="H28" s="7"/>
      <c r="I28" s="7"/>
      <c r="J28" s="7"/>
    </row>
    <row r="29" spans="3:16" x14ac:dyDescent="0.3">
      <c r="C29" s="558"/>
      <c r="D29" s="561"/>
      <c r="E29" s="562"/>
      <c r="F29" s="10"/>
      <c r="G29" s="7"/>
      <c r="H29" s="7"/>
      <c r="I29" s="7"/>
      <c r="J29" s="7"/>
    </row>
    <row r="30" spans="3:16" x14ac:dyDescent="0.3">
      <c r="C30" s="558"/>
      <c r="D30" s="561"/>
      <c r="E30" s="562"/>
      <c r="F30" s="10"/>
      <c r="G30" s="7"/>
      <c r="H30" s="7"/>
      <c r="I30" s="7"/>
      <c r="J30" s="7"/>
    </row>
    <row r="31" spans="3:16" x14ac:dyDescent="0.3">
      <c r="C31" s="116" t="str">
        <f>Orçamento!D165</f>
        <v>Leonardo Martins de Castro Teixeira</v>
      </c>
      <c r="D31" s="551" t="str">
        <f>Orçamento!F165</f>
        <v>Pedro Silva de Souza</v>
      </c>
      <c r="E31" s="552"/>
      <c r="F31" s="11"/>
    </row>
    <row r="32" spans="3:16" x14ac:dyDescent="0.3">
      <c r="C32" s="12" t="s">
        <v>39</v>
      </c>
      <c r="D32" s="553" t="str">
        <f>Orçamento!F166</f>
        <v>Engenheiro Civil - CREA 1016279248/D - GO</v>
      </c>
      <c r="E32" s="554"/>
      <c r="F32" s="11"/>
    </row>
    <row r="33" spans="3:5" ht="17.25" thickBot="1" x14ac:dyDescent="0.35">
      <c r="C33" s="13"/>
      <c r="D33" s="14"/>
      <c r="E33" s="15"/>
    </row>
  </sheetData>
  <sheetProtection algorithmName="SHA-512" hashValue="KIpbsw0moDee+3i58J/3qpG0mSwhJwOouyXdkYjIzPkz6f6qsThCSbFcgvAp+tPU4NmcNoPFWynXgcBF0DXk4w==" saltValue="x//KKyyhtvEjwW9SyWeobA==" spinCount="100000" sheet="1" objects="1" scenarios="1"/>
  <mergeCells count="10">
    <mergeCell ref="D31:E31"/>
    <mergeCell ref="D32:E32"/>
    <mergeCell ref="D18:E18"/>
    <mergeCell ref="C26:C30"/>
    <mergeCell ref="D26:E30"/>
    <mergeCell ref="D4:E4"/>
    <mergeCell ref="D3:E3"/>
    <mergeCell ref="D2:E2"/>
    <mergeCell ref="C12:E12"/>
    <mergeCell ref="C6:E6"/>
  </mergeCells>
  <phoneticPr fontId="7" type="noConversion"/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Orçamento</vt:lpstr>
      <vt:lpstr>Memória de cálculo</vt:lpstr>
      <vt:lpstr>Cronograma</vt:lpstr>
      <vt:lpstr>COMPOSIÇÃO BDI</vt:lpstr>
      <vt:lpstr>'COMPOSIÇÃO BDI'!Area_de_impressao</vt:lpstr>
      <vt:lpstr>Cronograma!Area_de_impressao</vt:lpstr>
      <vt:lpstr>'Memória de cálculo'!Area_de_impressao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2018-04-26T12:06:22Z</dcterms:modified>
</cp:coreProperties>
</file>